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hD procedures\Scientific research\43) Jana1-x well\46) Jana1-x well\"/>
    </mc:Choice>
  </mc:AlternateContent>
  <xr:revisionPtr revIDLastSave="0" documentId="8_{5D8A3878-F48F-47EA-AAA3-A60F24C90072}" xr6:coauthVersionLast="47" xr6:coauthVersionMax="47" xr10:uidLastSave="{00000000-0000-0000-0000-000000000000}"/>
  <bookViews>
    <workbookView xWindow="-93" yWindow="-93" windowWidth="20666" windowHeight="12386" xr2:uid="{F37CAB48-CBF4-4FEA-A8BF-D5466F005F1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I2" i="1" l="1"/>
  <c r="BI3" i="1"/>
  <c r="BI4" i="1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" i="1"/>
  <c r="BJ15" i="1"/>
  <c r="BJ16" i="1"/>
  <c r="BJ17" i="1"/>
  <c r="BJ18" i="1"/>
  <c r="BJ19" i="1"/>
  <c r="BJ20" i="1"/>
  <c r="BJ21" i="1"/>
  <c r="BJ22" i="1"/>
  <c r="BJ23" i="1"/>
  <c r="BJ24" i="1"/>
  <c r="BJ25" i="1"/>
  <c r="BJ2" i="1"/>
  <c r="BJ3" i="1"/>
  <c r="BJ4" i="1"/>
  <c r="BJ5" i="1"/>
  <c r="BJ6" i="1"/>
  <c r="BJ7" i="1"/>
  <c r="BJ8" i="1"/>
  <c r="BJ9" i="1"/>
  <c r="BJ10" i="1"/>
  <c r="BJ11" i="1"/>
  <c r="BJ12" i="1"/>
  <c r="BJ13" i="1"/>
  <c r="BJ14" i="1"/>
  <c r="BO3" i="1" l="1"/>
  <c r="BO4" i="1"/>
  <c r="BO5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" i="1"/>
  <c r="AK3" i="1" l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" i="1"/>
  <c r="Q3" i="1"/>
  <c r="R3" i="1" s="1"/>
  <c r="Q4" i="1"/>
  <c r="R4" i="1" s="1"/>
  <c r="Q5" i="1"/>
  <c r="R5" i="1" s="1"/>
  <c r="Q6" i="1"/>
  <c r="R6" i="1" s="1"/>
  <c r="Q7" i="1"/>
  <c r="R7" i="1" s="1"/>
  <c r="Q8" i="1"/>
  <c r="R8" i="1" s="1"/>
  <c r="Q9" i="1"/>
  <c r="R9" i="1" s="1"/>
  <c r="Q10" i="1"/>
  <c r="R10" i="1" s="1"/>
  <c r="Q11" i="1"/>
  <c r="R11" i="1" s="1"/>
  <c r="Q12" i="1"/>
  <c r="R12" i="1" s="1"/>
  <c r="Q13" i="1"/>
  <c r="R13" i="1" s="1"/>
  <c r="Q14" i="1"/>
  <c r="R14" i="1" s="1"/>
  <c r="Q15" i="1"/>
  <c r="R15" i="1" s="1"/>
  <c r="Q16" i="1"/>
  <c r="R16" i="1" s="1"/>
  <c r="Q17" i="1"/>
  <c r="R17" i="1" s="1"/>
  <c r="Q18" i="1"/>
  <c r="R18" i="1" s="1"/>
  <c r="Q19" i="1"/>
  <c r="R19" i="1" s="1"/>
  <c r="Q20" i="1"/>
  <c r="R20" i="1" s="1"/>
  <c r="Q21" i="1"/>
  <c r="R21" i="1" s="1"/>
  <c r="Q22" i="1"/>
  <c r="R22" i="1" s="1"/>
  <c r="Q23" i="1"/>
  <c r="R23" i="1" s="1"/>
  <c r="Q24" i="1"/>
  <c r="R24" i="1" s="1"/>
  <c r="Q25" i="1"/>
  <c r="R25" i="1" s="1"/>
  <c r="Q2" i="1"/>
  <c r="R2" i="1" s="1"/>
  <c r="BH3" i="1"/>
  <c r="BK3" i="1"/>
  <c r="BH4" i="1"/>
  <c r="BK4" i="1"/>
  <c r="BH5" i="1"/>
  <c r="BK5" i="1"/>
  <c r="BH6" i="1"/>
  <c r="BK6" i="1"/>
  <c r="BH7" i="1"/>
  <c r="BK7" i="1"/>
  <c r="BH8" i="1"/>
  <c r="BK8" i="1"/>
  <c r="BH9" i="1"/>
  <c r="BK9" i="1"/>
  <c r="BH10" i="1"/>
  <c r="BK10" i="1"/>
  <c r="BH11" i="1"/>
  <c r="BK11" i="1"/>
  <c r="BH12" i="1"/>
  <c r="BK12" i="1"/>
  <c r="BH13" i="1"/>
  <c r="BK13" i="1"/>
  <c r="BH14" i="1"/>
  <c r="BK14" i="1"/>
  <c r="BH15" i="1"/>
  <c r="BK15" i="1"/>
  <c r="BH16" i="1"/>
  <c r="BK16" i="1"/>
  <c r="BH17" i="1"/>
  <c r="BK17" i="1"/>
  <c r="BH18" i="1"/>
  <c r="BK18" i="1"/>
  <c r="BH19" i="1"/>
  <c r="BK19" i="1"/>
  <c r="BH20" i="1"/>
  <c r="BK20" i="1"/>
  <c r="BH21" i="1"/>
  <c r="BK21" i="1"/>
  <c r="BH22" i="1"/>
  <c r="BK22" i="1"/>
  <c r="BH23" i="1"/>
  <c r="BK23" i="1"/>
  <c r="BH24" i="1"/>
  <c r="BK24" i="1"/>
  <c r="BH25" i="1"/>
  <c r="BK25" i="1"/>
  <c r="BK2" i="1"/>
  <c r="BH2" i="1"/>
  <c r="BF2" i="1" l="1"/>
  <c r="BF3" i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C2" i="1"/>
  <c r="BC3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A2" i="1"/>
  <c r="BA3" i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AY2" i="1"/>
  <c r="AY3" i="1"/>
  <c r="AY4" i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W2" i="1"/>
  <c r="AW3" i="1"/>
  <c r="AW4" i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U2" i="1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S2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Q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G25" i="1"/>
  <c r="AH25" i="1" s="1"/>
  <c r="AG24" i="1"/>
  <c r="AH24" i="1" s="1"/>
  <c r="AG23" i="1"/>
  <c r="AH23" i="1" s="1"/>
  <c r="AG22" i="1"/>
  <c r="AH22" i="1" s="1"/>
  <c r="AG21" i="1"/>
  <c r="AH21" i="1" s="1"/>
  <c r="AG20" i="1"/>
  <c r="AH20" i="1" s="1"/>
  <c r="AG19" i="1"/>
  <c r="AH19" i="1" s="1"/>
  <c r="AG18" i="1"/>
  <c r="AH18" i="1" s="1"/>
  <c r="AG17" i="1"/>
  <c r="AH17" i="1" s="1"/>
  <c r="AG16" i="1"/>
  <c r="AH16" i="1" s="1"/>
  <c r="AG15" i="1"/>
  <c r="AH15" i="1" s="1"/>
  <c r="AG14" i="1"/>
  <c r="AH14" i="1" s="1"/>
  <c r="AG13" i="1"/>
  <c r="AH13" i="1" s="1"/>
  <c r="AG12" i="1"/>
  <c r="AH12" i="1" s="1"/>
  <c r="AG11" i="1"/>
  <c r="AH11" i="1" s="1"/>
  <c r="AG10" i="1"/>
  <c r="AH10" i="1" s="1"/>
  <c r="AG9" i="1"/>
  <c r="AH9" i="1" s="1"/>
  <c r="AG8" i="1"/>
  <c r="AH8" i="1" s="1"/>
  <c r="AG7" i="1"/>
  <c r="AH7" i="1" s="1"/>
  <c r="AG6" i="1"/>
  <c r="AH6" i="1" s="1"/>
  <c r="AG5" i="1"/>
  <c r="AH5" i="1" s="1"/>
  <c r="AG4" i="1"/>
  <c r="AH4" i="1" s="1"/>
  <c r="AG3" i="1"/>
  <c r="AH3" i="1" s="1"/>
  <c r="AG2" i="1"/>
  <c r="AH2" i="1" s="1"/>
  <c r="AD3" i="1"/>
  <c r="AE3" i="1" s="1"/>
  <c r="AD4" i="1"/>
  <c r="AE4" i="1" s="1"/>
  <c r="AD5" i="1"/>
  <c r="AE5" i="1" s="1"/>
  <c r="AD6" i="1"/>
  <c r="AE6" i="1" s="1"/>
  <c r="AD7" i="1"/>
  <c r="AE7" i="1" s="1"/>
  <c r="AD8" i="1"/>
  <c r="AE8" i="1" s="1"/>
  <c r="AD9" i="1"/>
  <c r="AE9" i="1" s="1"/>
  <c r="AD10" i="1"/>
  <c r="AE10" i="1" s="1"/>
  <c r="AD11" i="1"/>
  <c r="AE11" i="1" s="1"/>
  <c r="AD12" i="1"/>
  <c r="AE12" i="1" s="1"/>
  <c r="AD13" i="1"/>
  <c r="AE13" i="1" s="1"/>
  <c r="AD14" i="1"/>
  <c r="AE14" i="1" s="1"/>
  <c r="AD15" i="1"/>
  <c r="AE15" i="1" s="1"/>
  <c r="AD16" i="1"/>
  <c r="AE16" i="1" s="1"/>
  <c r="AD17" i="1"/>
  <c r="AE17" i="1" s="1"/>
  <c r="AD18" i="1"/>
  <c r="AE18" i="1" s="1"/>
  <c r="AD19" i="1"/>
  <c r="AE19" i="1" s="1"/>
  <c r="AD20" i="1"/>
  <c r="AE20" i="1" s="1"/>
  <c r="AD21" i="1"/>
  <c r="AE21" i="1" s="1"/>
  <c r="AD22" i="1"/>
  <c r="AE22" i="1" s="1"/>
  <c r="AD23" i="1"/>
  <c r="AE23" i="1" s="1"/>
  <c r="AD24" i="1"/>
  <c r="AE24" i="1" s="1"/>
  <c r="AD25" i="1"/>
  <c r="AE25" i="1" s="1"/>
  <c r="AD2" i="1"/>
  <c r="AE2" i="1" s="1"/>
  <c r="Z3" i="1"/>
  <c r="AA3" i="1" s="1"/>
  <c r="Z4" i="1"/>
  <c r="AA4" i="1" s="1"/>
  <c r="Z5" i="1"/>
  <c r="AA5" i="1" s="1"/>
  <c r="Z6" i="1"/>
  <c r="AA6" i="1" s="1"/>
  <c r="Z7" i="1"/>
  <c r="AA7" i="1" s="1"/>
  <c r="Z8" i="1"/>
  <c r="AA8" i="1" s="1"/>
  <c r="Z9" i="1"/>
  <c r="AA9" i="1" s="1"/>
  <c r="Z10" i="1"/>
  <c r="AA10" i="1" s="1"/>
  <c r="Z11" i="1"/>
  <c r="AA11" i="1" s="1"/>
  <c r="Z12" i="1"/>
  <c r="AA12" i="1" s="1"/>
  <c r="Z13" i="1"/>
  <c r="AA13" i="1" s="1"/>
  <c r="Z14" i="1"/>
  <c r="AA14" i="1" s="1"/>
  <c r="Z15" i="1"/>
  <c r="AA15" i="1" s="1"/>
  <c r="Z16" i="1"/>
  <c r="AA16" i="1" s="1"/>
  <c r="Z17" i="1"/>
  <c r="AA17" i="1" s="1"/>
  <c r="Z18" i="1"/>
  <c r="AA18" i="1" s="1"/>
  <c r="Z19" i="1"/>
  <c r="AA19" i="1" s="1"/>
  <c r="Z20" i="1"/>
  <c r="AA20" i="1" s="1"/>
  <c r="Z21" i="1"/>
  <c r="AA21" i="1" s="1"/>
  <c r="Z22" i="1"/>
  <c r="AA22" i="1" s="1"/>
  <c r="Z23" i="1"/>
  <c r="AA23" i="1" s="1"/>
  <c r="Z24" i="1"/>
  <c r="AA24" i="1" s="1"/>
  <c r="Z25" i="1"/>
  <c r="AA25" i="1" s="1"/>
  <c r="Z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" i="1"/>
  <c r="H3" i="1"/>
  <c r="J3" i="1" s="1"/>
  <c r="H4" i="1"/>
  <c r="J4" i="1" s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" i="1"/>
  <c r="H2" i="1"/>
  <c r="J2" i="1" l="1"/>
  <c r="AL4" i="1"/>
  <c r="AM4" i="1" s="1"/>
  <c r="K4" i="1"/>
  <c r="AL18" i="1"/>
  <c r="AM18" i="1" s="1"/>
  <c r="K18" i="1"/>
  <c r="AL16" i="1"/>
  <c r="AM16" i="1" s="1"/>
  <c r="K16" i="1"/>
  <c r="AL13" i="1"/>
  <c r="AM13" i="1" s="1"/>
  <c r="K13" i="1"/>
  <c r="AL11" i="1"/>
  <c r="AM11" i="1" s="1"/>
  <c r="K11" i="1"/>
  <c r="AL2" i="1"/>
  <c r="AM2" i="1" s="1"/>
  <c r="K2" i="1"/>
  <c r="AL10" i="1"/>
  <c r="AM10" i="1" s="1"/>
  <c r="K10" i="1"/>
  <c r="AL25" i="1"/>
  <c r="AM25" i="1" s="1"/>
  <c r="K25" i="1"/>
  <c r="AL9" i="1"/>
  <c r="AM9" i="1" s="1"/>
  <c r="K9" i="1"/>
  <c r="AL14" i="1"/>
  <c r="AM14" i="1" s="1"/>
  <c r="K14" i="1"/>
  <c r="AA2" i="1"/>
  <c r="AL24" i="1"/>
  <c r="AM24" i="1" s="1"/>
  <c r="K24" i="1"/>
  <c r="AL8" i="1"/>
  <c r="AM8" i="1" s="1"/>
  <c r="K8" i="1"/>
  <c r="AL23" i="1"/>
  <c r="AM23" i="1" s="1"/>
  <c r="K23" i="1"/>
  <c r="AL7" i="1"/>
  <c r="AM7" i="1" s="1"/>
  <c r="K7" i="1"/>
  <c r="AL22" i="1"/>
  <c r="AM22" i="1" s="1"/>
  <c r="K22" i="1"/>
  <c r="AL6" i="1"/>
  <c r="AM6" i="1" s="1"/>
  <c r="K6" i="1"/>
  <c r="AL21" i="1"/>
  <c r="AM21" i="1" s="1"/>
  <c r="K21" i="1"/>
  <c r="AL5" i="1"/>
  <c r="AM5" i="1" s="1"/>
  <c r="K5" i="1"/>
  <c r="AL19" i="1"/>
  <c r="AM19" i="1" s="1"/>
  <c r="K19" i="1"/>
  <c r="AL3" i="1"/>
  <c r="AM3" i="1" s="1"/>
  <c r="K3" i="1"/>
  <c r="AL20" i="1"/>
  <c r="AM20" i="1" s="1"/>
  <c r="K20" i="1"/>
  <c r="AL17" i="1"/>
  <c r="AM17" i="1" s="1"/>
  <c r="K17" i="1"/>
  <c r="AL15" i="1"/>
  <c r="AM15" i="1" s="1"/>
  <c r="K15" i="1"/>
  <c r="AL12" i="1"/>
  <c r="AM12" i="1" s="1"/>
  <c r="K12" i="1"/>
  <c r="U20" i="1"/>
  <c r="BL20" i="1"/>
  <c r="U11" i="1"/>
  <c r="BL11" i="1"/>
  <c r="U25" i="1"/>
  <c r="BL25" i="1"/>
  <c r="U24" i="1"/>
  <c r="BL24" i="1"/>
  <c r="U7" i="1"/>
  <c r="BL7" i="1"/>
  <c r="U22" i="1"/>
  <c r="BL22" i="1"/>
  <c r="U19" i="1"/>
  <c r="BL19" i="1"/>
  <c r="U3" i="1"/>
  <c r="BL3" i="1"/>
  <c r="U13" i="1"/>
  <c r="BL13" i="1"/>
  <c r="U12" i="1"/>
  <c r="BL12" i="1"/>
  <c r="U10" i="1"/>
  <c r="BL10" i="1"/>
  <c r="U23" i="1"/>
  <c r="BL23" i="1"/>
  <c r="U18" i="1"/>
  <c r="BL18" i="1"/>
  <c r="U17" i="1"/>
  <c r="BL17" i="1"/>
  <c r="U9" i="1"/>
  <c r="BL9" i="1"/>
  <c r="U5" i="1"/>
  <c r="BL5" i="1"/>
  <c r="U8" i="1"/>
  <c r="BL8" i="1"/>
  <c r="U21" i="1"/>
  <c r="BL21" i="1"/>
  <c r="U4" i="1"/>
  <c r="BL4" i="1"/>
  <c r="U16" i="1"/>
  <c r="BL16" i="1"/>
  <c r="U15" i="1"/>
  <c r="BL15" i="1"/>
  <c r="U2" i="1"/>
  <c r="BL2" i="1"/>
  <c r="U6" i="1"/>
  <c r="BL6" i="1"/>
  <c r="U14" i="1"/>
  <c r="BL14" i="1"/>
  <c r="I14" i="1"/>
  <c r="I25" i="1"/>
  <c r="I9" i="1"/>
  <c r="I24" i="1"/>
  <c r="I8" i="1"/>
  <c r="I23" i="1"/>
  <c r="I6" i="1"/>
  <c r="I7" i="1"/>
  <c r="I22" i="1"/>
  <c r="N22" i="1" s="1"/>
  <c r="I3" i="1"/>
  <c r="I21" i="1"/>
  <c r="N21" i="1" s="1"/>
  <c r="I5" i="1"/>
  <c r="I20" i="1"/>
  <c r="N20" i="1" s="1"/>
  <c r="I4" i="1"/>
  <c r="I19" i="1"/>
  <c r="I18" i="1"/>
  <c r="I2" i="1"/>
  <c r="I16" i="1"/>
  <c r="I15" i="1"/>
  <c r="I13" i="1"/>
  <c r="I17" i="1"/>
  <c r="N17" i="1" s="1"/>
  <c r="I12" i="1"/>
  <c r="I11" i="1"/>
  <c r="I10" i="1"/>
  <c r="X19" i="1"/>
  <c r="X24" i="1"/>
  <c r="X23" i="1"/>
  <c r="X7" i="1"/>
  <c r="X18" i="1"/>
  <c r="X9" i="1"/>
  <c r="X22" i="1"/>
  <c r="X6" i="1"/>
  <c r="X12" i="1"/>
  <c r="X8" i="1"/>
  <c r="X21" i="1"/>
  <c r="X5" i="1"/>
  <c r="X17" i="1"/>
  <c r="X11" i="1"/>
  <c r="X2" i="1"/>
  <c r="X25" i="1"/>
  <c r="X20" i="1"/>
  <c r="X4" i="1"/>
  <c r="X16" i="1"/>
  <c r="X15" i="1"/>
  <c r="X14" i="1"/>
  <c r="X3" i="1"/>
  <c r="X13" i="1"/>
  <c r="X10" i="1"/>
  <c r="BN25" i="1" l="1"/>
  <c r="BN5" i="1"/>
  <c r="BN3" i="1"/>
  <c r="BN4" i="1"/>
  <c r="BN11" i="1"/>
  <c r="BN12" i="1"/>
  <c r="BM6" i="1"/>
  <c r="BN2" i="1"/>
  <c r="BN7" i="1"/>
  <c r="N3" i="1"/>
  <c r="BM3" i="1"/>
  <c r="BM8" i="1"/>
  <c r="BN17" i="1"/>
  <c r="BM10" i="1"/>
  <c r="N2" i="1"/>
  <c r="BM2" i="1"/>
  <c r="BN13" i="1"/>
  <c r="N15" i="1"/>
  <c r="BM15" i="1"/>
  <c r="N4" i="1"/>
  <c r="BM4" i="1"/>
  <c r="N5" i="1"/>
  <c r="BM5" i="1"/>
  <c r="BN23" i="1"/>
  <c r="BN18" i="1"/>
  <c r="BN22" i="1"/>
  <c r="N7" i="1"/>
  <c r="BM7" i="1"/>
  <c r="N23" i="1"/>
  <c r="BN20" i="1"/>
  <c r="N8" i="1"/>
  <c r="BN6" i="1"/>
  <c r="N6" i="1"/>
  <c r="BN8" i="1"/>
  <c r="BM13" i="1"/>
  <c r="N13" i="1"/>
  <c r="BN21" i="1"/>
  <c r="BM24" i="1"/>
  <c r="BM16" i="1"/>
  <c r="BN16" i="1"/>
  <c r="N24" i="1"/>
  <c r="N16" i="1"/>
  <c r="BM9" i="1"/>
  <c r="BM21" i="1"/>
  <c r="N9" i="1"/>
  <c r="N10" i="1"/>
  <c r="BM18" i="1"/>
  <c r="BM25" i="1"/>
  <c r="BN15" i="1"/>
  <c r="N18" i="1"/>
  <c r="N25" i="1"/>
  <c r="BM22" i="1"/>
  <c r="BN10" i="1"/>
  <c r="BM11" i="1"/>
  <c r="BM19" i="1"/>
  <c r="BM14" i="1"/>
  <c r="N11" i="1"/>
  <c r="N19" i="1"/>
  <c r="N14" i="1"/>
  <c r="BN14" i="1"/>
  <c r="BM12" i="1"/>
  <c r="N12" i="1"/>
  <c r="BN24" i="1"/>
  <c r="BM17" i="1"/>
  <c r="BM20" i="1"/>
  <c r="BM23" i="1"/>
  <c r="BN19" i="1"/>
  <c r="BN9" i="1"/>
</calcChain>
</file>

<file path=xl/sharedStrings.xml><?xml version="1.0" encoding="utf-8"?>
<sst xmlns="http://schemas.openxmlformats.org/spreadsheetml/2006/main" count="140" uniqueCount="102">
  <si>
    <t>Sample name</t>
  </si>
  <si>
    <t>Depth (m)</t>
  </si>
  <si>
    <t>Light elements</t>
  </si>
  <si>
    <t>Carbonate (%)</t>
  </si>
  <si>
    <t>Si</t>
  </si>
  <si>
    <t>SiO2</t>
  </si>
  <si>
    <t>Al</t>
  </si>
  <si>
    <t>Al2O3</t>
  </si>
  <si>
    <t>Al2O3 Molar</t>
  </si>
  <si>
    <t>5*Al2O3</t>
  </si>
  <si>
    <t>2*CaO</t>
  </si>
  <si>
    <t>Na2O</t>
  </si>
  <si>
    <t>Na2O molar</t>
  </si>
  <si>
    <t>Ln(Al2O3/Na2O)</t>
  </si>
  <si>
    <t>Fe</t>
  </si>
  <si>
    <t>FeO</t>
  </si>
  <si>
    <t>Fe2O3</t>
  </si>
  <si>
    <t>Fe2O3 molar</t>
  </si>
  <si>
    <t>K</t>
  </si>
  <si>
    <t>K2O</t>
  </si>
  <si>
    <t>K2O molar</t>
  </si>
  <si>
    <t>Ca</t>
  </si>
  <si>
    <t>CaO</t>
  </si>
  <si>
    <t>CaO molar</t>
  </si>
  <si>
    <t>Mg</t>
  </si>
  <si>
    <t>MgO</t>
  </si>
  <si>
    <t>MgO molar</t>
  </si>
  <si>
    <t>S</t>
  </si>
  <si>
    <t>Ti</t>
  </si>
  <si>
    <t>TiO2</t>
  </si>
  <si>
    <t>TiO2 molar</t>
  </si>
  <si>
    <t>Mn (ppm)</t>
  </si>
  <si>
    <t>MnO</t>
  </si>
  <si>
    <t>MnO molar</t>
  </si>
  <si>
    <t>Ba (ppm)</t>
  </si>
  <si>
    <t>P (ppm)</t>
  </si>
  <si>
    <t>P2O5</t>
  </si>
  <si>
    <t>CaO'</t>
  </si>
  <si>
    <t>CaO'/Na2O</t>
  </si>
  <si>
    <t>Zr (ppm)</t>
  </si>
  <si>
    <t>Sr (ppm)</t>
  </si>
  <si>
    <t>V (ppm)</t>
  </si>
  <si>
    <t>Vef</t>
  </si>
  <si>
    <t>Zn (ppm)</t>
  </si>
  <si>
    <t>Znef</t>
  </si>
  <si>
    <t>Cr (ppm)</t>
  </si>
  <si>
    <t>Cref</t>
  </si>
  <si>
    <t>Ni (ppm)</t>
  </si>
  <si>
    <t>Nief</t>
  </si>
  <si>
    <t>Cu (ppm)</t>
  </si>
  <si>
    <t>Cuef</t>
  </si>
  <si>
    <t>Co (ppm)</t>
  </si>
  <si>
    <t>Coef</t>
  </si>
  <si>
    <t>Mo (ppm)</t>
  </si>
  <si>
    <t>Moef</t>
  </si>
  <si>
    <t>Cd (ppm)</t>
  </si>
  <si>
    <t>U (ppm)</t>
  </si>
  <si>
    <t>Uef</t>
  </si>
  <si>
    <t>Th (ppm)</t>
  </si>
  <si>
    <t>Si/Al</t>
  </si>
  <si>
    <t>Al/K</t>
  </si>
  <si>
    <t>Zr/Al</t>
  </si>
  <si>
    <t>Ti/Al</t>
  </si>
  <si>
    <t>K2O/Rb</t>
  </si>
  <si>
    <t>CIA</t>
  </si>
  <si>
    <t>ICV</t>
  </si>
  <si>
    <t>Rb/Sr</t>
  </si>
  <si>
    <t>Bi (ppm)</t>
  </si>
  <si>
    <t>Ag (ppm)</t>
  </si>
  <si>
    <t>W (ppm)</t>
  </si>
  <si>
    <t>Y (ppm)</t>
  </si>
  <si>
    <t>Pb (ppm)</t>
  </si>
  <si>
    <t>Nb (ppm)</t>
  </si>
  <si>
    <t>As (ppm)</t>
  </si>
  <si>
    <t>Se (ppm)</t>
  </si>
  <si>
    <t>Sn (ppm)</t>
  </si>
  <si>
    <t>Sb (ppm)</t>
  </si>
  <si>
    <t>Rb (ppm)</t>
  </si>
  <si>
    <t>Hg (ppm)</t>
  </si>
  <si>
    <t>I (ppm)</t>
  </si>
  <si>
    <t>&lt;21</t>
  </si>
  <si>
    <t>&lt;6</t>
  </si>
  <si>
    <t>&lt;15</t>
  </si>
  <si>
    <t>&lt;1200</t>
  </si>
  <si>
    <t>&lt;26</t>
  </si>
  <si>
    <t>&lt;22</t>
  </si>
  <si>
    <t>&lt;1100</t>
  </si>
  <si>
    <t>&lt;27</t>
  </si>
  <si>
    <t>&lt;7</t>
  </si>
  <si>
    <t>&lt;20</t>
  </si>
  <si>
    <t>&lt;19</t>
  </si>
  <si>
    <t>&lt;14</t>
  </si>
  <si>
    <t>&lt;13</t>
  </si>
  <si>
    <t>&lt;16</t>
  </si>
  <si>
    <t>&lt;930</t>
  </si>
  <si>
    <t>&lt;910</t>
  </si>
  <si>
    <t>&lt;860</t>
  </si>
  <si>
    <t>&lt;3</t>
  </si>
  <si>
    <t>&lt;18</t>
  </si>
  <si>
    <t>&lt;1110</t>
  </si>
  <si>
    <t>&lt;1000</t>
  </si>
  <si>
    <t>&lt;920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</si>
</sst>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3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08D20-0300-40E4-8CC2-15419E6145A4}">
  <dimension ref="A1:CB25"/>
  <sheetViews>
    <sheetView tabSelected="1" zoomScale="90" zoomScaleNormal="90" workbookViewId="0">
      <pane ySplit="1" topLeftCell="BN2" activePane="bottomLeft" state="frozen"/>
      <selection pane="bottomLeft" activeCell="CB2" sqref="CB2"/>
    </sheetView>
  </sheetViews>
  <sheetFormatPr defaultColWidth="9" defaultRowHeight="14.45"/>
  <cols>
    <col min="1" max="1" width="13.5703125" customWidth="1"/>
    <col min="2" max="2" width="10.140625" customWidth="1"/>
    <col min="3" max="3" width="13.85546875" customWidth="1"/>
    <col min="4" max="4" width="13.140625" customWidth="1"/>
    <col min="6" max="6" width="4.42578125" bestFit="1" customWidth="1"/>
    <col min="7" max="7" width="4.7109375" bestFit="1" customWidth="1"/>
    <col min="8" max="8" width="6.42578125" customWidth="1"/>
    <col min="9" max="9" width="11.85546875" customWidth="1"/>
    <col min="10" max="10" width="9.28515625" customWidth="1"/>
    <col min="11" max="12" width="8.42578125" customWidth="1"/>
    <col min="13" max="13" width="11.42578125" customWidth="1"/>
    <col min="14" max="14" width="15.7109375" customWidth="1"/>
    <col min="15" max="15" width="5.7109375" bestFit="1" customWidth="1"/>
    <col min="16" max="16" width="5.7109375" customWidth="1"/>
    <col min="17" max="17" width="7.85546875" customWidth="1"/>
    <col min="18" max="18" width="12.85546875" customWidth="1"/>
    <col min="19" max="19" width="5.7109375" bestFit="1" customWidth="1"/>
    <col min="20" max="20" width="5.7109375" customWidth="1"/>
    <col min="21" max="21" width="10.85546875" customWidth="1"/>
    <col min="22" max="22" width="5.7109375" bestFit="1" customWidth="1"/>
    <col min="23" max="23" width="5.7109375" customWidth="1"/>
    <col min="24" max="24" width="10.42578125" customWidth="1"/>
    <col min="25" max="25" width="5.7109375" bestFit="1" customWidth="1"/>
    <col min="26" max="26" width="5.7109375" customWidth="1"/>
    <col min="27" max="27" width="10.85546875" customWidth="1"/>
    <col min="29" max="29" width="5.7109375" bestFit="1" customWidth="1"/>
    <col min="30" max="30" width="4.42578125" bestFit="1" customWidth="1"/>
    <col min="31" max="31" width="10.85546875" customWidth="1"/>
    <col min="32" max="32" width="10.140625" customWidth="1"/>
    <col min="33" max="33" width="6.28515625" customWidth="1"/>
    <col min="34" max="34" width="10.85546875" customWidth="1"/>
    <col min="37" max="37" width="7.7109375" customWidth="1"/>
    <col min="38" max="38" width="11.5703125" customWidth="1"/>
    <col min="39" max="39" width="12.42578125" customWidth="1"/>
    <col min="50" max="50" width="9.140625" style="13"/>
    <col min="66" max="66" width="9.28515625" bestFit="1" customWidth="1"/>
    <col min="71" max="71" width="10.28515625" customWidth="1"/>
  </cols>
  <sheetData>
    <row r="1" spans="1:80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2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</row>
    <row r="2" spans="1:80" s="4" customFormat="1">
      <c r="A2" s="4">
        <v>11000</v>
      </c>
      <c r="B2" s="4">
        <v>3353</v>
      </c>
      <c r="C2" s="4">
        <v>65.88</v>
      </c>
      <c r="D2" s="5">
        <v>40.1</v>
      </c>
      <c r="E2" s="4">
        <v>1.712</v>
      </c>
      <c r="F2" s="5">
        <f>E2*2.1393</f>
        <v>3.6624816</v>
      </c>
      <c r="G2" s="4">
        <v>0.42</v>
      </c>
      <c r="H2" s="5">
        <f>G2*1.8895</f>
        <v>0.79358999999999991</v>
      </c>
      <c r="I2" s="6">
        <f>H2/101.96</f>
        <v>7.7833464103570027E-3</v>
      </c>
      <c r="J2" s="6">
        <f>H2*5</f>
        <v>3.9679499999999996</v>
      </c>
      <c r="K2" s="6">
        <f>W2*2</f>
        <v>47.649940000000001</v>
      </c>
      <c r="L2" s="5">
        <v>2.44</v>
      </c>
      <c r="M2" s="6">
        <f>L2/61.98</f>
        <v>3.93675379154566E-2</v>
      </c>
      <c r="N2" s="6">
        <f t="shared" ref="N2:N25" si="0">LN(I2/M2)</f>
        <v>-1.6209551903507395</v>
      </c>
      <c r="O2" s="7">
        <v>2.8290000000000002</v>
      </c>
      <c r="P2" s="5">
        <f>O2*1.2865</f>
        <v>3.6395085000000003</v>
      </c>
      <c r="Q2" s="7">
        <f>O2*1.4297</f>
        <v>4.0446213000000002</v>
      </c>
      <c r="R2" s="8">
        <f>Q2/159.7</f>
        <v>2.532637006887915E-2</v>
      </c>
      <c r="S2" s="7">
        <v>0.56000000000000005</v>
      </c>
      <c r="T2" s="5">
        <f>S2*1.2046</f>
        <v>0.67457599999999995</v>
      </c>
      <c r="U2" s="8">
        <f>T2/94.2</f>
        <v>7.1611040339702751E-3</v>
      </c>
      <c r="V2" s="7">
        <v>17.03</v>
      </c>
      <c r="W2" s="5">
        <f>V2*1.399</f>
        <v>23.82497</v>
      </c>
      <c r="X2" s="7">
        <f>W2/56.08</f>
        <v>0.42483898002853071</v>
      </c>
      <c r="Y2" s="4">
        <v>10.51</v>
      </c>
      <c r="Z2" s="9">
        <f>Y2*1.6581</f>
        <v>17.426631</v>
      </c>
      <c r="AA2" s="2">
        <f>Z2/40.3</f>
        <v>0.43242260545905709</v>
      </c>
      <c r="AB2" s="4">
        <v>0.438</v>
      </c>
      <c r="AC2" s="4">
        <v>5.3999999999999999E-2</v>
      </c>
      <c r="AD2" s="7">
        <f>AC2*1.6681</f>
        <v>9.0077399999999988E-2</v>
      </c>
      <c r="AE2" s="8">
        <f>AD2/80</f>
        <v>1.1259674999999998E-3</v>
      </c>
      <c r="AF2" s="4">
        <v>2450</v>
      </c>
      <c r="AG2" s="7">
        <f>(AF2*1.2912)/10000</f>
        <v>0.31634399999999996</v>
      </c>
      <c r="AH2" s="8">
        <f>AG2/70.92</f>
        <v>4.4605752961082903E-3</v>
      </c>
      <c r="AI2" s="10">
        <v>2500</v>
      </c>
      <c r="AJ2" s="10">
        <v>340</v>
      </c>
      <c r="AK2" s="11">
        <f>(AJ2*2.2914)/10000</f>
        <v>7.7907599999999994E-2</v>
      </c>
      <c r="AL2" s="10">
        <f>W2-(10/3)*AK2</f>
        <v>23.565277999999999</v>
      </c>
      <c r="AM2" s="10">
        <f>AL2/L2</f>
        <v>9.6579008196721308</v>
      </c>
      <c r="AN2" s="4">
        <v>26</v>
      </c>
      <c r="AO2" s="4">
        <v>74</v>
      </c>
      <c r="AP2" s="4">
        <v>115</v>
      </c>
      <c r="AQ2" s="7">
        <f t="shared" ref="AQ2:AQ25" si="1">(AP2/G2)/(130/8.84)</f>
        <v>18.619047619047617</v>
      </c>
      <c r="AR2" s="4">
        <v>49</v>
      </c>
      <c r="AS2" s="7">
        <f t="shared" ref="AS2:AS25" si="2">(AR2/G2)/(95/8.84)</f>
        <v>10.856140350877192</v>
      </c>
      <c r="AT2" s="4">
        <v>68</v>
      </c>
      <c r="AU2" s="7">
        <f t="shared" ref="AU2:AU25" si="3">(AT2/G2)/(90/8.84)</f>
        <v>15.902645502645504</v>
      </c>
      <c r="AV2" s="4">
        <v>54</v>
      </c>
      <c r="AW2" s="7">
        <f t="shared" ref="AW2:AW25" si="4">(AV2/G2)/(68/8.84)</f>
        <v>16.714285714285715</v>
      </c>
      <c r="AX2" s="4">
        <v>43</v>
      </c>
      <c r="AY2" s="7">
        <f t="shared" ref="AY2:AY25" si="5">(AX2/G2)/(45/8.84)</f>
        <v>20.112169312169314</v>
      </c>
      <c r="AZ2" s="4">
        <v>139</v>
      </c>
      <c r="BA2" s="7">
        <f t="shared" ref="BA2:BA25" si="6">(AZ2/G2)/(19/8.84)</f>
        <v>153.97994987468672</v>
      </c>
      <c r="BB2" s="4">
        <v>10</v>
      </c>
      <c r="BC2" s="7">
        <f t="shared" ref="BC2:BC25" si="7">(BB2/G2)/(2.6/8.84)</f>
        <v>80.952380952380949</v>
      </c>
      <c r="BD2" s="4">
        <v>37</v>
      </c>
      <c r="BE2" s="4">
        <v>8</v>
      </c>
      <c r="BF2" s="7">
        <f>(BE2/G2)/(3.7/8.84)</f>
        <v>45.508365508365507</v>
      </c>
      <c r="BG2" s="4">
        <v>18</v>
      </c>
      <c r="BH2" s="7">
        <f t="shared" ref="BH2:BH25" si="8">E2/G2</f>
        <v>4.0761904761904759</v>
      </c>
      <c r="BI2" s="7">
        <f t="shared" ref="BI2:BI25" si="9">G2/S2</f>
        <v>0.74999999999999989</v>
      </c>
      <c r="BJ2" s="7">
        <f t="shared" ref="BJ2:BJ25" si="10">AN2/G2</f>
        <v>61.904761904761905</v>
      </c>
      <c r="BK2" s="6">
        <f t="shared" ref="BK2:BK25" si="11">AC2/G2</f>
        <v>0.12857142857142859</v>
      </c>
      <c r="BL2" s="6">
        <f>(T2/BZ2)*10000</f>
        <v>259.45230769230767</v>
      </c>
      <c r="BM2" s="6">
        <f>(I2/(I2+M2+M2+U2))*100</f>
        <v>8.3084818207648663</v>
      </c>
      <c r="BN2" s="12">
        <f>(R2+U2+M2+AA2+AE2+M2)/I2</f>
        <v>69.991889628336921</v>
      </c>
      <c r="BO2" s="8">
        <f>BZ2/AO2</f>
        <v>0.35135135135135137</v>
      </c>
      <c r="BP2" s="4">
        <v>41</v>
      </c>
      <c r="BQ2" s="4">
        <v>41</v>
      </c>
      <c r="BR2" s="4" t="s">
        <v>80</v>
      </c>
      <c r="BS2" s="4">
        <v>12</v>
      </c>
      <c r="BT2" s="4">
        <v>19</v>
      </c>
      <c r="BU2" s="4" t="s">
        <v>81</v>
      </c>
      <c r="BV2" s="4">
        <v>9</v>
      </c>
      <c r="BW2" s="4">
        <v>7</v>
      </c>
      <c r="BX2" s="4">
        <v>111</v>
      </c>
      <c r="BY2" s="4">
        <v>143</v>
      </c>
      <c r="BZ2" s="4">
        <v>26</v>
      </c>
      <c r="CA2" s="4" t="s">
        <v>82</v>
      </c>
      <c r="CB2" s="4" t="s">
        <v>83</v>
      </c>
    </row>
    <row r="3" spans="1:80" s="4" customFormat="1">
      <c r="A3" s="4">
        <v>11160</v>
      </c>
      <c r="B3" s="4">
        <v>3402</v>
      </c>
      <c r="C3" s="4">
        <v>60.41</v>
      </c>
      <c r="D3" s="5">
        <v>62.6</v>
      </c>
      <c r="E3" s="4">
        <v>5.77</v>
      </c>
      <c r="F3" s="5">
        <f t="shared" ref="F3:F25" si="12">E3*2.1393</f>
        <v>12.343760999999999</v>
      </c>
      <c r="G3" s="4">
        <v>2.2799999999999998</v>
      </c>
      <c r="H3" s="5">
        <f t="shared" ref="H3:H25" si="13">G3*1.8895</f>
        <v>4.3080599999999993</v>
      </c>
      <c r="I3" s="6">
        <f t="shared" ref="I3:I25" si="14">H3/101.96</f>
        <v>4.225245194193801E-2</v>
      </c>
      <c r="J3" s="6">
        <f t="shared" ref="J3:J25" si="15">H3*5</f>
        <v>21.540299999999995</v>
      </c>
      <c r="K3" s="6">
        <f t="shared" ref="K3:K25" si="16">W3*2</f>
        <v>70.593540000000004</v>
      </c>
      <c r="L3" s="5">
        <v>2.46</v>
      </c>
      <c r="M3" s="6">
        <f t="shared" ref="M3:M25" si="17">L3/61.98</f>
        <v>3.9690222652468542E-2</v>
      </c>
      <c r="N3" s="6">
        <f t="shared" si="0"/>
        <v>6.2557509681171908E-2</v>
      </c>
      <c r="O3" s="7">
        <v>1.4890000000000001</v>
      </c>
      <c r="P3" s="5">
        <f t="shared" ref="P3:P25" si="18">O3*1.2865</f>
        <v>1.9155985000000002</v>
      </c>
      <c r="Q3" s="7">
        <f t="shared" ref="Q3:Q25" si="19">O3*1.4297</f>
        <v>2.1288233000000001</v>
      </c>
      <c r="R3" s="8">
        <f t="shared" ref="R3:R25" si="20">Q3/159.7</f>
        <v>1.3330139636819038E-2</v>
      </c>
      <c r="S3" s="7">
        <v>1.2110000000000001</v>
      </c>
      <c r="T3" s="5">
        <f t="shared" ref="T3:T25" si="21">S3*1.2046</f>
        <v>1.4587706</v>
      </c>
      <c r="U3" s="8">
        <f t="shared" ref="U3:U25" si="22">T3/94.2</f>
        <v>1.5485887473460722E-2</v>
      </c>
      <c r="V3" s="7">
        <v>25.23</v>
      </c>
      <c r="W3" s="5">
        <f t="shared" ref="W3:W25" si="23">V3*1.399</f>
        <v>35.296770000000002</v>
      </c>
      <c r="X3" s="7">
        <f t="shared" ref="X3:X25" si="24">W3/56.08</f>
        <v>0.62940032097004284</v>
      </c>
      <c r="Y3" s="4">
        <v>2.0299999999999998</v>
      </c>
      <c r="Z3" s="9">
        <f t="shared" ref="Z3:Z25" si="25">Y3*1.6581</f>
        <v>3.3659429999999997</v>
      </c>
      <c r="AA3" s="2">
        <f t="shared" ref="AA3:AA25" si="26">Z3/40.3</f>
        <v>8.3522158808933003E-2</v>
      </c>
      <c r="AB3" s="4">
        <v>1.0669999999999999</v>
      </c>
      <c r="AC3" s="4">
        <v>0.22500000000000001</v>
      </c>
      <c r="AD3" s="7">
        <f t="shared" ref="AD3:AD25" si="27">AC3*1.6681</f>
        <v>0.3753225</v>
      </c>
      <c r="AE3" s="8">
        <f t="shared" ref="AE3:AE25" si="28">AD3/80</f>
        <v>4.6915312500000004E-3</v>
      </c>
      <c r="AF3" s="4">
        <v>445</v>
      </c>
      <c r="AG3" s="7">
        <f t="shared" ref="AG3:AG25" si="29">(AF3*1.2912)/10000</f>
        <v>5.7458399999999993E-2</v>
      </c>
      <c r="AH3" s="8">
        <f t="shared" ref="AH3:AH25" si="30">AG3/70.92</f>
        <v>8.1018612521150583E-4</v>
      </c>
      <c r="AI3" s="10">
        <v>1340</v>
      </c>
      <c r="AJ3" s="10">
        <v>330</v>
      </c>
      <c r="AK3" s="11">
        <f t="shared" ref="AK3:AK25" si="31">(AJ3*2.2914)/10000</f>
        <v>7.5616199999999995E-2</v>
      </c>
      <c r="AL3" s="10">
        <f t="shared" ref="AL3:AL25" si="32">W3-(10/3)*AK3</f>
        <v>35.044716000000001</v>
      </c>
      <c r="AM3" s="10">
        <f t="shared" ref="AM3:AM25" si="33">AL3/L3</f>
        <v>14.245819512195123</v>
      </c>
      <c r="AN3" s="4">
        <v>62</v>
      </c>
      <c r="AO3" s="4">
        <v>378</v>
      </c>
      <c r="AP3" s="4">
        <v>110</v>
      </c>
      <c r="AQ3" s="7">
        <f t="shared" si="1"/>
        <v>3.2807017543859653</v>
      </c>
      <c r="AR3" s="4">
        <v>38</v>
      </c>
      <c r="AS3" s="7">
        <f t="shared" si="2"/>
        <v>1.5508771929824561</v>
      </c>
      <c r="AT3" s="4">
        <v>98</v>
      </c>
      <c r="AU3" s="7">
        <f t="shared" si="3"/>
        <v>4.2218323586744653</v>
      </c>
      <c r="AV3" s="4">
        <v>35</v>
      </c>
      <c r="AW3" s="7">
        <f t="shared" si="4"/>
        <v>1.9956140350877194</v>
      </c>
      <c r="AX3" s="4">
        <v>41</v>
      </c>
      <c r="AY3" s="7">
        <f t="shared" si="5"/>
        <v>3.5325536062378178</v>
      </c>
      <c r="AZ3" s="4">
        <v>119</v>
      </c>
      <c r="BA3" s="7">
        <f t="shared" si="6"/>
        <v>24.283471837488463</v>
      </c>
      <c r="BB3" s="4">
        <v>13</v>
      </c>
      <c r="BC3" s="7">
        <f t="shared" si="7"/>
        <v>19.385964912280702</v>
      </c>
      <c r="BD3" s="4">
        <v>47</v>
      </c>
      <c r="BE3" s="4">
        <v>15</v>
      </c>
      <c r="BF3" s="7">
        <f>(BE3/G3)/(3.7/8.84)</f>
        <v>15.718349928876245</v>
      </c>
      <c r="BG3" s="4">
        <v>26</v>
      </c>
      <c r="BH3" s="7">
        <f t="shared" si="8"/>
        <v>2.5307017543859649</v>
      </c>
      <c r="BI3" s="7">
        <f t="shared" si="9"/>
        <v>1.8827415359207265</v>
      </c>
      <c r="BJ3" s="7">
        <f t="shared" si="10"/>
        <v>27.192982456140353</v>
      </c>
      <c r="BK3" s="6">
        <f t="shared" si="11"/>
        <v>9.8684210526315805E-2</v>
      </c>
      <c r="BL3" s="6">
        <f>(T3/BZ3)*10000</f>
        <v>364.69265000000001</v>
      </c>
      <c r="BM3" s="6">
        <f>(I3/(I3+M3+M3+U3))*100</f>
        <v>30.814488348999809</v>
      </c>
      <c r="BN3" s="12">
        <f>(R3+U3+M3+AA3+AE3+M3)/I3</f>
        <v>4.6484914708393852</v>
      </c>
      <c r="BO3" s="8">
        <f>BZ3/AO3</f>
        <v>0.10582010582010581</v>
      </c>
      <c r="BP3" s="4">
        <v>51</v>
      </c>
      <c r="BQ3" s="4">
        <v>46</v>
      </c>
      <c r="BR3" s="4" t="s">
        <v>84</v>
      </c>
      <c r="BS3" s="4">
        <v>13</v>
      </c>
      <c r="BT3" s="4">
        <v>15</v>
      </c>
      <c r="BU3" s="4">
        <v>13</v>
      </c>
      <c r="BV3" s="4">
        <v>12</v>
      </c>
      <c r="BW3" s="4">
        <v>6</v>
      </c>
      <c r="BX3" s="4">
        <v>137</v>
      </c>
      <c r="BY3" s="4">
        <v>107</v>
      </c>
      <c r="BZ3" s="4">
        <v>40</v>
      </c>
      <c r="CA3" s="4" t="s">
        <v>85</v>
      </c>
      <c r="CB3" s="4" t="s">
        <v>86</v>
      </c>
    </row>
    <row r="4" spans="1:80" s="4" customFormat="1">
      <c r="A4" s="4">
        <v>11180</v>
      </c>
      <c r="B4" s="4">
        <v>3408</v>
      </c>
      <c r="C4" s="4">
        <v>63.14</v>
      </c>
      <c r="D4" s="5">
        <v>64.099999999999994</v>
      </c>
      <c r="E4" s="4">
        <v>3.9820000000000002</v>
      </c>
      <c r="F4" s="5">
        <f t="shared" si="12"/>
        <v>8.5186925999999996</v>
      </c>
      <c r="G4" s="4">
        <v>1.82</v>
      </c>
      <c r="H4" s="5">
        <f t="shared" si="13"/>
        <v>3.4388900000000002</v>
      </c>
      <c r="I4" s="6">
        <f t="shared" si="14"/>
        <v>3.3727834444880346E-2</v>
      </c>
      <c r="J4" s="6">
        <f t="shared" si="15"/>
        <v>17.19445</v>
      </c>
      <c r="K4" s="6">
        <f t="shared" si="16"/>
        <v>70.313739999999996</v>
      </c>
      <c r="L4" s="5">
        <v>4</v>
      </c>
      <c r="M4" s="6">
        <f t="shared" si="17"/>
        <v>6.453694740238787E-2</v>
      </c>
      <c r="N4" s="6">
        <f t="shared" si="0"/>
        <v>-0.64891444337209259</v>
      </c>
      <c r="O4" s="7">
        <v>1.022</v>
      </c>
      <c r="P4" s="5">
        <f t="shared" si="18"/>
        <v>1.3148029999999999</v>
      </c>
      <c r="Q4" s="7">
        <f t="shared" si="19"/>
        <v>1.4611533999999999</v>
      </c>
      <c r="R4" s="8">
        <f t="shared" si="20"/>
        <v>9.1493638071383845E-3</v>
      </c>
      <c r="S4" s="7">
        <v>1.0740000000000001</v>
      </c>
      <c r="T4" s="5">
        <f t="shared" si="21"/>
        <v>1.2937403999999999</v>
      </c>
      <c r="U4" s="8">
        <f t="shared" si="22"/>
        <v>1.3733974522292991E-2</v>
      </c>
      <c r="V4" s="7">
        <v>25.13</v>
      </c>
      <c r="W4" s="5">
        <f t="shared" si="23"/>
        <v>35.156869999999998</v>
      </c>
      <c r="X4" s="7">
        <f t="shared" si="24"/>
        <v>0.62690567047075607</v>
      </c>
      <c r="Y4" s="4">
        <v>2.16</v>
      </c>
      <c r="Z4" s="9">
        <f t="shared" si="25"/>
        <v>3.581496</v>
      </c>
      <c r="AA4" s="2">
        <f t="shared" si="26"/>
        <v>8.8870868486352367E-2</v>
      </c>
      <c r="AB4" s="4">
        <v>1.1439999999999999</v>
      </c>
      <c r="AC4" s="4">
        <v>0.09</v>
      </c>
      <c r="AD4" s="7">
        <f t="shared" si="27"/>
        <v>0.15012899999999998</v>
      </c>
      <c r="AE4" s="8">
        <f t="shared" si="28"/>
        <v>1.8766124999999999E-3</v>
      </c>
      <c r="AF4" s="4">
        <v>398</v>
      </c>
      <c r="AG4" s="7">
        <f t="shared" si="29"/>
        <v>5.138976E-2</v>
      </c>
      <c r="AH4" s="8">
        <f t="shared" si="30"/>
        <v>7.2461590524534685E-4</v>
      </c>
      <c r="AI4" s="10">
        <v>2950</v>
      </c>
      <c r="AJ4" s="10">
        <v>330</v>
      </c>
      <c r="AK4" s="11">
        <f t="shared" si="31"/>
        <v>7.5616199999999995E-2</v>
      </c>
      <c r="AL4" s="10">
        <f t="shared" si="32"/>
        <v>34.904815999999997</v>
      </c>
      <c r="AM4" s="10">
        <f t="shared" si="33"/>
        <v>8.7262039999999992</v>
      </c>
      <c r="AN4" s="4">
        <v>50</v>
      </c>
      <c r="AO4" s="4">
        <v>260</v>
      </c>
      <c r="AP4" s="4">
        <v>130</v>
      </c>
      <c r="AQ4" s="7">
        <f t="shared" si="1"/>
        <v>4.8571428571428568</v>
      </c>
      <c r="AR4" s="4">
        <v>42</v>
      </c>
      <c r="AS4" s="7">
        <f t="shared" si="2"/>
        <v>2.1473684210526316</v>
      </c>
      <c r="AT4" s="4">
        <v>97</v>
      </c>
      <c r="AU4" s="7">
        <f t="shared" si="3"/>
        <v>5.234920634920635</v>
      </c>
      <c r="AV4" s="4">
        <v>37</v>
      </c>
      <c r="AW4" s="7">
        <f t="shared" si="4"/>
        <v>2.6428571428571428</v>
      </c>
      <c r="AX4" s="4">
        <v>18</v>
      </c>
      <c r="AY4" s="7">
        <f t="shared" si="5"/>
        <v>1.9428571428571431</v>
      </c>
      <c r="AZ4" s="4">
        <v>95</v>
      </c>
      <c r="BA4" s="7">
        <f t="shared" si="6"/>
        <v>24.285714285714285</v>
      </c>
      <c r="BB4" s="4">
        <v>27</v>
      </c>
      <c r="BC4" s="7">
        <f t="shared" si="7"/>
        <v>50.439560439560431</v>
      </c>
      <c r="BD4" s="4">
        <v>75</v>
      </c>
      <c r="BE4" s="4">
        <v>6</v>
      </c>
      <c r="BF4" s="7">
        <f>(BE4/G4)/(3.7/8.84)</f>
        <v>7.8764478764478758</v>
      </c>
      <c r="BG4" s="4">
        <v>22</v>
      </c>
      <c r="BH4" s="7">
        <f t="shared" si="8"/>
        <v>2.1879120879120881</v>
      </c>
      <c r="BI4" s="7">
        <f t="shared" si="9"/>
        <v>1.6945996275605213</v>
      </c>
      <c r="BJ4" s="7">
        <f t="shared" si="10"/>
        <v>27.472527472527471</v>
      </c>
      <c r="BK4" s="6">
        <f t="shared" si="11"/>
        <v>4.9450549450549448E-2</v>
      </c>
      <c r="BL4" s="6">
        <f>(T4/BZ4)*10000</f>
        <v>497.59246153846152</v>
      </c>
      <c r="BM4" s="6">
        <f>(I4/(I4+M4+M4+U4))*100</f>
        <v>19.105389858388286</v>
      </c>
      <c r="BN4" s="12">
        <f>(R4+U4+M4+AA4+AE4+M4)/I4</f>
        <v>7.1959767982495064</v>
      </c>
      <c r="BO4" s="8">
        <f>BZ4/AO4</f>
        <v>0.1</v>
      </c>
      <c r="BP4" s="4">
        <v>50</v>
      </c>
      <c r="BQ4" s="4">
        <v>45</v>
      </c>
      <c r="BR4" s="4" t="s">
        <v>87</v>
      </c>
      <c r="BS4" s="4">
        <v>10</v>
      </c>
      <c r="BT4" s="4">
        <v>8</v>
      </c>
      <c r="BU4" s="4" t="s">
        <v>88</v>
      </c>
      <c r="BV4" s="4">
        <v>9</v>
      </c>
      <c r="BW4" s="4">
        <v>12</v>
      </c>
      <c r="BX4" s="4">
        <v>96</v>
      </c>
      <c r="BY4" s="4">
        <v>159</v>
      </c>
      <c r="BZ4" s="4">
        <v>26</v>
      </c>
      <c r="CA4" s="4" t="s">
        <v>89</v>
      </c>
      <c r="CB4" s="4" t="s">
        <v>86</v>
      </c>
    </row>
    <row r="5" spans="1:80" s="4" customFormat="1">
      <c r="A5" s="4">
        <v>11240</v>
      </c>
      <c r="B5" s="4">
        <v>3426</v>
      </c>
      <c r="C5" s="4">
        <v>66.62</v>
      </c>
      <c r="D5" s="5">
        <v>54.4</v>
      </c>
      <c r="E5" s="4">
        <v>2.7349999999999999</v>
      </c>
      <c r="F5" s="5">
        <f t="shared" si="12"/>
        <v>5.8509854999999993</v>
      </c>
      <c r="G5" s="4">
        <v>1.19</v>
      </c>
      <c r="H5" s="5">
        <f t="shared" si="13"/>
        <v>2.2485049999999998</v>
      </c>
      <c r="I5" s="6">
        <f t="shared" si="14"/>
        <v>2.205281482934484E-2</v>
      </c>
      <c r="J5" s="6">
        <f t="shared" si="15"/>
        <v>11.242524999999999</v>
      </c>
      <c r="K5" s="6">
        <f t="shared" si="16"/>
        <v>72.943860000000001</v>
      </c>
      <c r="L5" s="5">
        <v>4.3</v>
      </c>
      <c r="M5" s="6">
        <f t="shared" si="17"/>
        <v>6.9377218457566961E-2</v>
      </c>
      <c r="N5" s="6">
        <f t="shared" si="0"/>
        <v>-1.1461182989169849</v>
      </c>
      <c r="O5" s="7">
        <v>0.76</v>
      </c>
      <c r="P5" s="5">
        <f t="shared" si="18"/>
        <v>0.97773999999999994</v>
      </c>
      <c r="Q5" s="7">
        <f t="shared" si="19"/>
        <v>1.0865720000000001</v>
      </c>
      <c r="R5" s="8">
        <f t="shared" si="20"/>
        <v>6.8038321853475274E-3</v>
      </c>
      <c r="S5" s="7">
        <v>0.57299999999999995</v>
      </c>
      <c r="T5" s="5">
        <f t="shared" si="21"/>
        <v>0.69023579999999984</v>
      </c>
      <c r="U5" s="8">
        <f t="shared" si="22"/>
        <v>7.3273439490445843E-3</v>
      </c>
      <c r="V5" s="7">
        <v>26.07</v>
      </c>
      <c r="W5" s="5">
        <f t="shared" si="23"/>
        <v>36.47193</v>
      </c>
      <c r="X5" s="7">
        <f t="shared" si="24"/>
        <v>0.65035538516405134</v>
      </c>
      <c r="Y5" s="4">
        <v>0.88</v>
      </c>
      <c r="Z5" s="9">
        <f t="shared" si="25"/>
        <v>1.459128</v>
      </c>
      <c r="AA5" s="2">
        <f t="shared" si="26"/>
        <v>3.6206650124069484E-2</v>
      </c>
      <c r="AB5" s="4">
        <v>0.60599999999999998</v>
      </c>
      <c r="AC5" s="4">
        <v>7.3999999999999996E-2</v>
      </c>
      <c r="AD5" s="7">
        <f t="shared" si="27"/>
        <v>0.12343939999999999</v>
      </c>
      <c r="AE5" s="8">
        <f t="shared" si="28"/>
        <v>1.5429924999999999E-3</v>
      </c>
      <c r="AF5" s="4">
        <v>328</v>
      </c>
      <c r="AG5" s="7">
        <f t="shared" si="29"/>
        <v>4.2351359999999998E-2</v>
      </c>
      <c r="AH5" s="8">
        <f t="shared" si="30"/>
        <v>5.9717089678510999E-4</v>
      </c>
      <c r="AI5" s="10">
        <v>3400</v>
      </c>
      <c r="AJ5" s="10">
        <v>340</v>
      </c>
      <c r="AK5" s="11">
        <f t="shared" si="31"/>
        <v>7.7907599999999994E-2</v>
      </c>
      <c r="AL5" s="10">
        <f t="shared" si="32"/>
        <v>36.212237999999999</v>
      </c>
      <c r="AM5" s="10">
        <f t="shared" si="33"/>
        <v>8.4214506976744179</v>
      </c>
      <c r="AN5" s="4">
        <v>24</v>
      </c>
      <c r="AO5" s="4">
        <v>343</v>
      </c>
      <c r="AP5" s="4">
        <v>130</v>
      </c>
      <c r="AQ5" s="7">
        <f t="shared" si="1"/>
        <v>7.4285714285714288</v>
      </c>
      <c r="AR5" s="4">
        <v>42</v>
      </c>
      <c r="AS5" s="7">
        <f t="shared" si="2"/>
        <v>3.2842105263157895</v>
      </c>
      <c r="AT5" s="4">
        <v>128</v>
      </c>
      <c r="AU5" s="7">
        <f t="shared" si="3"/>
        <v>10.565079365079367</v>
      </c>
      <c r="AV5" s="4">
        <v>26</v>
      </c>
      <c r="AW5" s="7">
        <f t="shared" si="4"/>
        <v>2.8403361344537816</v>
      </c>
      <c r="AX5" s="4">
        <v>68</v>
      </c>
      <c r="AY5" s="7">
        <f t="shared" si="5"/>
        <v>11.225396825396826</v>
      </c>
      <c r="AZ5" s="4">
        <v>80</v>
      </c>
      <c r="BA5" s="7">
        <f t="shared" si="6"/>
        <v>31.278195488721806</v>
      </c>
      <c r="BB5" s="4">
        <v>27</v>
      </c>
      <c r="BC5" s="7">
        <f t="shared" si="7"/>
        <v>77.142857142857139</v>
      </c>
      <c r="BD5" s="4">
        <v>45</v>
      </c>
      <c r="BE5" s="4">
        <v>15</v>
      </c>
      <c r="BF5" s="7">
        <f>(BE5/G5)/(3.7/8.84)</f>
        <v>30.115830115830118</v>
      </c>
      <c r="BG5" s="4">
        <v>22</v>
      </c>
      <c r="BH5" s="7">
        <f t="shared" si="8"/>
        <v>2.2983193277310923</v>
      </c>
      <c r="BI5" s="7">
        <f t="shared" si="9"/>
        <v>2.0767888307155324</v>
      </c>
      <c r="BJ5" s="7">
        <f t="shared" si="10"/>
        <v>20.168067226890756</v>
      </c>
      <c r="BK5" s="6">
        <f t="shared" si="11"/>
        <v>6.2184873949579833E-2</v>
      </c>
      <c r="BL5" s="6">
        <f>(T5/BZ5)*10000</f>
        <v>345.11789999999996</v>
      </c>
      <c r="BM5" s="6">
        <f>(I5/(I5+M5+M5+U5))*100</f>
        <v>13.116167281564605</v>
      </c>
      <c r="BN5" s="12">
        <f>(R5+U5+M5+AA5+AE5+M5)/I5</f>
        <v>8.6444863002216135</v>
      </c>
      <c r="BO5" s="8">
        <f>BZ5/AO5</f>
        <v>5.8309037900874633E-2</v>
      </c>
      <c r="BP5" s="4">
        <v>58</v>
      </c>
      <c r="BQ5" s="4">
        <v>25</v>
      </c>
      <c r="BR5" s="4" t="s">
        <v>87</v>
      </c>
      <c r="BS5" s="4">
        <v>13</v>
      </c>
      <c r="BT5" s="4">
        <v>27</v>
      </c>
      <c r="BU5" s="4" t="s">
        <v>88</v>
      </c>
      <c r="BV5" s="4">
        <v>8</v>
      </c>
      <c r="BW5" s="4">
        <v>4</v>
      </c>
      <c r="BX5" s="4">
        <v>86</v>
      </c>
      <c r="BY5" s="4">
        <v>83</v>
      </c>
      <c r="BZ5" s="4">
        <v>20</v>
      </c>
      <c r="CA5" s="4">
        <v>19</v>
      </c>
      <c r="CB5" s="4" t="s">
        <v>83</v>
      </c>
    </row>
    <row r="6" spans="1:80" s="4" customFormat="1">
      <c r="A6" s="4">
        <v>11310</v>
      </c>
      <c r="B6" s="4">
        <v>3447</v>
      </c>
      <c r="C6" s="4">
        <v>57.92</v>
      </c>
      <c r="D6" s="5">
        <v>14.3</v>
      </c>
      <c r="E6" s="4">
        <v>16.87</v>
      </c>
      <c r="F6" s="5">
        <f t="shared" si="12"/>
        <v>36.089991000000005</v>
      </c>
      <c r="G6" s="4">
        <v>6.3</v>
      </c>
      <c r="H6" s="5">
        <f t="shared" si="13"/>
        <v>11.90385</v>
      </c>
      <c r="I6" s="6">
        <f t="shared" si="14"/>
        <v>0.11675019615535505</v>
      </c>
      <c r="J6" s="6">
        <f t="shared" si="15"/>
        <v>59.51925</v>
      </c>
      <c r="K6" s="6">
        <f t="shared" si="16"/>
        <v>17.761703999999998</v>
      </c>
      <c r="L6" s="5">
        <v>1.81</v>
      </c>
      <c r="M6" s="6">
        <f t="shared" si="17"/>
        <v>2.9202968699580511E-2</v>
      </c>
      <c r="N6" s="6">
        <f t="shared" si="0"/>
        <v>1.3857662047788468</v>
      </c>
      <c r="O6" s="7">
        <v>4.5069999999999997</v>
      </c>
      <c r="P6" s="5">
        <f t="shared" si="18"/>
        <v>5.7982554999999998</v>
      </c>
      <c r="Q6" s="7">
        <f t="shared" si="19"/>
        <v>6.4436578999999998</v>
      </c>
      <c r="R6" s="8">
        <f t="shared" si="20"/>
        <v>4.0348515341264872E-2</v>
      </c>
      <c r="S6" s="7">
        <v>2.4420000000000002</v>
      </c>
      <c r="T6" s="5">
        <f t="shared" si="21"/>
        <v>2.9416332000000001</v>
      </c>
      <c r="U6" s="8">
        <f t="shared" si="22"/>
        <v>3.1227528662420383E-2</v>
      </c>
      <c r="V6" s="7">
        <v>6.3479999999999999</v>
      </c>
      <c r="W6" s="5">
        <f t="shared" si="23"/>
        <v>8.8808519999999991</v>
      </c>
      <c r="X6" s="7">
        <f t="shared" si="24"/>
        <v>0.15836041369472181</v>
      </c>
      <c r="Y6" s="4">
        <v>2.79</v>
      </c>
      <c r="Z6" s="9">
        <f t="shared" si="25"/>
        <v>4.626099</v>
      </c>
      <c r="AA6" s="2">
        <f t="shared" si="26"/>
        <v>0.11479153846153847</v>
      </c>
      <c r="AB6" s="4">
        <v>1.85</v>
      </c>
      <c r="AC6" s="4">
        <v>0.52800000000000002</v>
      </c>
      <c r="AD6" s="7">
        <f t="shared" si="27"/>
        <v>0.88075680000000001</v>
      </c>
      <c r="AE6" s="8">
        <f t="shared" si="28"/>
        <v>1.100946E-2</v>
      </c>
      <c r="AF6" s="4">
        <v>655</v>
      </c>
      <c r="AG6" s="7">
        <f t="shared" si="29"/>
        <v>8.4573599999999999E-2</v>
      </c>
      <c r="AH6" s="8">
        <f t="shared" si="30"/>
        <v>1.1925211505922166E-3</v>
      </c>
      <c r="AI6" s="10">
        <v>2130</v>
      </c>
      <c r="AJ6" s="10">
        <v>300</v>
      </c>
      <c r="AK6" s="11">
        <f t="shared" si="31"/>
        <v>6.8741999999999998E-2</v>
      </c>
      <c r="AL6" s="10">
        <f t="shared" si="32"/>
        <v>8.6517119999999998</v>
      </c>
      <c r="AM6" s="10">
        <f t="shared" si="33"/>
        <v>4.7799513812154695</v>
      </c>
      <c r="AN6" s="4">
        <v>285</v>
      </c>
      <c r="AO6" s="4">
        <v>124</v>
      </c>
      <c r="AP6" s="4">
        <v>310</v>
      </c>
      <c r="AQ6" s="7">
        <f t="shared" si="1"/>
        <v>3.3460317460317461</v>
      </c>
      <c r="AR6" s="4">
        <v>107</v>
      </c>
      <c r="AS6" s="7">
        <f t="shared" si="2"/>
        <v>1.5804177109440265</v>
      </c>
      <c r="AT6" s="4">
        <v>93</v>
      </c>
      <c r="AU6" s="7">
        <f t="shared" si="3"/>
        <v>1.4499470899470901</v>
      </c>
      <c r="AV6" s="4">
        <v>113</v>
      </c>
      <c r="AW6" s="7">
        <f t="shared" si="4"/>
        <v>2.3317460317460319</v>
      </c>
      <c r="AX6" s="4">
        <v>40</v>
      </c>
      <c r="AY6" s="7">
        <f t="shared" si="5"/>
        <v>1.2472663139329807</v>
      </c>
      <c r="AZ6" s="4">
        <v>159</v>
      </c>
      <c r="BA6" s="7">
        <f t="shared" si="6"/>
        <v>11.74235588972431</v>
      </c>
      <c r="BB6" s="4">
        <v>17</v>
      </c>
      <c r="BC6" s="7">
        <f t="shared" si="7"/>
        <v>9.1746031746031758</v>
      </c>
      <c r="BD6" s="4">
        <v>35</v>
      </c>
      <c r="BE6" s="4">
        <v>9</v>
      </c>
      <c r="BF6" s="7">
        <f>(BE6/G6)/(3.7/8.84)</f>
        <v>3.413127413127413</v>
      </c>
      <c r="BG6" s="4">
        <v>17</v>
      </c>
      <c r="BH6" s="7">
        <f t="shared" si="8"/>
        <v>2.677777777777778</v>
      </c>
      <c r="BI6" s="7">
        <f t="shared" si="9"/>
        <v>2.5798525798525795</v>
      </c>
      <c r="BJ6" s="7">
        <f t="shared" si="10"/>
        <v>45.238095238095241</v>
      </c>
      <c r="BK6" s="6">
        <f t="shared" si="11"/>
        <v>8.380952380952382E-2</v>
      </c>
      <c r="BL6" s="6">
        <f>(T6/BZ6)*10000</f>
        <v>306.42012499999998</v>
      </c>
      <c r="BM6" s="6">
        <f>(I6/(I6+M6+M6+U6))*100</f>
        <v>56.569495327898188</v>
      </c>
      <c r="BN6" s="12">
        <f>(R6+U6+M6+AA6+AE6+M6)/I6</f>
        <v>2.1908569603088637</v>
      </c>
      <c r="BO6" s="8">
        <f>BZ6/AO6</f>
        <v>0.77419354838709675</v>
      </c>
      <c r="BP6" s="4">
        <v>66</v>
      </c>
      <c r="BQ6" s="4">
        <v>21</v>
      </c>
      <c r="BR6" s="4" t="s">
        <v>90</v>
      </c>
      <c r="BS6" s="4">
        <v>35</v>
      </c>
      <c r="BT6" s="4">
        <v>23</v>
      </c>
      <c r="BU6" s="4">
        <v>22</v>
      </c>
      <c r="BV6" s="4">
        <v>6</v>
      </c>
      <c r="BW6" s="4">
        <v>7</v>
      </c>
      <c r="BX6" s="4">
        <v>35</v>
      </c>
      <c r="BY6" s="4">
        <v>70</v>
      </c>
      <c r="BZ6" s="4">
        <v>96</v>
      </c>
      <c r="CA6" s="4">
        <v>11</v>
      </c>
      <c r="CB6" s="4" t="s">
        <v>86</v>
      </c>
    </row>
    <row r="7" spans="1:80" s="4" customFormat="1">
      <c r="A7" s="4">
        <v>11350</v>
      </c>
      <c r="B7" s="4">
        <v>3460</v>
      </c>
      <c r="C7" s="4">
        <v>65.77</v>
      </c>
      <c r="D7" s="5">
        <v>10.5</v>
      </c>
      <c r="E7" s="4">
        <v>18.04</v>
      </c>
      <c r="F7" s="5">
        <f t="shared" si="12"/>
        <v>38.592971999999996</v>
      </c>
      <c r="G7" s="4">
        <v>3.81</v>
      </c>
      <c r="H7" s="5">
        <f t="shared" si="13"/>
        <v>7.198995</v>
      </c>
      <c r="I7" s="6">
        <f t="shared" si="14"/>
        <v>7.0606071008238527E-2</v>
      </c>
      <c r="J7" s="6">
        <f t="shared" si="15"/>
        <v>35.994974999999997</v>
      </c>
      <c r="K7" s="6">
        <f t="shared" si="16"/>
        <v>18.058291999999998</v>
      </c>
      <c r="L7" s="5">
        <v>1.22</v>
      </c>
      <c r="M7" s="6">
        <f t="shared" si="17"/>
        <v>1.96837689577283E-2</v>
      </c>
      <c r="N7" s="6">
        <f t="shared" si="0"/>
        <v>1.2773217470525384</v>
      </c>
      <c r="O7" s="7">
        <v>2.282</v>
      </c>
      <c r="P7" s="5">
        <f t="shared" si="18"/>
        <v>2.9357929999999999</v>
      </c>
      <c r="Q7" s="7">
        <f t="shared" si="19"/>
        <v>3.2625753999999998</v>
      </c>
      <c r="R7" s="8">
        <f t="shared" si="20"/>
        <v>2.0429401377582968E-2</v>
      </c>
      <c r="S7" s="7">
        <v>1.2190000000000001</v>
      </c>
      <c r="T7" s="5">
        <f t="shared" si="21"/>
        <v>1.4684074</v>
      </c>
      <c r="U7" s="8">
        <f t="shared" si="22"/>
        <v>1.5588188959660297E-2</v>
      </c>
      <c r="V7" s="7">
        <v>6.4539999999999997</v>
      </c>
      <c r="W7" s="5">
        <f t="shared" si="23"/>
        <v>9.029145999999999</v>
      </c>
      <c r="X7" s="7">
        <f t="shared" si="24"/>
        <v>0.16100474322396574</v>
      </c>
      <c r="Y7" s="4">
        <v>0.64</v>
      </c>
      <c r="Z7" s="9">
        <f t="shared" si="25"/>
        <v>1.0611839999999999</v>
      </c>
      <c r="AA7" s="2">
        <f t="shared" si="26"/>
        <v>2.6332109181141438E-2</v>
      </c>
      <c r="AB7" s="4">
        <v>1.607</v>
      </c>
      <c r="AC7" s="4">
        <v>0.39500000000000002</v>
      </c>
      <c r="AD7" s="7">
        <f t="shared" si="27"/>
        <v>0.65889949999999997</v>
      </c>
      <c r="AE7" s="8">
        <f t="shared" si="28"/>
        <v>8.2362437500000003E-3</v>
      </c>
      <c r="AF7" s="4">
        <v>531</v>
      </c>
      <c r="AG7" s="7">
        <f t="shared" si="29"/>
        <v>6.8562719999999994E-2</v>
      </c>
      <c r="AH7" s="8">
        <f t="shared" si="30"/>
        <v>9.6676142131979688E-4</v>
      </c>
      <c r="AI7" s="10">
        <v>2370</v>
      </c>
      <c r="AJ7" s="10">
        <v>290</v>
      </c>
      <c r="AK7" s="11">
        <f t="shared" si="31"/>
        <v>6.6450599999999999E-2</v>
      </c>
      <c r="AL7" s="10">
        <f t="shared" si="32"/>
        <v>8.8076439999999998</v>
      </c>
      <c r="AM7" s="10">
        <f t="shared" si="33"/>
        <v>7.2193803278688522</v>
      </c>
      <c r="AN7" s="4">
        <v>210</v>
      </c>
      <c r="AO7" s="4">
        <v>122</v>
      </c>
      <c r="AP7" s="4">
        <v>260</v>
      </c>
      <c r="AQ7" s="7">
        <f t="shared" si="1"/>
        <v>4.6404199475065617</v>
      </c>
      <c r="AR7" s="4">
        <v>68</v>
      </c>
      <c r="AS7" s="7">
        <f t="shared" si="2"/>
        <v>1.6607818759497166</v>
      </c>
      <c r="AT7" s="4">
        <v>77</v>
      </c>
      <c r="AU7" s="7">
        <f t="shared" si="3"/>
        <v>1.9850685331000291</v>
      </c>
      <c r="AV7" s="4">
        <v>84</v>
      </c>
      <c r="AW7" s="7">
        <f t="shared" si="4"/>
        <v>2.8661417322834644</v>
      </c>
      <c r="AX7" s="4">
        <v>22</v>
      </c>
      <c r="AY7" s="7">
        <f t="shared" si="5"/>
        <v>1.1343248760571596</v>
      </c>
      <c r="AZ7" s="4">
        <v>133</v>
      </c>
      <c r="BA7" s="7">
        <f t="shared" si="6"/>
        <v>16.241469816272968</v>
      </c>
      <c r="BB7" s="4">
        <v>17</v>
      </c>
      <c r="BC7" s="7">
        <f t="shared" si="7"/>
        <v>15.170603674540681</v>
      </c>
      <c r="BD7" s="4">
        <v>32</v>
      </c>
      <c r="BE7" s="4">
        <v>6</v>
      </c>
      <c r="BF7" s="7">
        <f>(BE7/G7)/(3.7/8.84)</f>
        <v>3.7625026601404552</v>
      </c>
      <c r="BG7" s="4">
        <v>16</v>
      </c>
      <c r="BH7" s="7">
        <f t="shared" si="8"/>
        <v>4.7349081364829395</v>
      </c>
      <c r="BI7" s="7">
        <f t="shared" si="9"/>
        <v>3.1255127153404429</v>
      </c>
      <c r="BJ7" s="7">
        <f t="shared" si="10"/>
        <v>55.118110236220474</v>
      </c>
      <c r="BK7" s="6">
        <f t="shared" si="11"/>
        <v>0.1036745406824147</v>
      </c>
      <c r="BL7" s="6">
        <f>(T7/BZ7)*10000</f>
        <v>358.14814634146342</v>
      </c>
      <c r="BM7" s="6">
        <f>(I7/(I7+M7+M7+U7))*100</f>
        <v>56.232128082325048</v>
      </c>
      <c r="BN7" s="12">
        <f>(R7+U7+M7+AA7+AE7+M7)/I7</f>
        <v>1.5572808345476639</v>
      </c>
      <c r="BO7" s="8">
        <f>BZ7/AO7</f>
        <v>0.33606557377049179</v>
      </c>
      <c r="BP7" s="4">
        <v>32</v>
      </c>
      <c r="BQ7" s="4">
        <v>76</v>
      </c>
      <c r="BR7" s="4" t="s">
        <v>90</v>
      </c>
      <c r="BS7" s="4">
        <v>22</v>
      </c>
      <c r="BT7" s="4">
        <v>20</v>
      </c>
      <c r="BU7" s="4" t="s">
        <v>81</v>
      </c>
      <c r="BV7" s="4">
        <v>7</v>
      </c>
      <c r="BW7" s="4">
        <v>7</v>
      </c>
      <c r="BX7" s="4">
        <v>49</v>
      </c>
      <c r="BY7" s="4">
        <v>118</v>
      </c>
      <c r="BZ7" s="4">
        <v>41</v>
      </c>
      <c r="CA7" s="4">
        <v>7</v>
      </c>
      <c r="CB7" s="4" t="s">
        <v>86</v>
      </c>
    </row>
    <row r="8" spans="1:80" s="4" customFormat="1">
      <c r="A8" s="4">
        <v>11500</v>
      </c>
      <c r="B8" s="4">
        <v>3505</v>
      </c>
      <c r="C8" s="4">
        <v>63.87</v>
      </c>
      <c r="D8" s="5">
        <v>9.6</v>
      </c>
      <c r="E8" s="4">
        <v>20.49</v>
      </c>
      <c r="F8" s="5">
        <f t="shared" si="12"/>
        <v>43.834256999999994</v>
      </c>
      <c r="G8" s="4">
        <v>3.51</v>
      </c>
      <c r="H8" s="5">
        <f t="shared" si="13"/>
        <v>6.6321449999999995</v>
      </c>
      <c r="I8" s="6">
        <f t="shared" si="14"/>
        <v>6.5046537857983519E-2</v>
      </c>
      <c r="J8" s="6">
        <f t="shared" si="15"/>
        <v>33.160724999999999</v>
      </c>
      <c r="K8" s="6">
        <f t="shared" si="16"/>
        <v>16.429856000000001</v>
      </c>
      <c r="L8" s="5">
        <v>3.29</v>
      </c>
      <c r="M8" s="6">
        <f t="shared" si="17"/>
        <v>5.3081639238464026E-2</v>
      </c>
      <c r="N8" s="6">
        <f t="shared" si="0"/>
        <v>0.20327188935958779</v>
      </c>
      <c r="O8" s="7">
        <v>1.591</v>
      </c>
      <c r="P8" s="5">
        <f t="shared" si="18"/>
        <v>2.0468215000000001</v>
      </c>
      <c r="Q8" s="7">
        <f t="shared" si="19"/>
        <v>2.2746526999999999</v>
      </c>
      <c r="R8" s="8">
        <f t="shared" si="20"/>
        <v>1.4243285535378835E-2</v>
      </c>
      <c r="S8" s="7">
        <v>1.0860000000000001</v>
      </c>
      <c r="T8" s="5">
        <f t="shared" si="21"/>
        <v>1.3081955999999999</v>
      </c>
      <c r="U8" s="8">
        <f t="shared" si="22"/>
        <v>1.3887426751592356E-2</v>
      </c>
      <c r="V8" s="7">
        <v>5.8719999999999999</v>
      </c>
      <c r="W8" s="5">
        <f t="shared" si="23"/>
        <v>8.2149280000000005</v>
      </c>
      <c r="X8" s="7">
        <f t="shared" si="24"/>
        <v>0.14648587731811699</v>
      </c>
      <c r="Y8" s="4">
        <v>1.06</v>
      </c>
      <c r="Z8" s="9">
        <f t="shared" si="25"/>
        <v>1.7575860000000001</v>
      </c>
      <c r="AA8" s="2">
        <f t="shared" si="26"/>
        <v>4.3612555831265512E-2</v>
      </c>
      <c r="AB8" s="4">
        <v>1.7529999999999999</v>
      </c>
      <c r="AC8" s="4">
        <v>0.33400000000000002</v>
      </c>
      <c r="AD8" s="7">
        <f t="shared" si="27"/>
        <v>0.55714540000000001</v>
      </c>
      <c r="AE8" s="8">
        <f t="shared" si="28"/>
        <v>6.9643175E-3</v>
      </c>
      <c r="AF8" s="4">
        <v>265</v>
      </c>
      <c r="AG8" s="7">
        <f t="shared" si="29"/>
        <v>3.4216799999999992E-2</v>
      </c>
      <c r="AH8" s="8">
        <f t="shared" si="30"/>
        <v>4.8247038917089666E-4</v>
      </c>
      <c r="AI8" s="10">
        <v>3300</v>
      </c>
      <c r="AJ8" s="10">
        <v>280</v>
      </c>
      <c r="AK8" s="11">
        <f t="shared" si="31"/>
        <v>6.41592E-2</v>
      </c>
      <c r="AL8" s="10">
        <f t="shared" si="32"/>
        <v>8.0010640000000013</v>
      </c>
      <c r="AM8" s="10">
        <f t="shared" si="33"/>
        <v>2.4319343465045598</v>
      </c>
      <c r="AN8" s="4">
        <v>197</v>
      </c>
      <c r="AO8" s="4">
        <v>155</v>
      </c>
      <c r="AP8" s="4">
        <v>155</v>
      </c>
      <c r="AQ8" s="7">
        <f t="shared" si="1"/>
        <v>3.0028490028490027</v>
      </c>
      <c r="AR8" s="4">
        <v>38</v>
      </c>
      <c r="AS8" s="7">
        <f t="shared" si="2"/>
        <v>1.0074074074074075</v>
      </c>
      <c r="AT8" s="4">
        <v>75</v>
      </c>
      <c r="AU8" s="7">
        <f t="shared" si="3"/>
        <v>2.0987654320987659</v>
      </c>
      <c r="AV8" s="4">
        <v>48</v>
      </c>
      <c r="AW8" s="7">
        <f t="shared" si="4"/>
        <v>1.7777777777777779</v>
      </c>
      <c r="AX8" s="4">
        <v>32</v>
      </c>
      <c r="AY8" s="7">
        <f t="shared" si="5"/>
        <v>1.7909465020576134</v>
      </c>
      <c r="AZ8" s="4">
        <v>119</v>
      </c>
      <c r="BA8" s="7">
        <f t="shared" si="6"/>
        <v>15.773879142300197</v>
      </c>
      <c r="BB8" s="4">
        <v>9</v>
      </c>
      <c r="BC8" s="7">
        <f t="shared" si="7"/>
        <v>8.717948717948719</v>
      </c>
      <c r="BD8" s="4">
        <v>32</v>
      </c>
      <c r="BE8" s="4">
        <v>10</v>
      </c>
      <c r="BF8" s="7">
        <f>(BE8/G8)/(3.7/8.84)</f>
        <v>6.8068068068068079</v>
      </c>
      <c r="BG8" s="4">
        <v>17</v>
      </c>
      <c r="BH8" s="7">
        <f t="shared" si="8"/>
        <v>5.8376068376068373</v>
      </c>
      <c r="BI8" s="7">
        <f t="shared" si="9"/>
        <v>3.2320441988950273</v>
      </c>
      <c r="BJ8" s="7">
        <f t="shared" si="10"/>
        <v>56.125356125356127</v>
      </c>
      <c r="BK8" s="6">
        <f t="shared" si="11"/>
        <v>9.515669515669517E-2</v>
      </c>
      <c r="BL8" s="6">
        <f>(T8/BZ8)*10000</f>
        <v>408.81112499999995</v>
      </c>
      <c r="BM8" s="6">
        <f>(I8/(I8+M8+M8+U8))*100</f>
        <v>35.141818847936314</v>
      </c>
      <c r="BN8" s="12">
        <f>(R8+U8+M8+AA8+AE8+M8)/I8</f>
        <v>2.8421322668824334</v>
      </c>
      <c r="BO8" s="8">
        <f>BZ8/AO8</f>
        <v>0.20645161290322581</v>
      </c>
      <c r="BP8" s="4">
        <v>25</v>
      </c>
      <c r="BQ8" s="4">
        <v>28</v>
      </c>
      <c r="BR8" s="4" t="s">
        <v>90</v>
      </c>
      <c r="BS8" s="4">
        <v>19</v>
      </c>
      <c r="BT8" s="4">
        <v>23</v>
      </c>
      <c r="BU8" s="4">
        <v>12</v>
      </c>
      <c r="BV8" s="4">
        <v>6</v>
      </c>
      <c r="BW8" s="4">
        <v>9</v>
      </c>
      <c r="BX8" s="4">
        <v>59</v>
      </c>
      <c r="BY8" s="4">
        <v>61</v>
      </c>
      <c r="BZ8" s="4">
        <v>32</v>
      </c>
      <c r="CA8" s="4" t="s">
        <v>91</v>
      </c>
      <c r="CB8" s="4" t="s">
        <v>86</v>
      </c>
    </row>
    <row r="9" spans="1:80" s="4" customFormat="1">
      <c r="A9" s="4">
        <v>11560</v>
      </c>
      <c r="B9" s="4">
        <v>3524</v>
      </c>
      <c r="C9" s="4">
        <v>70.430000000000007</v>
      </c>
      <c r="D9" s="5">
        <v>6.4</v>
      </c>
      <c r="E9" s="4">
        <v>17.39</v>
      </c>
      <c r="F9" s="5">
        <f t="shared" si="12"/>
        <v>37.202427</v>
      </c>
      <c r="G9" s="4">
        <v>2.98</v>
      </c>
      <c r="H9" s="5">
        <f t="shared" si="13"/>
        <v>5.6307099999999997</v>
      </c>
      <c r="I9" s="6">
        <f t="shared" si="14"/>
        <v>5.5224695959199689E-2</v>
      </c>
      <c r="J9" s="6">
        <f t="shared" si="15"/>
        <v>28.153549999999999</v>
      </c>
      <c r="K9" s="6">
        <f t="shared" si="16"/>
        <v>10.408560000000001</v>
      </c>
      <c r="L9" s="5">
        <v>1.45</v>
      </c>
      <c r="M9" s="6">
        <f t="shared" si="17"/>
        <v>2.3394643433365604E-2</v>
      </c>
      <c r="N9" s="6">
        <f t="shared" si="0"/>
        <v>0.85890316074392403</v>
      </c>
      <c r="O9" s="7">
        <v>1.579</v>
      </c>
      <c r="P9" s="5">
        <f t="shared" si="18"/>
        <v>2.0313835</v>
      </c>
      <c r="Q9" s="7">
        <f t="shared" si="19"/>
        <v>2.2574962999999997</v>
      </c>
      <c r="R9" s="8">
        <f t="shared" si="20"/>
        <v>1.4135856606136504E-2</v>
      </c>
      <c r="S9" s="7">
        <v>0.88</v>
      </c>
      <c r="T9" s="5">
        <f t="shared" si="21"/>
        <v>1.0600479999999999</v>
      </c>
      <c r="U9" s="8">
        <f t="shared" si="22"/>
        <v>1.125316348195329E-2</v>
      </c>
      <c r="V9" s="7">
        <v>3.72</v>
      </c>
      <c r="W9" s="5">
        <f t="shared" si="23"/>
        <v>5.2042800000000007</v>
      </c>
      <c r="X9" s="7">
        <f t="shared" si="24"/>
        <v>9.2800998573466492E-2</v>
      </c>
      <c r="Y9" s="4">
        <v>0.67</v>
      </c>
      <c r="Z9" s="9">
        <f t="shared" si="25"/>
        <v>1.110927</v>
      </c>
      <c r="AA9" s="2">
        <f t="shared" si="26"/>
        <v>2.7566426799007445E-2</v>
      </c>
      <c r="AB9" s="4">
        <v>2.077</v>
      </c>
      <c r="AC9" s="4">
        <v>0.32600000000000001</v>
      </c>
      <c r="AD9" s="7">
        <f t="shared" si="27"/>
        <v>0.54380059999999997</v>
      </c>
      <c r="AE9" s="8">
        <f t="shared" si="28"/>
        <v>6.7975074999999992E-3</v>
      </c>
      <c r="AF9" s="4">
        <v>182</v>
      </c>
      <c r="AG9" s="7">
        <f t="shared" si="29"/>
        <v>2.3499839999999998E-2</v>
      </c>
      <c r="AH9" s="8">
        <f t="shared" si="30"/>
        <v>3.3135702199661585E-4</v>
      </c>
      <c r="AI9" s="10">
        <v>4310</v>
      </c>
      <c r="AJ9" s="10">
        <v>320</v>
      </c>
      <c r="AK9" s="11">
        <f t="shared" si="31"/>
        <v>7.3324799999999996E-2</v>
      </c>
      <c r="AL9" s="10">
        <f t="shared" si="32"/>
        <v>4.9598640000000005</v>
      </c>
      <c r="AM9" s="10">
        <f t="shared" si="33"/>
        <v>3.420595862068966</v>
      </c>
      <c r="AN9" s="4">
        <v>266</v>
      </c>
      <c r="AO9" s="4">
        <v>111</v>
      </c>
      <c r="AP9" s="4">
        <v>410</v>
      </c>
      <c r="AQ9" s="7">
        <f t="shared" si="1"/>
        <v>9.3557046979865763</v>
      </c>
      <c r="AR9" s="4">
        <v>27</v>
      </c>
      <c r="AS9" s="7">
        <f t="shared" si="2"/>
        <v>0.84309431296361703</v>
      </c>
      <c r="AT9" s="4">
        <v>73</v>
      </c>
      <c r="AU9" s="7">
        <f t="shared" si="3"/>
        <v>2.4061148396718868</v>
      </c>
      <c r="AV9" s="4">
        <v>44</v>
      </c>
      <c r="AW9" s="7">
        <f t="shared" si="4"/>
        <v>1.9194630872483223</v>
      </c>
      <c r="AX9" s="4">
        <v>40</v>
      </c>
      <c r="AY9" s="7">
        <f t="shared" si="5"/>
        <v>2.6368381804623415</v>
      </c>
      <c r="AZ9" s="4">
        <v>114</v>
      </c>
      <c r="BA9" s="7">
        <f t="shared" si="6"/>
        <v>17.798657718120804</v>
      </c>
      <c r="BB9" s="4">
        <v>23</v>
      </c>
      <c r="BC9" s="7">
        <f t="shared" si="7"/>
        <v>26.241610738255034</v>
      </c>
      <c r="BD9" s="4">
        <v>36</v>
      </c>
      <c r="BE9" s="4">
        <v>8</v>
      </c>
      <c r="BF9" s="7">
        <f>(BE9/G9)/(3.7/8.84)</f>
        <v>6.4139307092327229</v>
      </c>
      <c r="BG9" s="4">
        <v>15</v>
      </c>
      <c r="BH9" s="7">
        <f t="shared" si="8"/>
        <v>5.8355704697986583</v>
      </c>
      <c r="BI9" s="7">
        <f t="shared" si="9"/>
        <v>3.3863636363636362</v>
      </c>
      <c r="BJ9" s="7">
        <f t="shared" si="10"/>
        <v>89.261744966442947</v>
      </c>
      <c r="BK9" s="6">
        <f t="shared" si="11"/>
        <v>0.10939597315436242</v>
      </c>
      <c r="BL9" s="6">
        <f>(T9/BZ9)*10000</f>
        <v>286.49945945945944</v>
      </c>
      <c r="BM9" s="6">
        <f>(I9/(I9+M9+M9+U9))*100</f>
        <v>48.756146649167995</v>
      </c>
      <c r="BN9" s="12">
        <f>(R9+U9+M9+AA9+AE9+M9)/I9</f>
        <v>1.92924993797236</v>
      </c>
      <c r="BO9" s="8">
        <f>BZ9/AO9</f>
        <v>0.33333333333333331</v>
      </c>
      <c r="BP9" s="4">
        <v>31</v>
      </c>
      <c r="BQ9" s="4">
        <v>39</v>
      </c>
      <c r="BR9" s="4">
        <v>23</v>
      </c>
      <c r="BS9" s="4">
        <v>17</v>
      </c>
      <c r="BT9" s="4">
        <v>36</v>
      </c>
      <c r="BU9" s="4">
        <v>8</v>
      </c>
      <c r="BV9" s="4">
        <v>5</v>
      </c>
      <c r="BW9" s="4">
        <v>4</v>
      </c>
      <c r="BX9" s="4">
        <v>138</v>
      </c>
      <c r="BY9" s="4">
        <v>124</v>
      </c>
      <c r="BZ9" s="4">
        <v>37</v>
      </c>
      <c r="CA9" s="4" t="s">
        <v>92</v>
      </c>
      <c r="CB9" s="4" t="s">
        <v>86</v>
      </c>
    </row>
    <row r="10" spans="1:80" s="4" customFormat="1">
      <c r="A10" s="4">
        <v>11600</v>
      </c>
      <c r="B10" s="4">
        <v>3536</v>
      </c>
      <c r="C10" s="4">
        <v>63.35</v>
      </c>
      <c r="D10" s="5">
        <v>8.8000000000000007</v>
      </c>
      <c r="E10" s="4">
        <v>18.59</v>
      </c>
      <c r="F10" s="5">
        <f t="shared" si="12"/>
        <v>39.769587000000001</v>
      </c>
      <c r="G10" s="4">
        <v>5.52</v>
      </c>
      <c r="H10" s="5">
        <f t="shared" si="13"/>
        <v>10.430039999999998</v>
      </c>
      <c r="I10" s="6">
        <f t="shared" si="14"/>
        <v>0.10229540996469202</v>
      </c>
      <c r="J10" s="6">
        <f t="shared" si="15"/>
        <v>52.150199999999991</v>
      </c>
      <c r="K10" s="6">
        <f t="shared" si="16"/>
        <v>13.349258000000001</v>
      </c>
      <c r="L10" s="5">
        <v>4.09</v>
      </c>
      <c r="M10" s="6">
        <f t="shared" si="17"/>
        <v>6.5989028718941592E-2</v>
      </c>
      <c r="N10" s="6">
        <f t="shared" si="0"/>
        <v>0.43837630689338764</v>
      </c>
      <c r="O10" s="7">
        <v>1.6359999999999999</v>
      </c>
      <c r="P10" s="5">
        <f t="shared" si="18"/>
        <v>2.104714</v>
      </c>
      <c r="Q10" s="7">
        <f t="shared" si="19"/>
        <v>2.3389891999999999</v>
      </c>
      <c r="R10" s="8">
        <f t="shared" si="20"/>
        <v>1.464614402003757E-2</v>
      </c>
      <c r="S10" s="7">
        <v>1.512</v>
      </c>
      <c r="T10" s="5">
        <f t="shared" si="21"/>
        <v>1.8213552</v>
      </c>
      <c r="U10" s="8">
        <f t="shared" si="22"/>
        <v>1.9334980891719745E-2</v>
      </c>
      <c r="V10" s="7">
        <v>4.7709999999999999</v>
      </c>
      <c r="W10" s="5">
        <f t="shared" si="23"/>
        <v>6.6746290000000004</v>
      </c>
      <c r="X10" s="7">
        <f t="shared" si="24"/>
        <v>0.11901977532097005</v>
      </c>
      <c r="Y10" s="4">
        <v>1.52</v>
      </c>
      <c r="Z10" s="9">
        <f t="shared" si="25"/>
        <v>2.5203120000000001</v>
      </c>
      <c r="AA10" s="2">
        <f t="shared" si="26"/>
        <v>6.2538759305210925E-2</v>
      </c>
      <c r="AB10" s="4">
        <v>2.0390000000000001</v>
      </c>
      <c r="AC10" s="4">
        <v>0.46200000000000002</v>
      </c>
      <c r="AD10" s="7">
        <f t="shared" si="27"/>
        <v>0.77066219999999996</v>
      </c>
      <c r="AE10" s="8">
        <f t="shared" si="28"/>
        <v>9.6332774999999989E-3</v>
      </c>
      <c r="AF10" s="4">
        <v>219</v>
      </c>
      <c r="AG10" s="7">
        <f t="shared" si="29"/>
        <v>2.8277279999999995E-2</v>
      </c>
      <c r="AH10" s="8">
        <f t="shared" si="30"/>
        <v>3.9872081218274101E-4</v>
      </c>
      <c r="AI10" s="10">
        <v>4870</v>
      </c>
      <c r="AJ10" s="10">
        <v>310</v>
      </c>
      <c r="AK10" s="11">
        <f t="shared" si="31"/>
        <v>7.1033399999999997E-2</v>
      </c>
      <c r="AL10" s="10">
        <f t="shared" si="32"/>
        <v>6.4378510000000002</v>
      </c>
      <c r="AM10" s="10">
        <f t="shared" si="33"/>
        <v>1.5740466992665039</v>
      </c>
      <c r="AN10" s="4">
        <v>234</v>
      </c>
      <c r="AO10" s="4">
        <v>133</v>
      </c>
      <c r="AP10" s="4">
        <v>165</v>
      </c>
      <c r="AQ10" s="7">
        <f t="shared" si="1"/>
        <v>2.0326086956521738</v>
      </c>
      <c r="AR10" s="4">
        <v>45</v>
      </c>
      <c r="AS10" s="7">
        <f t="shared" si="2"/>
        <v>0.75858123569794045</v>
      </c>
      <c r="AT10" s="4">
        <v>83</v>
      </c>
      <c r="AU10" s="7">
        <f t="shared" si="3"/>
        <v>1.4768921095008054</v>
      </c>
      <c r="AV10" s="4">
        <v>49</v>
      </c>
      <c r="AW10" s="7">
        <f t="shared" si="4"/>
        <v>1.1539855072463767</v>
      </c>
      <c r="AX10" s="4">
        <v>34</v>
      </c>
      <c r="AY10" s="7">
        <f t="shared" si="5"/>
        <v>1.2099838969404189</v>
      </c>
      <c r="AZ10" s="4">
        <v>93</v>
      </c>
      <c r="BA10" s="7">
        <f t="shared" si="6"/>
        <v>7.8386727688787197</v>
      </c>
      <c r="BB10" s="4">
        <v>9</v>
      </c>
      <c r="BC10" s="7">
        <f t="shared" si="7"/>
        <v>5.5434782608695654</v>
      </c>
      <c r="BD10" s="4">
        <v>31</v>
      </c>
      <c r="BE10" s="4">
        <v>11</v>
      </c>
      <c r="BF10" s="7">
        <f>(BE10/G10)/(3.7/8.84)</f>
        <v>4.7610654132393266</v>
      </c>
      <c r="BG10" s="4">
        <v>17</v>
      </c>
      <c r="BH10" s="7">
        <f t="shared" si="8"/>
        <v>3.3677536231884062</v>
      </c>
      <c r="BI10" s="7">
        <f t="shared" si="9"/>
        <v>3.6507936507936507</v>
      </c>
      <c r="BJ10" s="7">
        <f t="shared" si="10"/>
        <v>42.391304347826093</v>
      </c>
      <c r="BK10" s="6">
        <f t="shared" si="11"/>
        <v>8.369565217391306E-2</v>
      </c>
      <c r="BL10" s="6">
        <f>(T10/BZ10)*10000</f>
        <v>350.26061538461539</v>
      </c>
      <c r="BM10" s="6">
        <f>(I10/(I10+M10+M10+U10))*100</f>
        <v>40.335963037787018</v>
      </c>
      <c r="BN10" s="12">
        <f>(R10+U10+M10+AA10+AE10+M10)/I10</f>
        <v>2.3278778513820328</v>
      </c>
      <c r="BO10" s="8">
        <f>BZ10/AO10</f>
        <v>0.39097744360902253</v>
      </c>
      <c r="BP10" s="4">
        <v>40</v>
      </c>
      <c r="BQ10" s="4">
        <v>29</v>
      </c>
      <c r="BR10" s="4" t="s">
        <v>89</v>
      </c>
      <c r="BS10" s="4">
        <v>24</v>
      </c>
      <c r="BT10" s="4">
        <v>38</v>
      </c>
      <c r="BU10" s="4">
        <v>15</v>
      </c>
      <c r="BV10" s="4">
        <v>7</v>
      </c>
      <c r="BW10" s="4">
        <v>5</v>
      </c>
      <c r="BX10" s="4">
        <v>76</v>
      </c>
      <c r="BY10" s="4">
        <v>92</v>
      </c>
      <c r="BZ10" s="4">
        <v>52</v>
      </c>
      <c r="CA10" s="4" t="s">
        <v>93</v>
      </c>
      <c r="CB10" s="4" t="s">
        <v>86</v>
      </c>
    </row>
    <row r="11" spans="1:80" s="4" customFormat="1">
      <c r="A11" s="4">
        <v>11630</v>
      </c>
      <c r="B11" s="4">
        <v>3545</v>
      </c>
      <c r="C11" s="4">
        <v>61.2</v>
      </c>
      <c r="D11" s="5">
        <v>3</v>
      </c>
      <c r="E11" s="4">
        <v>20.75</v>
      </c>
      <c r="F11" s="5">
        <f t="shared" si="12"/>
        <v>44.390475000000002</v>
      </c>
      <c r="G11" s="4">
        <v>8.5399999999999991</v>
      </c>
      <c r="H11" s="5">
        <f t="shared" si="13"/>
        <v>16.136329999999997</v>
      </c>
      <c r="I11" s="6">
        <f t="shared" si="14"/>
        <v>0.15826137701059237</v>
      </c>
      <c r="J11" s="6">
        <f t="shared" si="15"/>
        <v>80.681649999999991</v>
      </c>
      <c r="K11" s="6">
        <f t="shared" si="16"/>
        <v>3.8472499999999998</v>
      </c>
      <c r="L11" s="5">
        <v>0.68</v>
      </c>
      <c r="M11" s="6">
        <f t="shared" si="17"/>
        <v>1.0971281058405939E-2</v>
      </c>
      <c r="N11" s="6">
        <f t="shared" si="0"/>
        <v>2.668966905271557</v>
      </c>
      <c r="O11" s="7">
        <v>3.5739999999999998</v>
      </c>
      <c r="P11" s="5">
        <f t="shared" si="18"/>
        <v>4.5979510000000001</v>
      </c>
      <c r="Q11" s="7">
        <f t="shared" si="19"/>
        <v>5.1097478000000001</v>
      </c>
      <c r="R11" s="8">
        <f t="shared" si="20"/>
        <v>3.1995916092673764E-2</v>
      </c>
      <c r="S11" s="7">
        <v>1.823</v>
      </c>
      <c r="T11" s="5">
        <f t="shared" si="21"/>
        <v>2.1959857999999999</v>
      </c>
      <c r="U11" s="8">
        <f t="shared" si="22"/>
        <v>2.3311951167728235E-2</v>
      </c>
      <c r="V11" s="7">
        <v>1.375</v>
      </c>
      <c r="W11" s="5">
        <f t="shared" si="23"/>
        <v>1.9236249999999999</v>
      </c>
      <c r="X11" s="7">
        <f t="shared" si="24"/>
        <v>3.4301444365192585E-2</v>
      </c>
      <c r="Y11" s="4">
        <v>1.07</v>
      </c>
      <c r="Z11" s="9">
        <f t="shared" si="25"/>
        <v>1.774167</v>
      </c>
      <c r="AA11" s="2">
        <f t="shared" si="26"/>
        <v>4.4023995037220848E-2</v>
      </c>
      <c r="AB11" s="4">
        <v>0.69499999999999995</v>
      </c>
      <c r="AC11" s="4">
        <v>0.62</v>
      </c>
      <c r="AD11" s="7">
        <f t="shared" si="27"/>
        <v>1.034222</v>
      </c>
      <c r="AE11" s="8">
        <f t="shared" si="28"/>
        <v>1.2927774999999999E-2</v>
      </c>
      <c r="AF11" s="4">
        <v>536</v>
      </c>
      <c r="AG11" s="7">
        <f t="shared" si="29"/>
        <v>6.920831999999999E-2</v>
      </c>
      <c r="AH11" s="8">
        <f t="shared" si="30"/>
        <v>9.7586463620981368E-4</v>
      </c>
      <c r="AI11" s="10">
        <v>1270</v>
      </c>
      <c r="AJ11" s="10">
        <v>260</v>
      </c>
      <c r="AK11" s="11">
        <f t="shared" si="31"/>
        <v>5.9576400000000002E-2</v>
      </c>
      <c r="AL11" s="10">
        <f t="shared" si="32"/>
        <v>1.7250369999999999</v>
      </c>
      <c r="AM11" s="10">
        <f t="shared" si="33"/>
        <v>2.5368191176470587</v>
      </c>
      <c r="AN11" s="4">
        <v>321</v>
      </c>
      <c r="AO11" s="4">
        <v>136</v>
      </c>
      <c r="AP11" s="4">
        <v>300</v>
      </c>
      <c r="AQ11" s="7">
        <f t="shared" si="1"/>
        <v>2.3887587822014051</v>
      </c>
      <c r="AR11" s="4">
        <v>110</v>
      </c>
      <c r="AS11" s="7">
        <f t="shared" si="2"/>
        <v>1.1985701959817576</v>
      </c>
      <c r="AT11" s="4">
        <v>199</v>
      </c>
      <c r="AU11" s="7">
        <f t="shared" si="3"/>
        <v>2.2887848035389022</v>
      </c>
      <c r="AV11" s="4">
        <v>94</v>
      </c>
      <c r="AW11" s="7">
        <f t="shared" si="4"/>
        <v>1.4309133489461359</v>
      </c>
      <c r="AX11" s="4">
        <v>71</v>
      </c>
      <c r="AY11" s="7">
        <f t="shared" si="5"/>
        <v>1.63320322664585</v>
      </c>
      <c r="AZ11" s="4">
        <v>129</v>
      </c>
      <c r="BA11" s="7">
        <f t="shared" si="6"/>
        <v>7.0279797855293982</v>
      </c>
      <c r="BB11" s="4">
        <v>15</v>
      </c>
      <c r="BC11" s="7">
        <f t="shared" si="7"/>
        <v>5.9718969555035128</v>
      </c>
      <c r="BD11" s="4">
        <v>27</v>
      </c>
      <c r="BE11" s="4">
        <v>9</v>
      </c>
      <c r="BF11" s="7">
        <f>(BE11/G11)/(3.7/8.84)</f>
        <v>2.5178808785366162</v>
      </c>
      <c r="BG11" s="4">
        <v>15</v>
      </c>
      <c r="BH11" s="7">
        <f t="shared" si="8"/>
        <v>2.4297423887587826</v>
      </c>
      <c r="BI11" s="7">
        <f t="shared" si="9"/>
        <v>4.6845858475041133</v>
      </c>
      <c r="BJ11" s="7">
        <f t="shared" si="10"/>
        <v>37.587822014051525</v>
      </c>
      <c r="BK11" s="6">
        <f t="shared" si="11"/>
        <v>7.259953161592507E-2</v>
      </c>
      <c r="BL11" s="6">
        <f>(T11/BZ11)*10000</f>
        <v>271.10935802469135</v>
      </c>
      <c r="BM11" s="6">
        <f>(I11/(I11+M11+M11+U11))*100</f>
        <v>77.763646259310065</v>
      </c>
      <c r="BN11" s="12">
        <f>(R11+U11+M11+AA11+AE11+M11)/I11</f>
        <v>0.8479782114207981</v>
      </c>
      <c r="BO11" s="8">
        <f>BZ11/AO11</f>
        <v>0.59558823529411764</v>
      </c>
      <c r="BP11" s="4">
        <v>52</v>
      </c>
      <c r="BQ11" s="4">
        <v>26</v>
      </c>
      <c r="BR11" s="4" t="s">
        <v>90</v>
      </c>
      <c r="BS11" s="4">
        <v>38</v>
      </c>
      <c r="BT11" s="4">
        <v>33</v>
      </c>
      <c r="BU11" s="4">
        <v>32</v>
      </c>
      <c r="BV11" s="4">
        <v>6</v>
      </c>
      <c r="BW11" s="4">
        <v>10</v>
      </c>
      <c r="BX11" s="4">
        <v>76</v>
      </c>
      <c r="BY11" s="4">
        <v>119</v>
      </c>
      <c r="BZ11" s="4">
        <v>81</v>
      </c>
      <c r="CA11" s="4">
        <v>12</v>
      </c>
      <c r="CB11" s="4" t="s">
        <v>94</v>
      </c>
    </row>
    <row r="12" spans="1:80" s="4" customFormat="1">
      <c r="A12" s="4">
        <v>11650</v>
      </c>
      <c r="B12" s="4">
        <v>3551</v>
      </c>
      <c r="C12" s="4">
        <v>59.16</v>
      </c>
      <c r="D12" s="5">
        <v>2.8</v>
      </c>
      <c r="E12" s="4">
        <v>23.23</v>
      </c>
      <c r="F12" s="5">
        <f t="shared" si="12"/>
        <v>49.695939000000003</v>
      </c>
      <c r="G12" s="4">
        <v>8.7200000000000006</v>
      </c>
      <c r="H12" s="5">
        <f t="shared" si="13"/>
        <v>16.47644</v>
      </c>
      <c r="I12" s="6">
        <f t="shared" si="14"/>
        <v>0.16159709690074539</v>
      </c>
      <c r="J12" s="6">
        <f t="shared" si="15"/>
        <v>82.382199999999997</v>
      </c>
      <c r="K12" s="6">
        <f t="shared" si="16"/>
        <v>3.2512759999999998</v>
      </c>
      <c r="L12" s="5">
        <v>1.1399999999999999</v>
      </c>
      <c r="M12" s="6">
        <f t="shared" si="17"/>
        <v>1.8393030009680542E-2</v>
      </c>
      <c r="N12" s="6">
        <f t="shared" si="0"/>
        <v>2.1731343921735782</v>
      </c>
      <c r="O12" s="7">
        <v>4.2009999999999996</v>
      </c>
      <c r="P12" s="5">
        <f t="shared" si="18"/>
        <v>5.4045864999999997</v>
      </c>
      <c r="Q12" s="7">
        <f t="shared" si="19"/>
        <v>6.0061696999999992</v>
      </c>
      <c r="R12" s="8">
        <f t="shared" si="20"/>
        <v>3.7609077645585472E-2</v>
      </c>
      <c r="S12" s="7">
        <v>1.958</v>
      </c>
      <c r="T12" s="5">
        <f t="shared" si="21"/>
        <v>2.3586067999999996</v>
      </c>
      <c r="U12" s="8">
        <f t="shared" si="22"/>
        <v>2.5038288747346066E-2</v>
      </c>
      <c r="V12" s="7">
        <v>1.1619999999999999</v>
      </c>
      <c r="W12" s="5">
        <f t="shared" si="23"/>
        <v>1.6256379999999999</v>
      </c>
      <c r="X12" s="7">
        <f t="shared" si="24"/>
        <v>2.8987838801711841E-2</v>
      </c>
      <c r="Y12" s="4">
        <v>0.75</v>
      </c>
      <c r="Z12" s="9">
        <f t="shared" si="25"/>
        <v>1.2435749999999999</v>
      </c>
      <c r="AA12" s="2">
        <f t="shared" si="26"/>
        <v>3.0857940446650124E-2</v>
      </c>
      <c r="AB12" s="4">
        <v>0.43</v>
      </c>
      <c r="AC12" s="4">
        <v>0.90200000000000002</v>
      </c>
      <c r="AD12" s="7">
        <f t="shared" si="27"/>
        <v>1.5046261999999999</v>
      </c>
      <c r="AE12" s="8">
        <f t="shared" si="28"/>
        <v>1.8807827499999999E-2</v>
      </c>
      <c r="AF12" s="4">
        <v>893</v>
      </c>
      <c r="AG12" s="7">
        <f t="shared" si="29"/>
        <v>0.11530416</v>
      </c>
      <c r="AH12" s="8">
        <f t="shared" si="30"/>
        <v>1.6258341793570219E-3</v>
      </c>
      <c r="AI12" s="10">
        <v>2750</v>
      </c>
      <c r="AJ12" s="10">
        <v>250</v>
      </c>
      <c r="AK12" s="11">
        <f t="shared" si="31"/>
        <v>5.7285000000000003E-2</v>
      </c>
      <c r="AL12" s="10">
        <f t="shared" si="32"/>
        <v>1.434688</v>
      </c>
      <c r="AM12" s="10">
        <f t="shared" si="33"/>
        <v>1.2584982456140352</v>
      </c>
      <c r="AN12" s="4">
        <v>375</v>
      </c>
      <c r="AO12" s="4">
        <v>142</v>
      </c>
      <c r="AP12" s="4">
        <v>160</v>
      </c>
      <c r="AQ12" s="7">
        <f t="shared" si="1"/>
        <v>1.2477064220183485</v>
      </c>
      <c r="AR12" s="4">
        <v>76</v>
      </c>
      <c r="AS12" s="7">
        <f t="shared" si="2"/>
        <v>0.81100917431192654</v>
      </c>
      <c r="AT12" s="4">
        <v>151</v>
      </c>
      <c r="AU12" s="7">
        <f t="shared" si="3"/>
        <v>1.7008664627930683</v>
      </c>
      <c r="AV12" s="4">
        <v>52</v>
      </c>
      <c r="AW12" s="7">
        <f t="shared" si="4"/>
        <v>0.77522935779816504</v>
      </c>
      <c r="AX12" s="4">
        <v>44</v>
      </c>
      <c r="AY12" s="7">
        <f t="shared" si="5"/>
        <v>0.99123343527013252</v>
      </c>
      <c r="AZ12" s="4">
        <v>148</v>
      </c>
      <c r="BA12" s="7">
        <f t="shared" si="6"/>
        <v>7.8966682761950748</v>
      </c>
      <c r="BB12" s="4">
        <v>8</v>
      </c>
      <c r="BC12" s="7">
        <f t="shared" si="7"/>
        <v>3.1192660550458711</v>
      </c>
      <c r="BD12" s="4">
        <v>30</v>
      </c>
      <c r="BE12" s="4">
        <v>9</v>
      </c>
      <c r="BF12" s="7">
        <f>(BE12/G12)/(3.7/8.84)</f>
        <v>2.4659062732457224</v>
      </c>
      <c r="BG12" s="4">
        <v>15</v>
      </c>
      <c r="BH12" s="7">
        <f t="shared" si="8"/>
        <v>2.6639908256880731</v>
      </c>
      <c r="BI12" s="7">
        <f t="shared" si="9"/>
        <v>4.4535240040858026</v>
      </c>
      <c r="BJ12" s="7">
        <f t="shared" si="10"/>
        <v>43.0045871559633</v>
      </c>
      <c r="BK12" s="6">
        <f t="shared" si="11"/>
        <v>0.10344036697247706</v>
      </c>
      <c r="BL12" s="6">
        <f>(T12/BZ12)*10000</f>
        <v>284.16949397590355</v>
      </c>
      <c r="BM12" s="6">
        <f>(I12/(I12+M12+M12+U12))*100</f>
        <v>72.328373141614861</v>
      </c>
      <c r="BN12" s="12">
        <f>(R12+U12+M12+AA12+AE12+M12)/I12</f>
        <v>0.92266010478221028</v>
      </c>
      <c r="BO12" s="8">
        <f>BZ12/AO12</f>
        <v>0.58450704225352113</v>
      </c>
      <c r="BP12" s="4">
        <v>60</v>
      </c>
      <c r="BQ12" s="4">
        <v>18</v>
      </c>
      <c r="BR12" s="4">
        <v>34</v>
      </c>
      <c r="BS12" s="4">
        <v>37</v>
      </c>
      <c r="BT12" s="4">
        <v>24</v>
      </c>
      <c r="BU12" s="4">
        <v>34</v>
      </c>
      <c r="BV12" s="4">
        <v>5</v>
      </c>
      <c r="BW12" s="4">
        <v>6</v>
      </c>
      <c r="BX12" s="4">
        <v>75</v>
      </c>
      <c r="BY12" s="4">
        <v>125</v>
      </c>
      <c r="BZ12" s="4">
        <v>83</v>
      </c>
      <c r="CA12" s="4" t="s">
        <v>93</v>
      </c>
      <c r="CB12" s="4" t="s">
        <v>95</v>
      </c>
    </row>
    <row r="13" spans="1:80" s="4" customFormat="1">
      <c r="A13" s="4">
        <v>11690</v>
      </c>
      <c r="B13" s="4">
        <v>3563</v>
      </c>
      <c r="C13" s="4">
        <v>57.91</v>
      </c>
      <c r="D13" s="5">
        <v>2.6</v>
      </c>
      <c r="E13" s="4">
        <v>27.5</v>
      </c>
      <c r="F13" s="5">
        <f t="shared" si="12"/>
        <v>58.830750000000002</v>
      </c>
      <c r="G13" s="4">
        <v>7.43</v>
      </c>
      <c r="H13" s="5">
        <f t="shared" si="13"/>
        <v>14.038984999999998</v>
      </c>
      <c r="I13" s="6">
        <f t="shared" si="14"/>
        <v>0.13769110435464887</v>
      </c>
      <c r="J13" s="6">
        <f t="shared" si="15"/>
        <v>70.194924999999998</v>
      </c>
      <c r="K13" s="6">
        <f t="shared" si="16"/>
        <v>3.1617399999999996</v>
      </c>
      <c r="L13" s="5">
        <v>0.79</v>
      </c>
      <c r="M13" s="6">
        <f t="shared" si="17"/>
        <v>1.2746047111971606E-2</v>
      </c>
      <c r="N13" s="6">
        <f t="shared" si="0"/>
        <v>2.3797916089098314</v>
      </c>
      <c r="O13" s="7">
        <v>2.5009999999999999</v>
      </c>
      <c r="P13" s="5">
        <f t="shared" si="18"/>
        <v>3.2175365</v>
      </c>
      <c r="Q13" s="7">
        <f t="shared" si="19"/>
        <v>3.5756796999999998</v>
      </c>
      <c r="R13" s="8">
        <f t="shared" si="20"/>
        <v>2.2389979336255479E-2</v>
      </c>
      <c r="S13" s="7">
        <v>1.383</v>
      </c>
      <c r="T13" s="5">
        <f t="shared" si="21"/>
        <v>1.6659617999999998</v>
      </c>
      <c r="U13" s="8">
        <f t="shared" si="22"/>
        <v>1.7685369426751588E-2</v>
      </c>
      <c r="V13" s="7">
        <v>1.1299999999999999</v>
      </c>
      <c r="W13" s="5">
        <f t="shared" si="23"/>
        <v>1.5808699999999998</v>
      </c>
      <c r="X13" s="7">
        <f t="shared" si="24"/>
        <v>2.8189550641940082E-2</v>
      </c>
      <c r="Y13" s="4">
        <v>0.74</v>
      </c>
      <c r="Z13" s="9">
        <f t="shared" si="25"/>
        <v>1.2269939999999999</v>
      </c>
      <c r="AA13" s="2">
        <f t="shared" si="26"/>
        <v>3.0446501240694788E-2</v>
      </c>
      <c r="AB13" s="4">
        <v>0.433</v>
      </c>
      <c r="AC13" s="4">
        <v>0.65600000000000003</v>
      </c>
      <c r="AD13" s="7">
        <f t="shared" si="27"/>
        <v>1.0942736</v>
      </c>
      <c r="AE13" s="8">
        <f t="shared" si="28"/>
        <v>1.367842E-2</v>
      </c>
      <c r="AF13" s="4">
        <v>607</v>
      </c>
      <c r="AG13" s="7">
        <f t="shared" si="29"/>
        <v>7.8375839999999988E-2</v>
      </c>
      <c r="AH13" s="8">
        <f t="shared" si="30"/>
        <v>1.105130287648054E-3</v>
      </c>
      <c r="AI13" s="10">
        <v>790</v>
      </c>
      <c r="AJ13" s="10">
        <v>230</v>
      </c>
      <c r="AK13" s="11">
        <f t="shared" si="31"/>
        <v>5.2702199999999991E-2</v>
      </c>
      <c r="AL13" s="10">
        <f t="shared" si="32"/>
        <v>1.4051959999999999</v>
      </c>
      <c r="AM13" s="10">
        <f t="shared" si="33"/>
        <v>1.7787291139240504</v>
      </c>
      <c r="AN13" s="4">
        <v>484</v>
      </c>
      <c r="AO13" s="4">
        <v>137</v>
      </c>
      <c r="AP13" s="4">
        <v>340</v>
      </c>
      <c r="AQ13" s="7">
        <f t="shared" si="1"/>
        <v>3.1117092866756395</v>
      </c>
      <c r="AR13" s="4">
        <v>67</v>
      </c>
      <c r="AS13" s="7">
        <f t="shared" si="2"/>
        <v>0.8391017921654742</v>
      </c>
      <c r="AT13" s="4">
        <v>64</v>
      </c>
      <c r="AU13" s="7">
        <f t="shared" si="3"/>
        <v>0.84605951846867067</v>
      </c>
      <c r="AV13" s="4">
        <v>80</v>
      </c>
      <c r="AW13" s="7">
        <f t="shared" si="4"/>
        <v>1.3997308209959625</v>
      </c>
      <c r="AX13" s="4">
        <v>46</v>
      </c>
      <c r="AY13" s="7">
        <f t="shared" si="5"/>
        <v>1.2162105577987139</v>
      </c>
      <c r="AZ13" s="4">
        <v>108</v>
      </c>
      <c r="BA13" s="7">
        <f t="shared" si="6"/>
        <v>6.7629099667068076</v>
      </c>
      <c r="BB13" s="4">
        <v>9</v>
      </c>
      <c r="BC13" s="7">
        <f t="shared" si="7"/>
        <v>4.1184387617765816</v>
      </c>
      <c r="BD13" s="4">
        <v>31</v>
      </c>
      <c r="BE13" s="4">
        <v>9</v>
      </c>
      <c r="BF13" s="7">
        <f>(BE13/G13)/(3.7/8.84)</f>
        <v>2.8940380488159763</v>
      </c>
      <c r="BG13" s="4">
        <v>16</v>
      </c>
      <c r="BH13" s="7">
        <f t="shared" si="8"/>
        <v>3.7012113055181697</v>
      </c>
      <c r="BI13" s="7">
        <f t="shared" si="9"/>
        <v>5.3723788864786695</v>
      </c>
      <c r="BJ13" s="7">
        <f t="shared" si="10"/>
        <v>65.141318977119781</v>
      </c>
      <c r="BK13" s="6">
        <f t="shared" si="11"/>
        <v>8.8290713324360712E-2</v>
      </c>
      <c r="BL13" s="6">
        <f>(T13/BZ13)*10000</f>
        <v>273.10849180327864</v>
      </c>
      <c r="BM13" s="6">
        <f>(I13/(I13+M13+M13+U13))*100</f>
        <v>76.127712997971457</v>
      </c>
      <c r="BN13" s="12">
        <f>(R13+U13+M13+AA13+AE13+M13)/I13</f>
        <v>0.79665541751420721</v>
      </c>
      <c r="BO13" s="8">
        <f>BZ13/AO13</f>
        <v>0.44525547445255476</v>
      </c>
      <c r="BP13" s="4">
        <v>37</v>
      </c>
      <c r="BQ13" s="4">
        <v>26</v>
      </c>
      <c r="BR13" s="4" t="s">
        <v>80</v>
      </c>
      <c r="BS13" s="4">
        <v>40</v>
      </c>
      <c r="BT13" s="4">
        <v>35</v>
      </c>
      <c r="BU13" s="4">
        <v>29</v>
      </c>
      <c r="BV13" s="4">
        <v>6</v>
      </c>
      <c r="BW13" s="4">
        <v>3</v>
      </c>
      <c r="BX13" s="4">
        <v>133</v>
      </c>
      <c r="BY13" s="4">
        <v>181</v>
      </c>
      <c r="BZ13" s="4">
        <v>61</v>
      </c>
      <c r="CA13" s="4">
        <v>8</v>
      </c>
      <c r="CB13" s="4" t="s">
        <v>96</v>
      </c>
    </row>
    <row r="14" spans="1:80" s="4" customFormat="1">
      <c r="A14" s="4">
        <v>11710</v>
      </c>
      <c r="B14" s="4">
        <v>3569</v>
      </c>
      <c r="C14" s="4">
        <v>67.760000000000005</v>
      </c>
      <c r="D14" s="5">
        <v>3.7</v>
      </c>
      <c r="E14" s="4">
        <v>17.57</v>
      </c>
      <c r="F14" s="5">
        <f t="shared" si="12"/>
        <v>37.587501000000003</v>
      </c>
      <c r="G14" s="4">
        <v>3.24</v>
      </c>
      <c r="H14" s="5">
        <f t="shared" si="13"/>
        <v>6.1219800000000006</v>
      </c>
      <c r="I14" s="6">
        <f t="shared" si="14"/>
        <v>6.0042958022754028E-2</v>
      </c>
      <c r="J14" s="6">
        <f t="shared" si="15"/>
        <v>30.609900000000003</v>
      </c>
      <c r="K14" s="6">
        <f t="shared" si="16"/>
        <v>14.208244000000001</v>
      </c>
      <c r="L14" s="5">
        <v>1.31</v>
      </c>
      <c r="M14" s="6">
        <f t="shared" si="17"/>
        <v>2.1135850274282029E-2</v>
      </c>
      <c r="N14" s="6">
        <f t="shared" si="0"/>
        <v>1.0440896092502721</v>
      </c>
      <c r="O14" s="7">
        <v>2.141</v>
      </c>
      <c r="P14" s="5">
        <f t="shared" si="18"/>
        <v>2.7543964999999999</v>
      </c>
      <c r="Q14" s="7">
        <f t="shared" si="19"/>
        <v>3.0609877000000001</v>
      </c>
      <c r="R14" s="8">
        <f t="shared" si="20"/>
        <v>1.91671114589856E-2</v>
      </c>
      <c r="S14" s="7">
        <v>1.0640000000000001</v>
      </c>
      <c r="T14" s="5">
        <f t="shared" si="21"/>
        <v>1.2816943999999999</v>
      </c>
      <c r="U14" s="8">
        <f t="shared" si="22"/>
        <v>1.3606097664543524E-2</v>
      </c>
      <c r="V14" s="7">
        <v>5.0780000000000003</v>
      </c>
      <c r="W14" s="5">
        <f t="shared" si="23"/>
        <v>7.1041220000000003</v>
      </c>
      <c r="X14" s="7">
        <f t="shared" si="24"/>
        <v>0.12667835235378033</v>
      </c>
      <c r="Y14" s="4">
        <v>0.71</v>
      </c>
      <c r="Z14" s="9">
        <f t="shared" si="25"/>
        <v>1.1772509999999998</v>
      </c>
      <c r="AA14" s="2">
        <f t="shared" si="26"/>
        <v>2.9212183622828781E-2</v>
      </c>
      <c r="AB14" s="4">
        <v>1.21</v>
      </c>
      <c r="AC14" s="4">
        <v>0.24</v>
      </c>
      <c r="AD14" s="7">
        <f t="shared" si="27"/>
        <v>0.40034399999999998</v>
      </c>
      <c r="AE14" s="8">
        <f t="shared" si="28"/>
        <v>5.0042999999999997E-3</v>
      </c>
      <c r="AF14" s="4">
        <v>358</v>
      </c>
      <c r="AG14" s="7">
        <f t="shared" si="29"/>
        <v>4.6224959999999995E-2</v>
      </c>
      <c r="AH14" s="8">
        <f t="shared" si="30"/>
        <v>6.5179018612521145E-4</v>
      </c>
      <c r="AI14" s="10">
        <v>8100</v>
      </c>
      <c r="AJ14" s="10">
        <v>210</v>
      </c>
      <c r="AK14" s="11">
        <f t="shared" si="31"/>
        <v>4.8119399999999993E-2</v>
      </c>
      <c r="AL14" s="10">
        <f t="shared" si="32"/>
        <v>6.9437240000000005</v>
      </c>
      <c r="AM14" s="10">
        <f t="shared" si="33"/>
        <v>5.3005526717557254</v>
      </c>
      <c r="AN14" s="4">
        <v>262</v>
      </c>
      <c r="AO14" s="4">
        <v>129</v>
      </c>
      <c r="AP14" s="4">
        <v>160</v>
      </c>
      <c r="AQ14" s="7">
        <f t="shared" si="1"/>
        <v>3.3580246913580245</v>
      </c>
      <c r="AR14" s="4">
        <v>41</v>
      </c>
      <c r="AS14" s="7">
        <f t="shared" si="2"/>
        <v>1.1775178687459387</v>
      </c>
      <c r="AT14" s="4">
        <v>136</v>
      </c>
      <c r="AU14" s="7">
        <f t="shared" si="3"/>
        <v>4.122908093278463</v>
      </c>
      <c r="AV14" s="4">
        <v>61</v>
      </c>
      <c r="AW14" s="7">
        <f t="shared" si="4"/>
        <v>2.4475308641975304</v>
      </c>
      <c r="AX14" s="4">
        <v>66</v>
      </c>
      <c r="AY14" s="7">
        <f t="shared" si="5"/>
        <v>4.0016460905349795</v>
      </c>
      <c r="AZ14" s="4">
        <v>78</v>
      </c>
      <c r="BA14" s="7">
        <f t="shared" si="6"/>
        <v>11.200779727095517</v>
      </c>
      <c r="BB14" s="4">
        <v>6</v>
      </c>
      <c r="BC14" s="7">
        <f t="shared" si="7"/>
        <v>6.2962962962962949</v>
      </c>
      <c r="BD14" s="4">
        <v>30</v>
      </c>
      <c r="BE14" s="4">
        <v>7</v>
      </c>
      <c r="BF14" s="7">
        <f>(BE14/G14)/(3.7/8.84)</f>
        <v>5.1618284951618278</v>
      </c>
      <c r="BG14" s="4">
        <v>15</v>
      </c>
      <c r="BH14" s="7">
        <f t="shared" si="8"/>
        <v>5.4228395061728394</v>
      </c>
      <c r="BI14" s="7">
        <f t="shared" si="9"/>
        <v>3.0451127819548871</v>
      </c>
      <c r="BJ14" s="7">
        <f t="shared" si="10"/>
        <v>80.864197530864189</v>
      </c>
      <c r="BK14" s="6">
        <f t="shared" si="11"/>
        <v>7.407407407407407E-2</v>
      </c>
      <c r="BL14" s="6">
        <f>(T14/BZ14)*10000</f>
        <v>312.60839024390236</v>
      </c>
      <c r="BM14" s="6">
        <f>(I14/(I14+M14+M14+U14))*100</f>
        <v>51.79655479523084</v>
      </c>
      <c r="BN14" s="12">
        <f>(R14+U14+M14+AA14+AE14+M14)/I14</f>
        <v>1.8197203617702511</v>
      </c>
      <c r="BO14" s="8">
        <f>BZ14/AO14</f>
        <v>0.31782945736434109</v>
      </c>
      <c r="BP14" s="4">
        <v>37</v>
      </c>
      <c r="BQ14" s="4">
        <v>39</v>
      </c>
      <c r="BR14" s="4">
        <v>33</v>
      </c>
      <c r="BS14" s="4">
        <v>21</v>
      </c>
      <c r="BT14" s="4">
        <v>29</v>
      </c>
      <c r="BU14" s="4">
        <v>5</v>
      </c>
      <c r="BV14" s="4">
        <v>6</v>
      </c>
      <c r="BW14" s="4">
        <v>5</v>
      </c>
      <c r="BX14" s="4">
        <v>45</v>
      </c>
      <c r="BY14" s="4">
        <v>64</v>
      </c>
      <c r="BZ14" s="4">
        <v>41</v>
      </c>
      <c r="CA14" s="4" t="s">
        <v>82</v>
      </c>
      <c r="CB14" s="4" t="s">
        <v>86</v>
      </c>
    </row>
    <row r="15" spans="1:80" s="4" customFormat="1">
      <c r="A15" s="4">
        <v>11720</v>
      </c>
      <c r="B15" s="4">
        <v>2572</v>
      </c>
      <c r="C15" s="4">
        <v>59.96</v>
      </c>
      <c r="D15" s="5">
        <v>7.4</v>
      </c>
      <c r="E15" s="4">
        <v>20</v>
      </c>
      <c r="F15" s="5">
        <f t="shared" si="12"/>
        <v>42.786000000000001</v>
      </c>
      <c r="G15" s="4">
        <v>8.6</v>
      </c>
      <c r="H15" s="5">
        <f t="shared" si="13"/>
        <v>16.249700000000001</v>
      </c>
      <c r="I15" s="6">
        <f t="shared" si="14"/>
        <v>0.1593732836406434</v>
      </c>
      <c r="J15" s="6">
        <f t="shared" si="15"/>
        <v>81.248500000000007</v>
      </c>
      <c r="K15" s="6">
        <f t="shared" si="16"/>
        <v>4.3480920000000003</v>
      </c>
      <c r="L15" s="5">
        <v>2.52</v>
      </c>
      <c r="M15" s="6">
        <f t="shared" si="17"/>
        <v>4.0658276863504358E-2</v>
      </c>
      <c r="N15" s="6">
        <f t="shared" si="0"/>
        <v>1.3660467183952243</v>
      </c>
      <c r="O15" s="7">
        <v>5.0049999999999999</v>
      </c>
      <c r="P15" s="5">
        <f t="shared" si="18"/>
        <v>6.4389324999999999</v>
      </c>
      <c r="Q15" s="7">
        <f t="shared" si="19"/>
        <v>7.1556484999999999</v>
      </c>
      <c r="R15" s="8">
        <f t="shared" si="20"/>
        <v>4.4806815904821544E-2</v>
      </c>
      <c r="S15" s="7">
        <v>1.9219999999999999</v>
      </c>
      <c r="T15" s="5">
        <f t="shared" si="21"/>
        <v>2.3152411999999996</v>
      </c>
      <c r="U15" s="8">
        <f t="shared" si="22"/>
        <v>2.4577932059447978E-2</v>
      </c>
      <c r="V15" s="7">
        <v>1.554</v>
      </c>
      <c r="W15" s="5">
        <f t="shared" si="23"/>
        <v>2.1740460000000001</v>
      </c>
      <c r="X15" s="7">
        <f t="shared" si="24"/>
        <v>3.8766868758915836E-2</v>
      </c>
      <c r="Y15" s="4">
        <v>0.95</v>
      </c>
      <c r="Z15" s="9">
        <f t="shared" si="25"/>
        <v>1.5751949999999999</v>
      </c>
      <c r="AA15" s="2">
        <f t="shared" si="26"/>
        <v>3.9086724565756827E-2</v>
      </c>
      <c r="AB15" s="4">
        <v>0.85799999999999998</v>
      </c>
      <c r="AC15" s="4">
        <v>0.73299999999999998</v>
      </c>
      <c r="AD15" s="7">
        <f t="shared" si="27"/>
        <v>1.2227173</v>
      </c>
      <c r="AE15" s="8">
        <f t="shared" si="28"/>
        <v>1.5283966249999999E-2</v>
      </c>
      <c r="AF15" s="4">
        <v>1178</v>
      </c>
      <c r="AG15" s="7">
        <f t="shared" si="29"/>
        <v>0.15210335999999999</v>
      </c>
      <c r="AH15" s="8">
        <f t="shared" si="30"/>
        <v>2.1447174280879865E-3</v>
      </c>
      <c r="AI15" s="10">
        <v>1110</v>
      </c>
      <c r="AJ15" s="10">
        <v>350</v>
      </c>
      <c r="AK15" s="11">
        <f t="shared" si="31"/>
        <v>8.0199000000000006E-2</v>
      </c>
      <c r="AL15" s="10">
        <f t="shared" si="32"/>
        <v>1.9067160000000001</v>
      </c>
      <c r="AM15" s="10">
        <f t="shared" si="33"/>
        <v>0.75663333333333338</v>
      </c>
      <c r="AN15" s="4">
        <v>308</v>
      </c>
      <c r="AO15" s="4">
        <v>144</v>
      </c>
      <c r="AP15" s="4">
        <v>260</v>
      </c>
      <c r="AQ15" s="7">
        <f t="shared" si="1"/>
        <v>2.0558139534883719</v>
      </c>
      <c r="AR15" s="4">
        <v>117</v>
      </c>
      <c r="AS15" s="7">
        <f t="shared" si="2"/>
        <v>1.2659485924112608</v>
      </c>
      <c r="AT15" s="4">
        <v>70</v>
      </c>
      <c r="AU15" s="7">
        <f t="shared" si="3"/>
        <v>0.79948320413436702</v>
      </c>
      <c r="AV15" s="4">
        <v>61</v>
      </c>
      <c r="AW15" s="7">
        <f t="shared" si="4"/>
        <v>0.92209302325581399</v>
      </c>
      <c r="AX15" s="4">
        <v>60</v>
      </c>
      <c r="AY15" s="7">
        <f t="shared" si="5"/>
        <v>1.3705426356589148</v>
      </c>
      <c r="AZ15" s="4">
        <v>169</v>
      </c>
      <c r="BA15" s="7">
        <f t="shared" si="6"/>
        <v>9.142962056303551</v>
      </c>
      <c r="BB15" s="4">
        <v>13</v>
      </c>
      <c r="BC15" s="7">
        <f t="shared" si="7"/>
        <v>5.1395348837209305</v>
      </c>
      <c r="BD15" s="4">
        <v>33</v>
      </c>
      <c r="BE15" s="4">
        <v>9</v>
      </c>
      <c r="BF15" s="7">
        <f>(BE15/G15)/(3.7/8.84)</f>
        <v>2.5003142677561283</v>
      </c>
      <c r="BG15" s="4">
        <v>16</v>
      </c>
      <c r="BH15" s="7">
        <f t="shared" si="8"/>
        <v>2.3255813953488373</v>
      </c>
      <c r="BI15" s="7">
        <f t="shared" si="9"/>
        <v>4.4745057232049952</v>
      </c>
      <c r="BJ15" s="7">
        <f t="shared" si="10"/>
        <v>35.813953488372093</v>
      </c>
      <c r="BK15" s="6">
        <f t="shared" si="11"/>
        <v>8.5232558139534884E-2</v>
      </c>
      <c r="BL15" s="6">
        <f>(T15/BZ15)*10000</f>
        <v>285.83224691358021</v>
      </c>
      <c r="BM15" s="6">
        <f>(I15/(I15+M15+M15+U15))*100</f>
        <v>60.080153719708406</v>
      </c>
      <c r="BN15" s="12">
        <f>(R15+U15+M15+AA15+AE15+M15)/I15</f>
        <v>1.2867400848026298</v>
      </c>
      <c r="BO15" s="8">
        <f>BZ15/AO15</f>
        <v>0.5625</v>
      </c>
      <c r="BP15" s="4">
        <v>51</v>
      </c>
      <c r="BQ15" s="4">
        <v>47</v>
      </c>
      <c r="BR15" s="4">
        <v>42</v>
      </c>
      <c r="BS15" s="4">
        <v>40</v>
      </c>
      <c r="BT15" s="4">
        <v>36</v>
      </c>
      <c r="BU15" s="4">
        <v>35</v>
      </c>
      <c r="BV15" s="4">
        <v>10</v>
      </c>
      <c r="BW15" s="4" t="s">
        <v>97</v>
      </c>
      <c r="BX15" s="4">
        <v>97</v>
      </c>
      <c r="BY15" s="4">
        <v>86</v>
      </c>
      <c r="BZ15" s="4">
        <v>81</v>
      </c>
      <c r="CA15" s="4" t="s">
        <v>98</v>
      </c>
      <c r="CB15" s="4" t="s">
        <v>83</v>
      </c>
    </row>
    <row r="16" spans="1:80" s="4" customFormat="1">
      <c r="A16" s="4">
        <v>11780</v>
      </c>
      <c r="B16" s="4">
        <v>3591</v>
      </c>
      <c r="C16" s="4">
        <v>58.58</v>
      </c>
      <c r="D16" s="5">
        <v>4</v>
      </c>
      <c r="E16" s="4">
        <v>22.53</v>
      </c>
      <c r="F16" s="5">
        <f t="shared" si="12"/>
        <v>48.198429000000004</v>
      </c>
      <c r="G16" s="4">
        <v>7.18</v>
      </c>
      <c r="H16" s="5">
        <f t="shared" si="13"/>
        <v>13.566609999999999</v>
      </c>
      <c r="I16" s="6">
        <f t="shared" si="14"/>
        <v>0.13305816006276971</v>
      </c>
      <c r="J16" s="6">
        <f t="shared" si="15"/>
        <v>67.83305</v>
      </c>
      <c r="K16" s="6">
        <f t="shared" si="16"/>
        <v>4.4991840000000005</v>
      </c>
      <c r="L16" s="5">
        <v>6.03</v>
      </c>
      <c r="M16" s="6">
        <f t="shared" si="17"/>
        <v>9.7289448209099724E-2</v>
      </c>
      <c r="N16" s="6">
        <f t="shared" si="0"/>
        <v>0.31309578898013268</v>
      </c>
      <c r="O16" s="7">
        <v>4.2910000000000004</v>
      </c>
      <c r="P16" s="5">
        <f t="shared" si="18"/>
        <v>5.5203715000000004</v>
      </c>
      <c r="Q16" s="7">
        <f t="shared" si="19"/>
        <v>6.1348427000000001</v>
      </c>
      <c r="R16" s="8">
        <f t="shared" si="20"/>
        <v>3.8414794614902943E-2</v>
      </c>
      <c r="S16" s="7">
        <v>1.61</v>
      </c>
      <c r="T16" s="5">
        <f t="shared" si="21"/>
        <v>1.939406</v>
      </c>
      <c r="U16" s="8">
        <f t="shared" si="22"/>
        <v>2.0588174097664544E-2</v>
      </c>
      <c r="V16" s="7">
        <v>1.6080000000000001</v>
      </c>
      <c r="W16" s="5">
        <f t="shared" si="23"/>
        <v>2.2495920000000003</v>
      </c>
      <c r="X16" s="7">
        <f t="shared" si="24"/>
        <v>4.0113980028530678E-2</v>
      </c>
      <c r="Y16" s="4">
        <v>2.11</v>
      </c>
      <c r="Z16" s="9">
        <f t="shared" si="25"/>
        <v>3.4985909999999998</v>
      </c>
      <c r="AA16" s="2">
        <f t="shared" si="26"/>
        <v>8.6813672456575688E-2</v>
      </c>
      <c r="AB16" s="4">
        <v>0.96899999999999997</v>
      </c>
      <c r="AC16" s="4">
        <v>0.60599999999999998</v>
      </c>
      <c r="AD16" s="7">
        <f t="shared" si="27"/>
        <v>1.0108686</v>
      </c>
      <c r="AE16" s="8">
        <f t="shared" si="28"/>
        <v>1.26358575E-2</v>
      </c>
      <c r="AF16" s="4">
        <v>728</v>
      </c>
      <c r="AG16" s="7">
        <f t="shared" si="29"/>
        <v>9.399935999999999E-2</v>
      </c>
      <c r="AH16" s="8">
        <f t="shared" si="30"/>
        <v>1.3254280879864634E-3</v>
      </c>
      <c r="AI16" s="10">
        <v>2680</v>
      </c>
      <c r="AJ16" s="10">
        <v>260</v>
      </c>
      <c r="AK16" s="11">
        <f t="shared" si="31"/>
        <v>5.9576400000000002E-2</v>
      </c>
      <c r="AL16" s="10">
        <f t="shared" si="32"/>
        <v>2.0510040000000003</v>
      </c>
      <c r="AM16" s="10">
        <f t="shared" si="33"/>
        <v>0.34013333333333334</v>
      </c>
      <c r="AN16" s="4">
        <v>331</v>
      </c>
      <c r="AO16" s="4">
        <v>153</v>
      </c>
      <c r="AP16" s="4">
        <v>170</v>
      </c>
      <c r="AQ16" s="7">
        <f t="shared" si="1"/>
        <v>1.6100278551532032</v>
      </c>
      <c r="AR16" s="4">
        <v>63</v>
      </c>
      <c r="AS16" s="7">
        <f t="shared" si="2"/>
        <v>0.81647852221081951</v>
      </c>
      <c r="AT16" s="4">
        <v>270</v>
      </c>
      <c r="AU16" s="7">
        <f t="shared" si="3"/>
        <v>3.6935933147632318</v>
      </c>
      <c r="AV16" s="4">
        <v>95</v>
      </c>
      <c r="AW16" s="7">
        <f t="shared" si="4"/>
        <v>1.7200557103064067</v>
      </c>
      <c r="AX16" s="4">
        <v>45</v>
      </c>
      <c r="AY16" s="7">
        <f t="shared" si="5"/>
        <v>1.2311977715877438</v>
      </c>
      <c r="AZ16" s="4">
        <v>158</v>
      </c>
      <c r="BA16" s="7">
        <f t="shared" si="6"/>
        <v>10.238381468992818</v>
      </c>
      <c r="BB16" s="4">
        <v>35</v>
      </c>
      <c r="BC16" s="7">
        <f t="shared" si="7"/>
        <v>16.573816155988858</v>
      </c>
      <c r="BD16" s="4">
        <v>33</v>
      </c>
      <c r="BE16" s="4">
        <v>11</v>
      </c>
      <c r="BF16" s="7">
        <f>(BE16/G16)/(3.7/8.84)</f>
        <v>3.6603176993149136</v>
      </c>
      <c r="BG16" s="4">
        <v>17</v>
      </c>
      <c r="BH16" s="7">
        <f t="shared" si="8"/>
        <v>3.1378830083565461</v>
      </c>
      <c r="BI16" s="7">
        <f t="shared" si="9"/>
        <v>4.4596273291925463</v>
      </c>
      <c r="BJ16" s="7">
        <f t="shared" si="10"/>
        <v>46.100278551532035</v>
      </c>
      <c r="BK16" s="6">
        <f t="shared" si="11"/>
        <v>8.4401114206128142E-2</v>
      </c>
      <c r="BL16" s="6">
        <f>(T16/BZ16)*10000</f>
        <v>365.9256603773585</v>
      </c>
      <c r="BM16" s="6">
        <f>(I16/(I16+M16+M16+U16))*100</f>
        <v>38.210373166146404</v>
      </c>
      <c r="BN16" s="12">
        <f>(R16+U16+M16+AA16+AE16+M16)/I16</f>
        <v>2.6532111590961529</v>
      </c>
      <c r="BO16" s="8">
        <f>BZ16/AO16</f>
        <v>0.34640522875816993</v>
      </c>
      <c r="BP16" s="4">
        <v>38</v>
      </c>
      <c r="BQ16" s="4">
        <v>29</v>
      </c>
      <c r="BR16" s="4" t="s">
        <v>89</v>
      </c>
      <c r="BS16" s="4">
        <v>38</v>
      </c>
      <c r="BT16" s="4">
        <v>31</v>
      </c>
      <c r="BU16" s="4">
        <v>25</v>
      </c>
      <c r="BV16" s="4">
        <v>17</v>
      </c>
      <c r="BW16" s="4">
        <v>12</v>
      </c>
      <c r="BX16" s="4">
        <v>60</v>
      </c>
      <c r="BY16" s="4">
        <v>150</v>
      </c>
      <c r="BZ16" s="4">
        <v>53</v>
      </c>
      <c r="CA16" s="4" t="s">
        <v>91</v>
      </c>
      <c r="CB16" s="4" t="s">
        <v>99</v>
      </c>
    </row>
    <row r="17" spans="1:80" s="4" customFormat="1">
      <c r="A17" s="4">
        <v>12070</v>
      </c>
      <c r="B17" s="4">
        <v>3679</v>
      </c>
      <c r="C17" s="4">
        <v>62.62</v>
      </c>
      <c r="D17" s="5">
        <v>3.2</v>
      </c>
      <c r="E17" s="4">
        <v>18.670000000000002</v>
      </c>
      <c r="F17" s="5">
        <f t="shared" si="12"/>
        <v>39.940731000000007</v>
      </c>
      <c r="G17" s="4">
        <v>9.2100000000000009</v>
      </c>
      <c r="H17" s="5">
        <f t="shared" si="13"/>
        <v>17.402295000000002</v>
      </c>
      <c r="I17" s="6">
        <f t="shared" si="14"/>
        <v>0.17067766771282861</v>
      </c>
      <c r="J17" s="6">
        <f t="shared" si="15"/>
        <v>87.011475000000019</v>
      </c>
      <c r="K17" s="6">
        <f t="shared" si="16"/>
        <v>4.4740019999999996</v>
      </c>
      <c r="L17" s="5">
        <v>6.44</v>
      </c>
      <c r="M17" s="6">
        <f t="shared" si="17"/>
        <v>0.10390448531784448</v>
      </c>
      <c r="N17" s="6">
        <f t="shared" si="0"/>
        <v>0.4963047268100475</v>
      </c>
      <c r="O17" s="7">
        <v>1.8029999999999999</v>
      </c>
      <c r="P17" s="5">
        <f t="shared" si="18"/>
        <v>2.3195595</v>
      </c>
      <c r="Q17" s="7">
        <f t="shared" si="19"/>
        <v>2.5777490999999997</v>
      </c>
      <c r="R17" s="8">
        <f t="shared" si="20"/>
        <v>1.6141196618659988E-2</v>
      </c>
      <c r="S17" s="7">
        <v>1.4510000000000001</v>
      </c>
      <c r="T17" s="5">
        <f t="shared" si="21"/>
        <v>1.7478745999999998</v>
      </c>
      <c r="U17" s="8">
        <f t="shared" si="22"/>
        <v>1.8554932059447981E-2</v>
      </c>
      <c r="V17" s="7">
        <v>1.599</v>
      </c>
      <c r="W17" s="5">
        <f t="shared" si="23"/>
        <v>2.2370009999999998</v>
      </c>
      <c r="X17" s="7">
        <f t="shared" si="24"/>
        <v>3.988946148359486E-2</v>
      </c>
      <c r="Y17" s="4">
        <v>1.83</v>
      </c>
      <c r="Z17" s="9">
        <f t="shared" si="25"/>
        <v>3.0343230000000001</v>
      </c>
      <c r="AA17" s="2">
        <f t="shared" si="26"/>
        <v>7.5293374689826317E-2</v>
      </c>
      <c r="AB17" s="4">
        <v>1.6319999999999999</v>
      </c>
      <c r="AC17" s="4">
        <v>0.76300000000000001</v>
      </c>
      <c r="AD17" s="7">
        <f t="shared" si="27"/>
        <v>1.2727602999999998</v>
      </c>
      <c r="AE17" s="8">
        <f t="shared" si="28"/>
        <v>1.5909503749999998E-2</v>
      </c>
      <c r="AF17" s="4">
        <v>287</v>
      </c>
      <c r="AG17" s="7">
        <f t="shared" si="29"/>
        <v>3.7057439999999997E-2</v>
      </c>
      <c r="AH17" s="8">
        <f t="shared" si="30"/>
        <v>5.2252453468697114E-4</v>
      </c>
      <c r="AI17" s="10">
        <v>2900</v>
      </c>
      <c r="AJ17" s="10">
        <v>340</v>
      </c>
      <c r="AK17" s="11">
        <f t="shared" si="31"/>
        <v>7.7907599999999994E-2</v>
      </c>
      <c r="AL17" s="10">
        <f t="shared" si="32"/>
        <v>1.9773089999999998</v>
      </c>
      <c r="AM17" s="10">
        <f t="shared" si="33"/>
        <v>0.3070355590062111</v>
      </c>
      <c r="AN17" s="4">
        <v>247</v>
      </c>
      <c r="AO17" s="4">
        <v>108</v>
      </c>
      <c r="AP17" s="4">
        <v>170</v>
      </c>
      <c r="AQ17" s="7">
        <f t="shared" si="1"/>
        <v>1.2551574375678607</v>
      </c>
      <c r="AR17" s="4">
        <v>132</v>
      </c>
      <c r="AS17" s="7">
        <f t="shared" si="2"/>
        <v>1.3336533516200924</v>
      </c>
      <c r="AT17" s="4">
        <v>67</v>
      </c>
      <c r="AU17" s="7">
        <f t="shared" si="3"/>
        <v>0.71453733864157321</v>
      </c>
      <c r="AV17" s="4">
        <v>65</v>
      </c>
      <c r="AW17" s="7">
        <f t="shared" si="4"/>
        <v>0.91748099891422363</v>
      </c>
      <c r="AX17" s="4">
        <v>62</v>
      </c>
      <c r="AY17" s="7">
        <f t="shared" si="5"/>
        <v>1.3224273133067921</v>
      </c>
      <c r="AZ17" s="4">
        <v>98</v>
      </c>
      <c r="BA17" s="7">
        <f t="shared" si="6"/>
        <v>4.9506828961654952</v>
      </c>
      <c r="BB17" s="4">
        <v>10</v>
      </c>
      <c r="BC17" s="7">
        <f t="shared" si="7"/>
        <v>3.6916395222584142</v>
      </c>
      <c r="BD17" s="4">
        <v>43</v>
      </c>
      <c r="BE17" s="4">
        <v>10</v>
      </c>
      <c r="BF17" s="7">
        <f>(BE17/G17)/(3.7/8.84)</f>
        <v>2.5941250696951017</v>
      </c>
      <c r="BG17" s="4">
        <v>17</v>
      </c>
      <c r="BH17" s="7">
        <f t="shared" si="8"/>
        <v>2.0271444082519001</v>
      </c>
      <c r="BI17" s="7">
        <f t="shared" si="9"/>
        <v>6.3473466574776021</v>
      </c>
      <c r="BJ17" s="7">
        <f t="shared" si="10"/>
        <v>26.818675352877303</v>
      </c>
      <c r="BK17" s="6">
        <f t="shared" si="11"/>
        <v>8.2844733984799121E-2</v>
      </c>
      <c r="BL17" s="6">
        <f>(T17/BZ17)*10000</f>
        <v>379.97273913043472</v>
      </c>
      <c r="BM17" s="6">
        <f>(I17/(I17+M17+M17+U17))*100</f>
        <v>42.987354582910555</v>
      </c>
      <c r="BN17" s="12">
        <f>(R17+U17+M17+AA17+AE17+M17)/I17</f>
        <v>1.9551941517920144</v>
      </c>
      <c r="BO17" s="8">
        <f>BZ17/AO17</f>
        <v>0.42592592592592593</v>
      </c>
      <c r="BP17" s="4">
        <v>54</v>
      </c>
      <c r="BQ17" s="4">
        <v>31</v>
      </c>
      <c r="BR17" s="4">
        <v>34</v>
      </c>
      <c r="BS17" s="4">
        <v>37</v>
      </c>
      <c r="BT17" s="4">
        <v>18</v>
      </c>
      <c r="BU17" s="4">
        <v>31</v>
      </c>
      <c r="BV17" s="4">
        <v>7</v>
      </c>
      <c r="BW17" s="4">
        <v>6</v>
      </c>
      <c r="BX17" s="4">
        <v>55</v>
      </c>
      <c r="BY17" s="4">
        <v>72</v>
      </c>
      <c r="BZ17" s="4">
        <v>46</v>
      </c>
      <c r="CA17" s="4">
        <v>10</v>
      </c>
      <c r="CB17" s="4" t="s">
        <v>83</v>
      </c>
    </row>
    <row r="18" spans="1:80" s="4" customFormat="1">
      <c r="A18" s="4">
        <v>12150</v>
      </c>
      <c r="B18" s="4">
        <v>3703</v>
      </c>
      <c r="C18" s="4">
        <v>62.68</v>
      </c>
      <c r="D18" s="5">
        <v>5.8</v>
      </c>
      <c r="E18" s="4">
        <v>16.04</v>
      </c>
      <c r="F18" s="5">
        <f t="shared" si="12"/>
        <v>34.314371999999999</v>
      </c>
      <c r="G18" s="4">
        <v>7.22</v>
      </c>
      <c r="H18" s="5">
        <f t="shared" si="13"/>
        <v>13.642189999999999</v>
      </c>
      <c r="I18" s="6">
        <f t="shared" si="14"/>
        <v>0.13379943114947038</v>
      </c>
      <c r="J18" s="6">
        <f t="shared" si="15"/>
        <v>68.210949999999997</v>
      </c>
      <c r="K18" s="6">
        <f t="shared" si="16"/>
        <v>12.507059999999999</v>
      </c>
      <c r="L18" s="5">
        <v>0.59</v>
      </c>
      <c r="M18" s="6">
        <f t="shared" si="17"/>
        <v>9.5191997418522106E-3</v>
      </c>
      <c r="N18" s="6">
        <f t="shared" si="0"/>
        <v>2.6430311116462009</v>
      </c>
      <c r="O18" s="7">
        <v>4.8710000000000004</v>
      </c>
      <c r="P18" s="5">
        <f t="shared" si="18"/>
        <v>6.2665415000000007</v>
      </c>
      <c r="Q18" s="7">
        <f t="shared" si="19"/>
        <v>6.9640687000000003</v>
      </c>
      <c r="R18" s="8">
        <f t="shared" si="20"/>
        <v>4.3607192861615532E-2</v>
      </c>
      <c r="S18" s="7">
        <v>1.7909999999999999</v>
      </c>
      <c r="T18" s="5">
        <f t="shared" si="21"/>
        <v>2.1574385999999999</v>
      </c>
      <c r="U18" s="8">
        <f t="shared" si="22"/>
        <v>2.2902745222929934E-2</v>
      </c>
      <c r="V18" s="7">
        <v>4.47</v>
      </c>
      <c r="W18" s="5">
        <f t="shared" si="23"/>
        <v>6.2535299999999996</v>
      </c>
      <c r="X18" s="7">
        <f t="shared" si="24"/>
        <v>0.11151087731811697</v>
      </c>
      <c r="Y18" s="4">
        <v>0.88</v>
      </c>
      <c r="Z18" s="9">
        <f t="shared" si="25"/>
        <v>1.459128</v>
      </c>
      <c r="AA18" s="2">
        <f t="shared" si="26"/>
        <v>3.6206650124069484E-2</v>
      </c>
      <c r="AB18" s="4">
        <v>0.89200000000000002</v>
      </c>
      <c r="AC18" s="4">
        <v>0.69099999999999995</v>
      </c>
      <c r="AD18" s="7">
        <f t="shared" si="27"/>
        <v>1.1526570999999999</v>
      </c>
      <c r="AE18" s="8">
        <f t="shared" si="28"/>
        <v>1.4408213749999999E-2</v>
      </c>
      <c r="AF18" s="4">
        <v>1032</v>
      </c>
      <c r="AG18" s="7">
        <f t="shared" si="29"/>
        <v>0.13325183999999998</v>
      </c>
      <c r="AH18" s="8">
        <f t="shared" si="30"/>
        <v>1.8789035532994921E-3</v>
      </c>
      <c r="AI18" s="10">
        <v>1420</v>
      </c>
      <c r="AJ18" s="10">
        <v>650</v>
      </c>
      <c r="AK18" s="11">
        <f t="shared" si="31"/>
        <v>0.14894099999999999</v>
      </c>
      <c r="AL18" s="10">
        <f t="shared" si="32"/>
        <v>5.7570599999999992</v>
      </c>
      <c r="AM18" s="10">
        <f t="shared" si="33"/>
        <v>9.7577288135593214</v>
      </c>
      <c r="AN18" s="4">
        <v>306</v>
      </c>
      <c r="AO18" s="4">
        <v>173</v>
      </c>
      <c r="AP18" s="4">
        <v>120</v>
      </c>
      <c r="AQ18" s="7">
        <f t="shared" si="1"/>
        <v>1.1301939058171746</v>
      </c>
      <c r="AR18" s="4">
        <v>108</v>
      </c>
      <c r="AS18" s="7">
        <f t="shared" si="2"/>
        <v>1.3919230208485203</v>
      </c>
      <c r="AT18" s="4">
        <v>159</v>
      </c>
      <c r="AU18" s="7">
        <f t="shared" si="3"/>
        <v>2.1630655586334258</v>
      </c>
      <c r="AV18" s="4">
        <v>72</v>
      </c>
      <c r="AW18" s="7">
        <f t="shared" si="4"/>
        <v>1.2963988919667591</v>
      </c>
      <c r="AX18" s="4">
        <v>35</v>
      </c>
      <c r="AY18" s="7">
        <f t="shared" si="5"/>
        <v>0.95229301323484161</v>
      </c>
      <c r="AZ18" s="4">
        <v>147</v>
      </c>
      <c r="BA18" s="7">
        <f t="shared" si="6"/>
        <v>9.4728094474413194</v>
      </c>
      <c r="BB18" s="4">
        <v>27</v>
      </c>
      <c r="BC18" s="7">
        <f t="shared" si="7"/>
        <v>12.714681440443213</v>
      </c>
      <c r="BD18" s="4">
        <v>30</v>
      </c>
      <c r="BE18" s="4">
        <v>9</v>
      </c>
      <c r="BF18" s="7">
        <f>(BE18/G18)/(3.7/8.84)</f>
        <v>2.9782136707344464</v>
      </c>
      <c r="BG18" s="4">
        <v>14</v>
      </c>
      <c r="BH18" s="7">
        <f t="shared" si="8"/>
        <v>2.2216066481994461</v>
      </c>
      <c r="BI18" s="7">
        <f t="shared" si="9"/>
        <v>4.0312674483528754</v>
      </c>
      <c r="BJ18" s="7">
        <f t="shared" si="10"/>
        <v>42.382271468144047</v>
      </c>
      <c r="BK18" s="6">
        <f t="shared" si="11"/>
        <v>9.5706371191135731E-2</v>
      </c>
      <c r="BL18" s="6">
        <f>(T18/BZ18)*10000</f>
        <v>259.9323614457831</v>
      </c>
      <c r="BM18" s="6">
        <f>(I18/(I18+M18+M18+U18))*100</f>
        <v>76.134626564001081</v>
      </c>
      <c r="BN18" s="12">
        <f>(R18+U18+M18+AA18+AE18+M18)/I18</f>
        <v>1.0176665197493131</v>
      </c>
      <c r="BO18" s="8">
        <f>BZ18/AO18</f>
        <v>0.47976878612716761</v>
      </c>
      <c r="BP18" s="4">
        <v>62</v>
      </c>
      <c r="BQ18" s="4">
        <v>26</v>
      </c>
      <c r="BR18" s="4" t="s">
        <v>89</v>
      </c>
      <c r="BS18" s="4">
        <v>42</v>
      </c>
      <c r="BT18" s="4">
        <v>18</v>
      </c>
      <c r="BU18" s="4">
        <v>40</v>
      </c>
      <c r="BV18" s="4">
        <v>13</v>
      </c>
      <c r="BW18" s="4">
        <v>9</v>
      </c>
      <c r="BX18" s="4">
        <v>107</v>
      </c>
      <c r="BY18" s="4">
        <v>83</v>
      </c>
      <c r="BZ18" s="4">
        <v>83</v>
      </c>
      <c r="CA18" s="4" t="s">
        <v>91</v>
      </c>
      <c r="CB18" s="4" t="s">
        <v>86</v>
      </c>
    </row>
    <row r="19" spans="1:80" s="4" customFormat="1">
      <c r="A19" s="4">
        <v>12190</v>
      </c>
      <c r="B19" s="4">
        <v>3716</v>
      </c>
      <c r="C19" s="4">
        <v>61.34</v>
      </c>
      <c r="D19" s="5">
        <v>6.9</v>
      </c>
      <c r="E19" s="4">
        <v>18.670000000000002</v>
      </c>
      <c r="F19" s="5">
        <f t="shared" si="12"/>
        <v>39.940731000000007</v>
      </c>
      <c r="G19" s="4">
        <v>6.56</v>
      </c>
      <c r="H19" s="5">
        <f t="shared" si="13"/>
        <v>12.395119999999999</v>
      </c>
      <c r="I19" s="6">
        <f t="shared" si="14"/>
        <v>0.12156845821890937</v>
      </c>
      <c r="J19" s="6">
        <f t="shared" si="15"/>
        <v>61.975599999999993</v>
      </c>
      <c r="K19" s="6">
        <f t="shared" si="16"/>
        <v>12.38115</v>
      </c>
      <c r="L19" s="5">
        <v>4.37</v>
      </c>
      <c r="M19" s="6">
        <f t="shared" si="17"/>
        <v>7.0506615037108755E-2</v>
      </c>
      <c r="N19" s="6">
        <f t="shared" si="0"/>
        <v>0.54477101050759269</v>
      </c>
      <c r="O19" s="7">
        <v>3.077</v>
      </c>
      <c r="P19" s="5">
        <f t="shared" si="18"/>
        <v>3.9585604999999999</v>
      </c>
      <c r="Q19" s="7">
        <f t="shared" si="19"/>
        <v>4.3991869000000001</v>
      </c>
      <c r="R19" s="8">
        <f t="shared" si="20"/>
        <v>2.754656793988729E-2</v>
      </c>
      <c r="S19" s="7">
        <v>1.6859999999999999</v>
      </c>
      <c r="T19" s="5">
        <f t="shared" si="21"/>
        <v>2.0309556</v>
      </c>
      <c r="U19" s="8">
        <f t="shared" si="22"/>
        <v>2.1560038216560509E-2</v>
      </c>
      <c r="V19" s="7">
        <v>4.4249999999999998</v>
      </c>
      <c r="W19" s="5">
        <f t="shared" si="23"/>
        <v>6.1905749999999999</v>
      </c>
      <c r="X19" s="7">
        <f t="shared" si="24"/>
        <v>0.11038828459343795</v>
      </c>
      <c r="Y19" s="4">
        <v>1.74</v>
      </c>
      <c r="Z19" s="9">
        <f t="shared" si="25"/>
        <v>2.8850939999999996</v>
      </c>
      <c r="AA19" s="2">
        <f t="shared" si="26"/>
        <v>7.1590421836228282E-2</v>
      </c>
      <c r="AB19" s="4">
        <v>1.67</v>
      </c>
      <c r="AC19" s="4">
        <v>0.56999999999999995</v>
      </c>
      <c r="AD19" s="7">
        <f t="shared" si="27"/>
        <v>0.95081699999999991</v>
      </c>
      <c r="AE19" s="8">
        <f t="shared" si="28"/>
        <v>1.1885212499999999E-2</v>
      </c>
      <c r="AF19" s="4">
        <v>784</v>
      </c>
      <c r="AG19" s="7">
        <f t="shared" si="29"/>
        <v>0.10123008</v>
      </c>
      <c r="AH19" s="8">
        <f t="shared" si="30"/>
        <v>1.4273840947546532E-3</v>
      </c>
      <c r="AI19" s="10">
        <v>2850</v>
      </c>
      <c r="AJ19" s="10">
        <v>510</v>
      </c>
      <c r="AK19" s="11">
        <f t="shared" si="31"/>
        <v>0.1168614</v>
      </c>
      <c r="AL19" s="10">
        <f t="shared" si="32"/>
        <v>5.801037</v>
      </c>
      <c r="AM19" s="10">
        <f t="shared" si="33"/>
        <v>1.3274684210526315</v>
      </c>
      <c r="AN19" s="4">
        <v>310</v>
      </c>
      <c r="AO19" s="4">
        <v>125</v>
      </c>
      <c r="AP19" s="4">
        <v>170</v>
      </c>
      <c r="AQ19" s="7">
        <f t="shared" si="1"/>
        <v>1.7621951219512195</v>
      </c>
      <c r="AR19" s="4">
        <v>86</v>
      </c>
      <c r="AS19" s="7">
        <f t="shared" si="2"/>
        <v>1.2198973042362002</v>
      </c>
      <c r="AT19" s="4">
        <v>87</v>
      </c>
      <c r="AU19" s="7">
        <f t="shared" si="3"/>
        <v>1.3026422764227645</v>
      </c>
      <c r="AV19" s="4">
        <v>83</v>
      </c>
      <c r="AW19" s="7">
        <f t="shared" si="4"/>
        <v>1.6448170731707317</v>
      </c>
      <c r="AX19" s="4">
        <v>60</v>
      </c>
      <c r="AY19" s="7">
        <f t="shared" si="5"/>
        <v>1.7967479674796749</v>
      </c>
      <c r="AZ19" s="4">
        <v>128</v>
      </c>
      <c r="BA19" s="7">
        <f t="shared" si="6"/>
        <v>9.0783055198973042</v>
      </c>
      <c r="BB19" s="4">
        <v>9</v>
      </c>
      <c r="BC19" s="7">
        <f t="shared" si="7"/>
        <v>4.6646341463414638</v>
      </c>
      <c r="BD19" s="4">
        <v>35</v>
      </c>
      <c r="BE19" s="4">
        <v>10</v>
      </c>
      <c r="BF19" s="7">
        <f>(BE19/G19)/(3.7/8.84)</f>
        <v>3.6420566908371788</v>
      </c>
      <c r="BG19" s="4">
        <v>17</v>
      </c>
      <c r="BH19" s="7">
        <f t="shared" si="8"/>
        <v>2.8460365853658542</v>
      </c>
      <c r="BI19" s="7">
        <f t="shared" si="9"/>
        <v>3.8908659549228943</v>
      </c>
      <c r="BJ19" s="7">
        <f t="shared" si="10"/>
        <v>47.256097560975611</v>
      </c>
      <c r="BK19" s="6">
        <f t="shared" si="11"/>
        <v>8.6890243902439018E-2</v>
      </c>
      <c r="BL19" s="6">
        <f>(T19/BZ19)*10000</f>
        <v>312.45470769230769</v>
      </c>
      <c r="BM19" s="6">
        <f>(I19/(I19+M19+M19+U19))*100</f>
        <v>42.784444126605486</v>
      </c>
      <c r="BN19" s="12">
        <f>(R19+U19+M19+AA19+AE19+M19)/I19</f>
        <v>2.2505465198401042</v>
      </c>
      <c r="BO19" s="8">
        <f>BZ19/AO19</f>
        <v>0.52</v>
      </c>
      <c r="BP19" s="4">
        <v>25</v>
      </c>
      <c r="BQ19" s="4">
        <v>38</v>
      </c>
      <c r="BR19" s="4">
        <v>14</v>
      </c>
      <c r="BS19" s="4">
        <v>36</v>
      </c>
      <c r="BT19" s="4">
        <v>42</v>
      </c>
      <c r="BU19" s="4">
        <v>34</v>
      </c>
      <c r="BV19" s="4">
        <v>6</v>
      </c>
      <c r="BW19" s="4">
        <v>7</v>
      </c>
      <c r="BX19" s="4">
        <v>95</v>
      </c>
      <c r="BY19" s="4">
        <v>86</v>
      </c>
      <c r="BZ19" s="4">
        <v>65</v>
      </c>
      <c r="CA19" s="4">
        <v>12</v>
      </c>
      <c r="CB19" s="4" t="s">
        <v>86</v>
      </c>
    </row>
    <row r="20" spans="1:80" s="4" customFormat="1">
      <c r="A20" s="4">
        <v>12300</v>
      </c>
      <c r="B20" s="4">
        <v>3749</v>
      </c>
      <c r="C20" s="4">
        <v>70.650000000000006</v>
      </c>
      <c r="D20" s="5">
        <v>5.4</v>
      </c>
      <c r="E20" s="4">
        <v>12.61</v>
      </c>
      <c r="F20" s="5">
        <f t="shared" si="12"/>
        <v>26.976572999999998</v>
      </c>
      <c r="G20" s="4">
        <v>6.2</v>
      </c>
      <c r="H20" s="5">
        <f t="shared" si="13"/>
        <v>11.7149</v>
      </c>
      <c r="I20" s="6">
        <f t="shared" si="14"/>
        <v>0.11489701843860338</v>
      </c>
      <c r="J20" s="6">
        <f t="shared" si="15"/>
        <v>58.5745</v>
      </c>
      <c r="K20" s="6">
        <f t="shared" si="16"/>
        <v>10.232286</v>
      </c>
      <c r="L20" s="5">
        <v>1.24</v>
      </c>
      <c r="M20" s="6">
        <f t="shared" si="17"/>
        <v>2.0006453694740238E-2</v>
      </c>
      <c r="N20" s="6">
        <f t="shared" si="0"/>
        <v>1.7479813290931947</v>
      </c>
      <c r="O20" s="7">
        <v>2.589</v>
      </c>
      <c r="P20" s="5">
        <f t="shared" si="18"/>
        <v>3.3307484999999999</v>
      </c>
      <c r="Q20" s="7">
        <f t="shared" si="19"/>
        <v>3.7014933000000001</v>
      </c>
      <c r="R20" s="8">
        <f t="shared" si="20"/>
        <v>2.3177791484032564E-2</v>
      </c>
      <c r="S20" s="7">
        <v>1.3220000000000001</v>
      </c>
      <c r="T20" s="5">
        <f t="shared" si="21"/>
        <v>1.5924811999999999</v>
      </c>
      <c r="U20" s="8">
        <f t="shared" si="22"/>
        <v>1.6905320594479828E-2</v>
      </c>
      <c r="V20" s="7">
        <v>3.657</v>
      </c>
      <c r="W20" s="5">
        <f t="shared" si="23"/>
        <v>5.1161430000000001</v>
      </c>
      <c r="X20" s="7">
        <f t="shared" si="24"/>
        <v>9.1229368758915838E-2</v>
      </c>
      <c r="Y20" s="4">
        <v>0.74</v>
      </c>
      <c r="Z20" s="9">
        <f t="shared" si="25"/>
        <v>1.2269939999999999</v>
      </c>
      <c r="AA20" s="2">
        <f t="shared" si="26"/>
        <v>3.0446501240694788E-2</v>
      </c>
      <c r="AB20" s="4">
        <v>0.82299999999999995</v>
      </c>
      <c r="AC20" s="4">
        <v>0.82199999999999995</v>
      </c>
      <c r="AD20" s="7">
        <f t="shared" si="27"/>
        <v>1.3711781999999999</v>
      </c>
      <c r="AE20" s="8">
        <f t="shared" si="28"/>
        <v>1.71397275E-2</v>
      </c>
      <c r="AF20" s="4">
        <v>401</v>
      </c>
      <c r="AG20" s="7">
        <f t="shared" si="29"/>
        <v>5.1777119999999989E-2</v>
      </c>
      <c r="AH20" s="8">
        <f t="shared" si="30"/>
        <v>7.3007783417935687E-4</v>
      </c>
      <c r="AI20" s="10">
        <v>4280</v>
      </c>
      <c r="AJ20" s="10">
        <v>140</v>
      </c>
      <c r="AK20" s="11">
        <f t="shared" si="31"/>
        <v>3.20796E-2</v>
      </c>
      <c r="AL20" s="10">
        <f t="shared" si="32"/>
        <v>5.0092110000000005</v>
      </c>
      <c r="AM20" s="10">
        <f t="shared" si="33"/>
        <v>4.0396862903225808</v>
      </c>
      <c r="AN20" s="4">
        <v>280</v>
      </c>
      <c r="AO20" s="4">
        <v>137</v>
      </c>
      <c r="AP20" s="4">
        <v>170</v>
      </c>
      <c r="AQ20" s="7">
        <f t="shared" si="1"/>
        <v>1.8645161290322578</v>
      </c>
      <c r="AR20" s="4">
        <v>58</v>
      </c>
      <c r="AS20" s="7">
        <f t="shared" si="2"/>
        <v>0.87049235993208829</v>
      </c>
      <c r="AT20" s="4">
        <v>92</v>
      </c>
      <c r="AU20" s="7">
        <f t="shared" si="3"/>
        <v>1.4574910394265232</v>
      </c>
      <c r="AV20" s="4">
        <v>46</v>
      </c>
      <c r="AW20" s="7">
        <f t="shared" si="4"/>
        <v>0.96451612903225803</v>
      </c>
      <c r="AX20" s="4">
        <v>31</v>
      </c>
      <c r="AY20" s="7">
        <f t="shared" si="5"/>
        <v>0.98222222222222233</v>
      </c>
      <c r="AZ20" s="4">
        <v>133</v>
      </c>
      <c r="BA20" s="7">
        <f t="shared" si="6"/>
        <v>9.9806451612903224</v>
      </c>
      <c r="BB20" s="4">
        <v>7</v>
      </c>
      <c r="BC20" s="7">
        <f t="shared" si="7"/>
        <v>3.8387096774193545</v>
      </c>
      <c r="BD20" s="4">
        <v>54</v>
      </c>
      <c r="BE20" s="4">
        <v>8</v>
      </c>
      <c r="BF20" s="7">
        <f>(BE20/G20)/(3.7/8.84)</f>
        <v>3.0828247602441148</v>
      </c>
      <c r="BG20" s="4">
        <v>14</v>
      </c>
      <c r="BH20" s="7">
        <f t="shared" si="8"/>
        <v>2.0338709677419353</v>
      </c>
      <c r="BI20" s="7">
        <f t="shared" si="9"/>
        <v>4.689863842662632</v>
      </c>
      <c r="BJ20" s="7">
        <f t="shared" si="10"/>
        <v>45.161290322580641</v>
      </c>
      <c r="BK20" s="6">
        <f t="shared" si="11"/>
        <v>0.13258064516129031</v>
      </c>
      <c r="BL20" s="6">
        <f>(T20/BZ20)*10000</f>
        <v>312.25121568627446</v>
      </c>
      <c r="BM20" s="6">
        <f>(I20/(I20+M20+M20+U20))*100</f>
        <v>66.872423042146565</v>
      </c>
      <c r="BN20" s="12">
        <f>(R20+U20+M20+AA20+AE20+M20)/I20</f>
        <v>1.1112755573976556</v>
      </c>
      <c r="BO20" s="8">
        <f>BZ20/AO20</f>
        <v>0.37226277372262773</v>
      </c>
      <c r="BP20" s="4">
        <v>32</v>
      </c>
      <c r="BQ20" s="4">
        <v>17</v>
      </c>
      <c r="BR20" s="4" t="s">
        <v>90</v>
      </c>
      <c r="BS20" s="4">
        <v>28</v>
      </c>
      <c r="BT20" s="4">
        <v>23</v>
      </c>
      <c r="BU20" s="4">
        <v>42</v>
      </c>
      <c r="BV20" s="4">
        <v>5</v>
      </c>
      <c r="BW20" s="4">
        <v>8</v>
      </c>
      <c r="BX20" s="4">
        <v>40</v>
      </c>
      <c r="BY20" s="4">
        <v>51</v>
      </c>
      <c r="BZ20" s="4">
        <v>51</v>
      </c>
      <c r="CA20" s="4" t="s">
        <v>92</v>
      </c>
      <c r="CB20" s="4" t="s">
        <v>83</v>
      </c>
    </row>
    <row r="21" spans="1:80" s="4" customFormat="1">
      <c r="A21" s="4">
        <v>12350</v>
      </c>
      <c r="B21" s="4">
        <v>3764</v>
      </c>
      <c r="C21" s="4">
        <v>64.510000000000005</v>
      </c>
      <c r="D21" s="5">
        <v>4.9000000000000004</v>
      </c>
      <c r="E21" s="4">
        <v>15.71</v>
      </c>
      <c r="F21" s="5">
        <f t="shared" si="12"/>
        <v>33.608403000000003</v>
      </c>
      <c r="G21" s="4">
        <v>8.23</v>
      </c>
      <c r="H21" s="5">
        <f t="shared" si="13"/>
        <v>15.550585</v>
      </c>
      <c r="I21" s="6">
        <f t="shared" si="14"/>
        <v>0.15251652608866223</v>
      </c>
      <c r="J21" s="6">
        <f t="shared" si="15"/>
        <v>77.752925000000005</v>
      </c>
      <c r="K21" s="6">
        <f t="shared" si="16"/>
        <v>8.3016660000000009</v>
      </c>
      <c r="L21" s="5">
        <v>0.88</v>
      </c>
      <c r="M21" s="6">
        <f t="shared" si="17"/>
        <v>1.4198128428525332E-2</v>
      </c>
      <c r="N21" s="6">
        <f t="shared" si="0"/>
        <v>2.3741628028579576</v>
      </c>
      <c r="O21" s="7">
        <v>3.38</v>
      </c>
      <c r="P21" s="5">
        <f t="shared" si="18"/>
        <v>4.3483700000000001</v>
      </c>
      <c r="Q21" s="7">
        <f t="shared" si="19"/>
        <v>4.8323859999999996</v>
      </c>
      <c r="R21" s="8">
        <f t="shared" si="20"/>
        <v>3.0259148403256105E-2</v>
      </c>
      <c r="S21" s="7">
        <v>1.34</v>
      </c>
      <c r="T21" s="5">
        <f t="shared" si="21"/>
        <v>1.6141639999999999</v>
      </c>
      <c r="U21" s="8">
        <f t="shared" si="22"/>
        <v>1.7135498938428872E-2</v>
      </c>
      <c r="V21" s="7">
        <v>2.9670000000000001</v>
      </c>
      <c r="W21" s="5">
        <f t="shared" si="23"/>
        <v>4.1508330000000004</v>
      </c>
      <c r="X21" s="7">
        <f t="shared" si="24"/>
        <v>7.401628031383739E-2</v>
      </c>
      <c r="Y21" s="4">
        <v>1.53</v>
      </c>
      <c r="Z21" s="9">
        <f t="shared" si="25"/>
        <v>2.5368930000000001</v>
      </c>
      <c r="AA21" s="2">
        <f t="shared" si="26"/>
        <v>6.2950198511166261E-2</v>
      </c>
      <c r="AB21" s="4">
        <v>0.66</v>
      </c>
      <c r="AC21" s="4">
        <v>1.097</v>
      </c>
      <c r="AD21" s="7">
        <f t="shared" si="27"/>
        <v>1.8299056999999999</v>
      </c>
      <c r="AE21" s="8">
        <f t="shared" si="28"/>
        <v>2.2873821249999999E-2</v>
      </c>
      <c r="AF21" s="4">
        <v>247</v>
      </c>
      <c r="AG21" s="7">
        <f t="shared" si="29"/>
        <v>3.189264E-2</v>
      </c>
      <c r="AH21" s="8">
        <f t="shared" si="30"/>
        <v>4.4969881556683586E-4</v>
      </c>
      <c r="AI21" s="10">
        <v>3750</v>
      </c>
      <c r="AJ21" s="10">
        <v>220</v>
      </c>
      <c r="AK21" s="11">
        <f t="shared" si="31"/>
        <v>5.0410799999999992E-2</v>
      </c>
      <c r="AL21" s="10">
        <f t="shared" si="32"/>
        <v>3.9827970000000006</v>
      </c>
      <c r="AM21" s="10">
        <f t="shared" si="33"/>
        <v>4.5259056818181822</v>
      </c>
      <c r="AN21" s="4">
        <v>384</v>
      </c>
      <c r="AO21" s="4">
        <v>181</v>
      </c>
      <c r="AP21" s="4">
        <v>170</v>
      </c>
      <c r="AQ21" s="7">
        <f t="shared" si="1"/>
        <v>1.404617253948967</v>
      </c>
      <c r="AR21" s="4">
        <v>60</v>
      </c>
      <c r="AS21" s="7">
        <f t="shared" si="2"/>
        <v>0.6783909957152906</v>
      </c>
      <c r="AT21" s="4">
        <v>104</v>
      </c>
      <c r="AU21" s="7">
        <f t="shared" si="3"/>
        <v>1.241204266234643</v>
      </c>
      <c r="AV21" s="4">
        <v>70</v>
      </c>
      <c r="AW21" s="7">
        <f t="shared" si="4"/>
        <v>1.1057108140947751</v>
      </c>
      <c r="AX21" s="4">
        <v>45</v>
      </c>
      <c r="AY21" s="7">
        <f t="shared" si="5"/>
        <v>1.0741190765492103</v>
      </c>
      <c r="AZ21" s="4">
        <v>118</v>
      </c>
      <c r="BA21" s="7">
        <f t="shared" si="6"/>
        <v>6.6708447912003574</v>
      </c>
      <c r="BB21" s="4">
        <v>13</v>
      </c>
      <c r="BC21" s="7">
        <f t="shared" si="7"/>
        <v>5.3705953827460506</v>
      </c>
      <c r="BD21" s="4">
        <v>32</v>
      </c>
      <c r="BE21" s="4">
        <v>9</v>
      </c>
      <c r="BF21" s="7">
        <f>(BE21/G21)/(3.7/8.84)</f>
        <v>2.612722078092673</v>
      </c>
      <c r="BG21" s="4">
        <v>15</v>
      </c>
      <c r="BH21" s="7">
        <f t="shared" si="8"/>
        <v>1.9088699878493318</v>
      </c>
      <c r="BI21" s="7">
        <f t="shared" si="9"/>
        <v>6.1417910447761193</v>
      </c>
      <c r="BJ21" s="7">
        <f t="shared" si="10"/>
        <v>46.658566221142159</v>
      </c>
      <c r="BK21" s="6">
        <f t="shared" si="11"/>
        <v>0.1332928311057108</v>
      </c>
      <c r="BL21" s="6">
        <f>(T21/BZ21)*10000</f>
        <v>298.91925925925926</v>
      </c>
      <c r="BM21" s="6">
        <f>(I21/(I21+M21+M21+U21))*100</f>
        <v>77.009769858990438</v>
      </c>
      <c r="BN21" s="12">
        <f>(R21+U21+M21+AA21+AE21+M21)/I21</f>
        <v>1.0596551606869835</v>
      </c>
      <c r="BO21" s="8">
        <f>BZ21/AO21</f>
        <v>0.2983425414364641</v>
      </c>
      <c r="BP21" s="4">
        <v>42</v>
      </c>
      <c r="BQ21" s="4">
        <v>22</v>
      </c>
      <c r="BR21" s="4" t="s">
        <v>89</v>
      </c>
      <c r="BS21" s="4">
        <v>33</v>
      </c>
      <c r="BT21" s="4">
        <v>20</v>
      </c>
      <c r="BU21" s="4">
        <v>66</v>
      </c>
      <c r="BV21" s="4">
        <v>4</v>
      </c>
      <c r="BW21" s="4">
        <v>5</v>
      </c>
      <c r="BX21" s="4">
        <v>80</v>
      </c>
      <c r="BY21" s="4">
        <v>117</v>
      </c>
      <c r="BZ21" s="4">
        <v>54</v>
      </c>
      <c r="CA21" s="4">
        <v>15</v>
      </c>
      <c r="CB21" s="4" t="s">
        <v>86</v>
      </c>
    </row>
    <row r="22" spans="1:80" s="4" customFormat="1">
      <c r="A22" s="4">
        <v>12440</v>
      </c>
      <c r="B22" s="4">
        <v>3792</v>
      </c>
      <c r="C22" s="4">
        <v>63.7</v>
      </c>
      <c r="D22" s="5">
        <v>3.1</v>
      </c>
      <c r="E22" s="4">
        <v>18.190000000000001</v>
      </c>
      <c r="F22" s="5">
        <f t="shared" si="12"/>
        <v>38.913867000000003</v>
      </c>
      <c r="G22" s="4">
        <v>5.59</v>
      </c>
      <c r="H22" s="5">
        <f t="shared" si="13"/>
        <v>10.562305</v>
      </c>
      <c r="I22" s="6">
        <f t="shared" si="14"/>
        <v>0.10359263436641822</v>
      </c>
      <c r="J22" s="6">
        <f t="shared" si="15"/>
        <v>52.811525000000003</v>
      </c>
      <c r="K22" s="6">
        <f t="shared" si="16"/>
        <v>7.6021660000000004</v>
      </c>
      <c r="L22" s="5">
        <v>0.69</v>
      </c>
      <c r="M22" s="6">
        <f t="shared" si="17"/>
        <v>1.1132623426911906E-2</v>
      </c>
      <c r="N22" s="6">
        <f t="shared" si="0"/>
        <v>2.2305863852169341</v>
      </c>
      <c r="O22" s="7">
        <v>3.7280000000000002</v>
      </c>
      <c r="P22" s="5">
        <f t="shared" si="18"/>
        <v>4.7960720000000006</v>
      </c>
      <c r="Q22" s="7">
        <f t="shared" si="19"/>
        <v>5.3299216000000005</v>
      </c>
      <c r="R22" s="8">
        <f t="shared" si="20"/>
        <v>3.3374587351283659E-2</v>
      </c>
      <c r="S22" s="7">
        <v>2.0529999999999999</v>
      </c>
      <c r="T22" s="5">
        <f t="shared" si="21"/>
        <v>2.4730437999999997</v>
      </c>
      <c r="U22" s="8">
        <f t="shared" si="22"/>
        <v>2.6253118895966026E-2</v>
      </c>
      <c r="V22" s="7">
        <v>2.7170000000000001</v>
      </c>
      <c r="W22" s="5">
        <f t="shared" si="23"/>
        <v>3.8010830000000002</v>
      </c>
      <c r="X22" s="7">
        <f t="shared" si="24"/>
        <v>6.7779654065620545E-2</v>
      </c>
      <c r="Y22" s="4">
        <v>0.94</v>
      </c>
      <c r="Z22" s="9">
        <f t="shared" si="25"/>
        <v>1.5586139999999997</v>
      </c>
      <c r="AA22" s="2">
        <f t="shared" si="26"/>
        <v>3.8675285359801484E-2</v>
      </c>
      <c r="AB22" s="4">
        <v>1.81</v>
      </c>
      <c r="AC22" s="4">
        <v>0.61</v>
      </c>
      <c r="AD22" s="7">
        <f t="shared" si="27"/>
        <v>1.017541</v>
      </c>
      <c r="AE22" s="8">
        <f t="shared" si="28"/>
        <v>1.27192625E-2</v>
      </c>
      <c r="AF22" s="4">
        <v>440</v>
      </c>
      <c r="AG22" s="7">
        <f t="shared" si="29"/>
        <v>5.681279999999999E-2</v>
      </c>
      <c r="AH22" s="8">
        <f t="shared" si="30"/>
        <v>8.0108291032148882E-4</v>
      </c>
      <c r="AI22" s="10">
        <v>4720</v>
      </c>
      <c r="AJ22" s="10">
        <v>290</v>
      </c>
      <c r="AK22" s="11">
        <f t="shared" si="31"/>
        <v>6.6450599999999999E-2</v>
      </c>
      <c r="AL22" s="10">
        <f t="shared" si="32"/>
        <v>3.5795810000000001</v>
      </c>
      <c r="AM22" s="10">
        <f t="shared" si="33"/>
        <v>5.1877985507246382</v>
      </c>
      <c r="AN22" s="4">
        <v>318</v>
      </c>
      <c r="AO22" s="4">
        <v>139</v>
      </c>
      <c r="AP22" s="4">
        <v>130</v>
      </c>
      <c r="AQ22" s="7">
        <f t="shared" si="1"/>
        <v>1.5813953488372094</v>
      </c>
      <c r="AR22" s="4">
        <v>102</v>
      </c>
      <c r="AS22" s="7">
        <f t="shared" si="2"/>
        <v>1.6979192166462667</v>
      </c>
      <c r="AT22" s="4">
        <v>110</v>
      </c>
      <c r="AU22" s="7">
        <f t="shared" si="3"/>
        <v>1.9328165374677007</v>
      </c>
      <c r="AV22" s="4">
        <v>110</v>
      </c>
      <c r="AW22" s="7">
        <f t="shared" si="4"/>
        <v>2.558139534883721</v>
      </c>
      <c r="AX22" s="4">
        <v>60</v>
      </c>
      <c r="AY22" s="7">
        <f t="shared" si="5"/>
        <v>2.1085271317829459</v>
      </c>
      <c r="AZ22" s="4">
        <v>128</v>
      </c>
      <c r="BA22" s="7">
        <f t="shared" si="6"/>
        <v>10.653610771113831</v>
      </c>
      <c r="BB22" s="4">
        <v>13</v>
      </c>
      <c r="BC22" s="7">
        <f t="shared" si="7"/>
        <v>7.9069767441860463</v>
      </c>
      <c r="BD22" s="4">
        <v>38</v>
      </c>
      <c r="BE22" s="4">
        <v>9</v>
      </c>
      <c r="BF22" s="7">
        <f>(BE22/G22)/(3.7/8.84)</f>
        <v>3.8466373350094281</v>
      </c>
      <c r="BG22" s="4">
        <v>15</v>
      </c>
      <c r="BH22" s="7">
        <f t="shared" si="8"/>
        <v>3.2540250447227193</v>
      </c>
      <c r="BI22" s="7">
        <f t="shared" si="9"/>
        <v>2.7228446176327328</v>
      </c>
      <c r="BJ22" s="7">
        <f t="shared" si="10"/>
        <v>56.887298747763865</v>
      </c>
      <c r="BK22" s="6">
        <f t="shared" si="11"/>
        <v>0.10912343470483006</v>
      </c>
      <c r="BL22" s="6">
        <f>(T22/BZ22)*10000</f>
        <v>284.25790804597699</v>
      </c>
      <c r="BM22" s="6">
        <f>(I22/(I22+M22+M22+U22))*100</f>
        <v>68.103315530945622</v>
      </c>
      <c r="BN22" s="12">
        <f>(R22+U22+M22+AA22+AE22+M22)/I22</f>
        <v>1.2866503663708642</v>
      </c>
      <c r="BO22" s="8">
        <f>BZ22/AO22</f>
        <v>0.62589928057553956</v>
      </c>
      <c r="BP22" s="4">
        <v>46</v>
      </c>
      <c r="BQ22" s="4">
        <v>26</v>
      </c>
      <c r="BR22" s="4">
        <v>13</v>
      </c>
      <c r="BS22" s="4">
        <v>38</v>
      </c>
      <c r="BT22" s="4">
        <v>13</v>
      </c>
      <c r="BU22" s="4">
        <v>29</v>
      </c>
      <c r="BV22" s="4">
        <v>11</v>
      </c>
      <c r="BW22" s="4">
        <v>7</v>
      </c>
      <c r="BX22" s="4">
        <v>85</v>
      </c>
      <c r="BY22" s="4">
        <v>88</v>
      </c>
      <c r="BZ22" s="4">
        <v>87</v>
      </c>
      <c r="CA22" s="4" t="s">
        <v>82</v>
      </c>
      <c r="CB22" s="4" t="s">
        <v>100</v>
      </c>
    </row>
    <row r="23" spans="1:80" s="4" customFormat="1">
      <c r="A23" s="4">
        <v>12600</v>
      </c>
      <c r="B23" s="4">
        <v>3841</v>
      </c>
      <c r="C23" s="4">
        <v>58.02</v>
      </c>
      <c r="D23" s="5">
        <v>2.2999999999999998</v>
      </c>
      <c r="E23" s="4">
        <v>22.72</v>
      </c>
      <c r="F23" s="5">
        <f t="shared" si="12"/>
        <v>48.604895999999997</v>
      </c>
      <c r="G23" s="4">
        <v>7.84</v>
      </c>
      <c r="H23" s="5">
        <f t="shared" si="13"/>
        <v>14.81368</v>
      </c>
      <c r="I23" s="6">
        <f t="shared" si="14"/>
        <v>0.14528913299333071</v>
      </c>
      <c r="J23" s="6">
        <f t="shared" si="15"/>
        <v>74.068399999999997</v>
      </c>
      <c r="K23" s="6">
        <f t="shared" si="16"/>
        <v>3.8976139999999999</v>
      </c>
      <c r="L23" s="5">
        <v>0.73</v>
      </c>
      <c r="M23" s="6">
        <f t="shared" si="17"/>
        <v>1.1777992900935785E-2</v>
      </c>
      <c r="N23" s="6">
        <f t="shared" si="0"/>
        <v>2.5124929958611109</v>
      </c>
      <c r="O23" s="7">
        <v>7.5110000000000001</v>
      </c>
      <c r="P23" s="5">
        <f t="shared" si="18"/>
        <v>9.6629015000000003</v>
      </c>
      <c r="Q23" s="7">
        <f t="shared" si="19"/>
        <v>10.7384767</v>
      </c>
      <c r="R23" s="8">
        <f t="shared" si="20"/>
        <v>6.7241557294927992E-2</v>
      </c>
      <c r="S23" s="7">
        <v>1.1439999999999999</v>
      </c>
      <c r="T23" s="5">
        <f t="shared" si="21"/>
        <v>1.3780623999999997</v>
      </c>
      <c r="U23" s="8">
        <f t="shared" si="22"/>
        <v>1.4629112526539274E-2</v>
      </c>
      <c r="V23" s="7">
        <v>1.393</v>
      </c>
      <c r="W23" s="5">
        <f t="shared" si="23"/>
        <v>1.948807</v>
      </c>
      <c r="X23" s="7">
        <f t="shared" si="24"/>
        <v>3.4750481455064194E-2</v>
      </c>
      <c r="Y23" s="4">
        <v>0.7</v>
      </c>
      <c r="Z23" s="9">
        <f t="shared" si="25"/>
        <v>1.1606699999999999</v>
      </c>
      <c r="AA23" s="2">
        <f t="shared" si="26"/>
        <v>2.8800744416873449E-2</v>
      </c>
      <c r="AB23" s="4">
        <v>0.29399999999999998</v>
      </c>
      <c r="AC23" s="4">
        <v>0.63700000000000001</v>
      </c>
      <c r="AD23" s="7">
        <f t="shared" si="27"/>
        <v>1.0625796999999999</v>
      </c>
      <c r="AE23" s="8">
        <f t="shared" si="28"/>
        <v>1.3282246249999999E-2</v>
      </c>
      <c r="AF23" s="4">
        <v>144</v>
      </c>
      <c r="AG23" s="7">
        <f t="shared" si="29"/>
        <v>1.859328E-2</v>
      </c>
      <c r="AH23" s="8">
        <f t="shared" si="30"/>
        <v>2.621725888324873E-4</v>
      </c>
      <c r="AI23" s="10">
        <v>2150</v>
      </c>
      <c r="AJ23" s="10">
        <v>280</v>
      </c>
      <c r="AK23" s="11">
        <f t="shared" si="31"/>
        <v>6.41592E-2</v>
      </c>
      <c r="AL23" s="10">
        <f t="shared" si="32"/>
        <v>1.7349429999999999</v>
      </c>
      <c r="AM23" s="10">
        <f t="shared" si="33"/>
        <v>2.3766342465753425</v>
      </c>
      <c r="AN23" s="4">
        <v>566</v>
      </c>
      <c r="AO23" s="4">
        <v>136</v>
      </c>
      <c r="AP23" s="4">
        <v>120</v>
      </c>
      <c r="AQ23" s="7">
        <f t="shared" si="1"/>
        <v>1.0408163265306121</v>
      </c>
      <c r="AR23" s="4">
        <v>60</v>
      </c>
      <c r="AS23" s="7">
        <f t="shared" si="2"/>
        <v>0.71213748657357667</v>
      </c>
      <c r="AT23" s="4">
        <v>392</v>
      </c>
      <c r="AU23" s="7">
        <f t="shared" si="3"/>
        <v>4.9111111111111114</v>
      </c>
      <c r="AV23" s="4">
        <v>97</v>
      </c>
      <c r="AW23" s="7">
        <f t="shared" si="4"/>
        <v>1.6084183673469388</v>
      </c>
      <c r="AX23" s="4">
        <v>18</v>
      </c>
      <c r="AY23" s="7">
        <f t="shared" si="5"/>
        <v>0.45102040816326538</v>
      </c>
      <c r="AZ23" s="4">
        <v>186</v>
      </c>
      <c r="BA23" s="7">
        <f t="shared" si="6"/>
        <v>11.038131041890439</v>
      </c>
      <c r="BB23" s="4">
        <v>50</v>
      </c>
      <c r="BC23" s="7">
        <f t="shared" si="7"/>
        <v>21.683673469387756</v>
      </c>
      <c r="BD23" s="4">
        <v>98</v>
      </c>
      <c r="BE23" s="4">
        <v>7</v>
      </c>
      <c r="BF23" s="7">
        <f>(BE23/G23)/(3.7/8.84)</f>
        <v>2.1332046332046333</v>
      </c>
      <c r="BG23" s="4">
        <v>14</v>
      </c>
      <c r="BH23" s="7">
        <f t="shared" si="8"/>
        <v>2.8979591836734695</v>
      </c>
      <c r="BI23" s="7">
        <f t="shared" si="9"/>
        <v>6.8531468531468533</v>
      </c>
      <c r="BJ23" s="7">
        <f t="shared" si="10"/>
        <v>72.193877551020407</v>
      </c>
      <c r="BK23" s="6">
        <f t="shared" si="11"/>
        <v>8.1250000000000003E-2</v>
      </c>
      <c r="BL23" s="6">
        <f>(T23/BZ23)*10000</f>
        <v>202.65623529411761</v>
      </c>
      <c r="BM23" s="6">
        <f>(I23/(I23+M23+M23+U23))*100</f>
        <v>79.187759472637211</v>
      </c>
      <c r="BN23" s="12">
        <f>(R23+U23+M23+AA23+AE23+M23)/I23</f>
        <v>1.0152834093722858</v>
      </c>
      <c r="BO23" s="8">
        <f>BZ23/AO23</f>
        <v>0.5</v>
      </c>
      <c r="BP23" s="4">
        <v>67</v>
      </c>
      <c r="BQ23" s="4">
        <v>24</v>
      </c>
      <c r="BR23" s="4">
        <v>36</v>
      </c>
      <c r="BS23" s="4">
        <v>43</v>
      </c>
      <c r="BT23" s="4">
        <v>20</v>
      </c>
      <c r="BU23" s="4">
        <v>87</v>
      </c>
      <c r="BV23" s="4">
        <v>19</v>
      </c>
      <c r="BW23" s="4">
        <v>5</v>
      </c>
      <c r="BX23" s="4">
        <v>142</v>
      </c>
      <c r="BY23" s="4">
        <v>68</v>
      </c>
      <c r="BZ23" s="4">
        <v>68</v>
      </c>
      <c r="CA23" s="4" t="s">
        <v>91</v>
      </c>
      <c r="CB23" s="4" t="s">
        <v>100</v>
      </c>
    </row>
    <row r="24" spans="1:80" s="4" customFormat="1">
      <c r="A24" s="4">
        <v>12630</v>
      </c>
      <c r="B24" s="4">
        <v>3850</v>
      </c>
      <c r="C24" s="4">
        <v>57.74</v>
      </c>
      <c r="D24" s="5">
        <v>3.7</v>
      </c>
      <c r="E24" s="4">
        <v>22.64</v>
      </c>
      <c r="F24" s="5">
        <f t="shared" si="12"/>
        <v>48.433751999999998</v>
      </c>
      <c r="G24" s="4">
        <v>8.1300000000000008</v>
      </c>
      <c r="H24" s="5">
        <f t="shared" si="13"/>
        <v>15.361635000000001</v>
      </c>
      <c r="I24" s="6">
        <f t="shared" si="14"/>
        <v>0.15066334837191059</v>
      </c>
      <c r="J24" s="6">
        <f t="shared" si="15"/>
        <v>76.808175000000006</v>
      </c>
      <c r="K24" s="6">
        <f t="shared" si="16"/>
        <v>4.6726599999999996</v>
      </c>
      <c r="L24" s="5">
        <v>3.34</v>
      </c>
      <c r="M24" s="6">
        <f t="shared" si="17"/>
        <v>5.3888351080993872E-2</v>
      </c>
      <c r="N24" s="6">
        <f t="shared" si="0"/>
        <v>1.0281335332302044</v>
      </c>
      <c r="O24" s="7">
        <v>5.1289999999999996</v>
      </c>
      <c r="P24" s="5">
        <f t="shared" si="18"/>
        <v>6.5984584999999996</v>
      </c>
      <c r="Q24" s="7">
        <f t="shared" si="19"/>
        <v>7.3329312999999994</v>
      </c>
      <c r="R24" s="8">
        <f t="shared" si="20"/>
        <v>4.5916914840325611E-2</v>
      </c>
      <c r="S24" s="7">
        <v>2.137</v>
      </c>
      <c r="T24" s="5">
        <f t="shared" si="21"/>
        <v>2.5742301999999997</v>
      </c>
      <c r="U24" s="8">
        <f t="shared" si="22"/>
        <v>2.7327284501061568E-2</v>
      </c>
      <c r="V24" s="7">
        <v>1.67</v>
      </c>
      <c r="W24" s="5">
        <f t="shared" si="23"/>
        <v>2.3363299999999998</v>
      </c>
      <c r="X24" s="7">
        <f t="shared" si="24"/>
        <v>4.166066333808844E-2</v>
      </c>
      <c r="Y24" s="4">
        <v>1.06</v>
      </c>
      <c r="Z24" s="9">
        <f t="shared" si="25"/>
        <v>1.7575860000000001</v>
      </c>
      <c r="AA24" s="2">
        <f t="shared" si="26"/>
        <v>4.3612555831265512E-2</v>
      </c>
      <c r="AB24" s="4">
        <v>0.42699999999999999</v>
      </c>
      <c r="AC24" s="4">
        <v>0.73699999999999999</v>
      </c>
      <c r="AD24" s="7">
        <f t="shared" si="27"/>
        <v>1.2293897</v>
      </c>
      <c r="AE24" s="8">
        <f t="shared" si="28"/>
        <v>1.5367371250000001E-2</v>
      </c>
      <c r="AF24" s="4">
        <v>349</v>
      </c>
      <c r="AG24" s="7">
        <f t="shared" si="29"/>
        <v>4.5062879999999993E-2</v>
      </c>
      <c r="AH24" s="8">
        <f t="shared" si="30"/>
        <v>6.3540439932318097E-4</v>
      </c>
      <c r="AI24" s="10">
        <v>1680</v>
      </c>
      <c r="AJ24" s="10">
        <v>290</v>
      </c>
      <c r="AK24" s="11">
        <f t="shared" si="31"/>
        <v>6.6450599999999999E-2</v>
      </c>
      <c r="AL24" s="10">
        <f t="shared" si="32"/>
        <v>2.1148279999999997</v>
      </c>
      <c r="AM24" s="10">
        <f t="shared" si="33"/>
        <v>0.6331820359281437</v>
      </c>
      <c r="AN24" s="4">
        <v>521</v>
      </c>
      <c r="AO24" s="4">
        <v>118</v>
      </c>
      <c r="AP24" s="4">
        <v>160</v>
      </c>
      <c r="AQ24" s="7">
        <f t="shared" si="1"/>
        <v>1.338253382533825</v>
      </c>
      <c r="AR24" s="4">
        <v>90</v>
      </c>
      <c r="AS24" s="7">
        <f t="shared" si="2"/>
        <v>1.0301029326082733</v>
      </c>
      <c r="AT24" s="4">
        <v>89</v>
      </c>
      <c r="AU24" s="7">
        <f t="shared" si="3"/>
        <v>1.0752494191608581</v>
      </c>
      <c r="AV24" s="4">
        <v>79</v>
      </c>
      <c r="AW24" s="7">
        <f t="shared" si="4"/>
        <v>1.263222632226322</v>
      </c>
      <c r="AX24" s="4">
        <v>19</v>
      </c>
      <c r="AY24" s="7">
        <f t="shared" si="5"/>
        <v>0.45909525761924286</v>
      </c>
      <c r="AZ24" s="4">
        <v>157</v>
      </c>
      <c r="BA24" s="7">
        <f t="shared" si="6"/>
        <v>8.9847866899721627</v>
      </c>
      <c r="BB24" s="4">
        <v>17</v>
      </c>
      <c r="BC24" s="7">
        <f t="shared" si="7"/>
        <v>7.1094710947109458</v>
      </c>
      <c r="BD24" s="4">
        <v>32</v>
      </c>
      <c r="BE24" s="4">
        <v>10</v>
      </c>
      <c r="BF24" s="7">
        <f>(BE24/G24)/(3.7/8.84)</f>
        <v>2.9387320900236023</v>
      </c>
      <c r="BG24" s="4">
        <v>13</v>
      </c>
      <c r="BH24" s="7">
        <f t="shared" si="8"/>
        <v>2.7847478474784744</v>
      </c>
      <c r="BI24" s="7">
        <f t="shared" si="9"/>
        <v>3.8043986897519892</v>
      </c>
      <c r="BJ24" s="7">
        <f t="shared" si="10"/>
        <v>64.083640836408364</v>
      </c>
      <c r="BK24" s="6">
        <f t="shared" si="11"/>
        <v>9.0651906519065184E-2</v>
      </c>
      <c r="BL24" s="6">
        <f>(T24/BZ24)*10000</f>
        <v>257.42302000000001</v>
      </c>
      <c r="BM24" s="6">
        <f>(I24/(I24+M24+M24+U24))*100</f>
        <v>52.72238282709214</v>
      </c>
      <c r="BN24" s="12">
        <f>(R24+U24+M24+AA24+AE24+M24)/I24</f>
        <v>1.5929609369373727</v>
      </c>
      <c r="BO24" s="8">
        <f>BZ24/AO24</f>
        <v>0.84745762711864403</v>
      </c>
      <c r="BP24" s="4">
        <v>38</v>
      </c>
      <c r="BQ24" s="4">
        <v>26</v>
      </c>
      <c r="BR24" s="4" t="s">
        <v>85</v>
      </c>
      <c r="BS24" s="4">
        <v>64</v>
      </c>
      <c r="BT24" s="4">
        <v>24</v>
      </c>
      <c r="BU24" s="4">
        <v>90</v>
      </c>
      <c r="BV24" s="4">
        <v>6</v>
      </c>
      <c r="BW24" s="4">
        <v>6</v>
      </c>
      <c r="BX24" s="4">
        <v>39</v>
      </c>
      <c r="BY24" s="4">
        <v>55</v>
      </c>
      <c r="BZ24" s="4">
        <v>100</v>
      </c>
      <c r="CA24" s="4">
        <v>11</v>
      </c>
      <c r="CB24" s="4" t="s">
        <v>100</v>
      </c>
    </row>
    <row r="25" spans="1:80" s="4" customFormat="1">
      <c r="A25" s="4">
        <v>12900</v>
      </c>
      <c r="B25" s="4">
        <v>3932</v>
      </c>
      <c r="C25" s="4">
        <v>58.67</v>
      </c>
      <c r="D25" s="5">
        <v>2</v>
      </c>
      <c r="E25" s="4">
        <v>24.38</v>
      </c>
      <c r="F25" s="5">
        <f t="shared" si="12"/>
        <v>52.156133999999994</v>
      </c>
      <c r="G25" s="4">
        <v>8.84</v>
      </c>
      <c r="H25" s="5">
        <f t="shared" si="13"/>
        <v>16.70318</v>
      </c>
      <c r="I25" s="6">
        <f t="shared" si="14"/>
        <v>0.1638209101608474</v>
      </c>
      <c r="J25" s="6">
        <f t="shared" si="15"/>
        <v>83.515900000000002</v>
      </c>
      <c r="K25" s="6">
        <f t="shared" si="16"/>
        <v>3.1393560000000003</v>
      </c>
      <c r="L25" s="5">
        <v>0.88</v>
      </c>
      <c r="M25" s="6">
        <f t="shared" si="17"/>
        <v>1.4198128428525332E-2</v>
      </c>
      <c r="N25" s="6">
        <f t="shared" si="0"/>
        <v>2.445663664818531</v>
      </c>
      <c r="O25" s="7">
        <v>4.157</v>
      </c>
      <c r="P25" s="5">
        <f t="shared" si="18"/>
        <v>5.3479805000000002</v>
      </c>
      <c r="Q25" s="7">
        <f t="shared" si="19"/>
        <v>5.9432628999999997</v>
      </c>
      <c r="R25" s="8">
        <f t="shared" si="20"/>
        <v>3.7215171571696931E-2</v>
      </c>
      <c r="S25" s="7">
        <v>1.7050000000000001</v>
      </c>
      <c r="T25" s="5">
        <f t="shared" si="21"/>
        <v>2.0538430000000001</v>
      </c>
      <c r="U25" s="8">
        <f t="shared" si="22"/>
        <v>2.1803004246284501E-2</v>
      </c>
      <c r="V25" s="7">
        <v>1.1220000000000001</v>
      </c>
      <c r="W25" s="5">
        <f t="shared" si="23"/>
        <v>1.5696780000000001</v>
      </c>
      <c r="X25" s="7">
        <f t="shared" si="24"/>
        <v>2.7989978601997149E-2</v>
      </c>
      <c r="Y25" s="4">
        <v>0.75</v>
      </c>
      <c r="Z25" s="9">
        <f t="shared" si="25"/>
        <v>1.2435749999999999</v>
      </c>
      <c r="AA25" s="2">
        <f t="shared" si="26"/>
        <v>3.0857940446650124E-2</v>
      </c>
      <c r="AB25" s="4">
        <v>0.20499999999999999</v>
      </c>
      <c r="AC25" s="4">
        <v>0.48899999999999999</v>
      </c>
      <c r="AD25" s="7">
        <f t="shared" si="27"/>
        <v>0.81570089999999995</v>
      </c>
      <c r="AE25" s="8">
        <f t="shared" si="28"/>
        <v>1.019626125E-2</v>
      </c>
      <c r="AF25" s="4">
        <v>186</v>
      </c>
      <c r="AG25" s="7">
        <f t="shared" si="29"/>
        <v>2.4016319999999997E-2</v>
      </c>
      <c r="AH25" s="8">
        <f t="shared" si="30"/>
        <v>3.3863959390862937E-4</v>
      </c>
      <c r="AI25" s="10">
        <v>2190</v>
      </c>
      <c r="AJ25" s="10">
        <v>260</v>
      </c>
      <c r="AK25" s="11">
        <f t="shared" si="31"/>
        <v>5.9576400000000002E-2</v>
      </c>
      <c r="AL25" s="10">
        <f t="shared" si="32"/>
        <v>1.3710900000000001</v>
      </c>
      <c r="AM25" s="10">
        <f t="shared" si="33"/>
        <v>1.5580568181818184</v>
      </c>
      <c r="AN25" s="4">
        <v>288</v>
      </c>
      <c r="AO25" s="4">
        <v>510</v>
      </c>
      <c r="AP25" s="4">
        <v>270</v>
      </c>
      <c r="AQ25" s="7">
        <f t="shared" si="1"/>
        <v>2.0769230769230771</v>
      </c>
      <c r="AR25" s="4">
        <v>49</v>
      </c>
      <c r="AS25" s="7">
        <f t="shared" si="2"/>
        <v>0.51578947368421046</v>
      </c>
      <c r="AT25" s="4">
        <v>135</v>
      </c>
      <c r="AU25" s="7">
        <f t="shared" si="3"/>
        <v>1.5000000000000002</v>
      </c>
      <c r="AV25" s="4">
        <v>68</v>
      </c>
      <c r="AW25" s="7">
        <f t="shared" si="4"/>
        <v>1</v>
      </c>
      <c r="AX25" s="4">
        <v>18</v>
      </c>
      <c r="AY25" s="7">
        <f t="shared" si="5"/>
        <v>0.4</v>
      </c>
      <c r="AZ25" s="4">
        <v>138</v>
      </c>
      <c r="BA25" s="7">
        <f t="shared" si="6"/>
        <v>7.2631578947368425</v>
      </c>
      <c r="BB25" s="4">
        <v>35</v>
      </c>
      <c r="BC25" s="7">
        <f t="shared" si="7"/>
        <v>13.461538461538462</v>
      </c>
      <c r="BD25" s="4">
        <v>30</v>
      </c>
      <c r="BE25" s="4">
        <v>10</v>
      </c>
      <c r="BF25" s="7">
        <f>(BE25/G25)/(3.7/8.84)</f>
        <v>2.7027027027027026</v>
      </c>
      <c r="BG25" s="4">
        <v>29</v>
      </c>
      <c r="BH25" s="7">
        <f t="shared" si="8"/>
        <v>2.7579185520361991</v>
      </c>
      <c r="BI25" s="7">
        <f t="shared" si="9"/>
        <v>5.1847507331378297</v>
      </c>
      <c r="BJ25" s="7">
        <f t="shared" si="10"/>
        <v>32.579185520361989</v>
      </c>
      <c r="BK25" s="6">
        <f t="shared" si="11"/>
        <v>5.5316742081447962E-2</v>
      </c>
      <c r="BL25" s="6">
        <f>(T25/BZ25)*10000</f>
        <v>244.50511904761905</v>
      </c>
      <c r="BM25" s="6">
        <f>(I25/(I25+M25+M25+U25))*100</f>
        <v>76.544612217242786</v>
      </c>
      <c r="BN25" s="12">
        <f>(R25+U25+M25+AA25+AE25+M25)/I25</f>
        <v>0.78420168857287775</v>
      </c>
      <c r="BO25" s="8">
        <f>BZ25/AO25</f>
        <v>0.16470588235294117</v>
      </c>
      <c r="BP25" s="4">
        <v>37</v>
      </c>
      <c r="BQ25" s="4">
        <v>44</v>
      </c>
      <c r="BR25" s="4">
        <v>29</v>
      </c>
      <c r="BS25" s="4">
        <v>41</v>
      </c>
      <c r="BT25" s="4">
        <v>15</v>
      </c>
      <c r="BU25" s="4">
        <v>29</v>
      </c>
      <c r="BV25" s="4">
        <v>12</v>
      </c>
      <c r="BW25" s="4" t="s">
        <v>97</v>
      </c>
      <c r="BX25" s="4">
        <v>99</v>
      </c>
      <c r="BY25" s="4">
        <v>104</v>
      </c>
      <c r="BZ25" s="4">
        <v>84</v>
      </c>
      <c r="CA25" s="4" t="s">
        <v>93</v>
      </c>
      <c r="CB25" s="4" t="s">
        <v>101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Paolo Martizzi</dc:creator>
  <cp:keywords/>
  <dc:description/>
  <cp:lastModifiedBy/>
  <cp:revision/>
  <dcterms:created xsi:type="dcterms:W3CDTF">2022-09-13T07:22:33Z</dcterms:created>
  <dcterms:modified xsi:type="dcterms:W3CDTF">2024-02-29T02:17:09Z</dcterms:modified>
  <cp:category/>
  <cp:contentStatus/>
</cp:coreProperties>
</file>