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20" yWindow="195" windowWidth="28515" windowHeight="10995" activeTab="1"/>
  </bookViews>
  <sheets>
    <sheet name="Introduction" sheetId="1" r:id="rId1"/>
    <sheet name="Data Individual Mines" sheetId="2" r:id="rId2"/>
    <sheet name="Company data_CO2" sheetId="3" r:id="rId3"/>
    <sheet name="Company data_Energy" sheetId="4" r:id="rId4"/>
    <sheet name="Company data_Water" sheetId="5" r:id="rId5"/>
    <sheet name="Company data_SO2" sheetId="6" r:id="rId6"/>
  </sheets>
  <calcPr calcId="145621"/>
</workbook>
</file>

<file path=xl/calcChain.xml><?xml version="1.0" encoding="utf-8"?>
<calcChain xmlns="http://schemas.openxmlformats.org/spreadsheetml/2006/main">
  <c r="G89" i="6" l="1"/>
  <c r="F89" i="6"/>
  <c r="E89" i="6"/>
  <c r="I88" i="6"/>
  <c r="I89" i="6" s="1"/>
  <c r="H88" i="6"/>
  <c r="H89" i="6" s="1"/>
  <c r="G88" i="6"/>
  <c r="F88" i="6"/>
  <c r="E88" i="6"/>
  <c r="D88" i="6"/>
  <c r="D89" i="6" s="1"/>
  <c r="D84" i="6"/>
  <c r="E83" i="6"/>
  <c r="D83" i="6"/>
  <c r="E82" i="6"/>
  <c r="D82" i="6"/>
  <c r="H79" i="6"/>
  <c r="H74" i="6"/>
  <c r="E74" i="6"/>
  <c r="I73" i="6"/>
  <c r="I80" i="6" s="1"/>
  <c r="H73" i="6"/>
  <c r="H80" i="6" s="1"/>
  <c r="G73" i="6"/>
  <c r="G74" i="6" s="1"/>
  <c r="F73" i="6"/>
  <c r="G80" i="6" s="1"/>
  <c r="E73" i="6"/>
  <c r="E80" i="6" s="1"/>
  <c r="D73" i="6"/>
  <c r="I72" i="6"/>
  <c r="I74" i="6" s="1"/>
  <c r="H72" i="6"/>
  <c r="G72" i="6"/>
  <c r="F72" i="6"/>
  <c r="G79" i="6" s="1"/>
  <c r="E72" i="6"/>
  <c r="E79" i="6" s="1"/>
  <c r="D72" i="6"/>
  <c r="D74" i="6" s="1"/>
  <c r="I71" i="6"/>
  <c r="H71" i="6"/>
  <c r="G71" i="6"/>
  <c r="F71" i="6"/>
  <c r="E71" i="6"/>
  <c r="D71" i="6"/>
  <c r="I69" i="6"/>
  <c r="H69" i="6"/>
  <c r="G69" i="6"/>
  <c r="F69" i="6"/>
  <c r="E69" i="6"/>
  <c r="D69" i="6"/>
  <c r="I68" i="6"/>
  <c r="H68" i="6"/>
  <c r="G68" i="6"/>
  <c r="F68" i="6"/>
  <c r="E68" i="6"/>
  <c r="D68" i="6"/>
  <c r="I25" i="6"/>
  <c r="I4" i="6"/>
  <c r="H4" i="6"/>
  <c r="G4" i="6"/>
  <c r="F4" i="6"/>
  <c r="E4" i="6"/>
  <c r="D4" i="6"/>
  <c r="L88" i="5"/>
  <c r="K88" i="5"/>
  <c r="J88" i="5"/>
  <c r="I88" i="5"/>
  <c r="H88" i="5"/>
  <c r="G88" i="5"/>
  <c r="L87" i="5"/>
  <c r="K87" i="5"/>
  <c r="J87" i="5"/>
  <c r="I87" i="5"/>
  <c r="H87" i="5"/>
  <c r="G87" i="5"/>
  <c r="L80" i="5"/>
  <c r="K80" i="5"/>
  <c r="J80" i="5"/>
  <c r="I80" i="5"/>
  <c r="H80" i="5"/>
  <c r="G80" i="5"/>
  <c r="L69" i="5"/>
  <c r="K69" i="5"/>
  <c r="J69" i="5"/>
  <c r="J60" i="5"/>
  <c r="I60" i="5"/>
  <c r="H60" i="5"/>
  <c r="G60" i="5"/>
  <c r="J59" i="5"/>
  <c r="I59" i="5"/>
  <c r="H59" i="5"/>
  <c r="G59" i="5"/>
  <c r="J58" i="5"/>
  <c r="I58" i="5"/>
  <c r="H58" i="5"/>
  <c r="G58" i="5"/>
  <c r="G53" i="5"/>
  <c r="G52" i="5"/>
  <c r="L49" i="5"/>
  <c r="K49" i="5"/>
  <c r="J49" i="5"/>
  <c r="I49" i="5"/>
  <c r="H49" i="5"/>
  <c r="L48" i="5"/>
  <c r="K48" i="5"/>
  <c r="J48" i="5"/>
  <c r="I48" i="5"/>
  <c r="G48" i="5"/>
  <c r="G45" i="5"/>
  <c r="G49" i="5" s="1"/>
  <c r="G42" i="5"/>
  <c r="L36" i="5"/>
  <c r="K36" i="5"/>
  <c r="J36" i="5"/>
  <c r="I36" i="5"/>
  <c r="H36" i="5"/>
  <c r="G36" i="5"/>
  <c r="L35" i="5"/>
  <c r="K35" i="5"/>
  <c r="J35" i="5"/>
  <c r="I35" i="5"/>
  <c r="H35" i="5"/>
  <c r="G35" i="5"/>
  <c r="G14" i="5"/>
  <c r="F14" i="5"/>
  <c r="M153" i="4"/>
  <c r="L153" i="4"/>
  <c r="K153" i="4"/>
  <c r="J153" i="4"/>
  <c r="I153" i="4"/>
  <c r="H153" i="4"/>
  <c r="M148" i="4"/>
  <c r="L148" i="4"/>
  <c r="K148" i="4"/>
  <c r="J148" i="4"/>
  <c r="I148" i="4"/>
  <c r="H148" i="4"/>
  <c r="M144" i="4"/>
  <c r="J144" i="4"/>
  <c r="M138" i="4"/>
  <c r="L138" i="4"/>
  <c r="L144" i="4" s="1"/>
  <c r="K138" i="4"/>
  <c r="K144" i="4" s="1"/>
  <c r="J138" i="4"/>
  <c r="I138" i="4"/>
  <c r="I144" i="4" s="1"/>
  <c r="H138" i="4"/>
  <c r="H144" i="4" s="1"/>
  <c r="L137" i="4"/>
  <c r="K137" i="4"/>
  <c r="J137" i="4"/>
  <c r="I137" i="4"/>
  <c r="H137" i="4"/>
  <c r="L136" i="4"/>
  <c r="K136" i="4"/>
  <c r="J136" i="4"/>
  <c r="I136" i="4"/>
  <c r="H136" i="4"/>
  <c r="M135" i="4"/>
  <c r="L135" i="4"/>
  <c r="K135" i="4"/>
  <c r="J135" i="4"/>
  <c r="I135" i="4"/>
  <c r="H135" i="4"/>
  <c r="I134" i="4"/>
  <c r="I146" i="4" s="1"/>
  <c r="H134" i="4"/>
  <c r="M133" i="4"/>
  <c r="L133" i="4"/>
  <c r="K133" i="4"/>
  <c r="J133" i="4"/>
  <c r="I133" i="4"/>
  <c r="H133" i="4"/>
  <c r="M132" i="4"/>
  <c r="L132" i="4"/>
  <c r="K132" i="4"/>
  <c r="J132" i="4"/>
  <c r="I132" i="4"/>
  <c r="K131" i="4"/>
  <c r="J131" i="4"/>
  <c r="I131" i="4"/>
  <c r="H131" i="4"/>
  <c r="M124" i="4"/>
  <c r="L124" i="4"/>
  <c r="K124" i="4"/>
  <c r="J124" i="4"/>
  <c r="I124" i="4"/>
  <c r="H124" i="4"/>
  <c r="H113" i="4"/>
  <c r="H117" i="4" s="1"/>
  <c r="H110" i="4"/>
  <c r="H109" i="4"/>
  <c r="M107" i="4"/>
  <c r="H107" i="4"/>
  <c r="H108" i="4" s="1"/>
  <c r="M136" i="4" s="1"/>
  <c r="L101" i="4"/>
  <c r="K101" i="4"/>
  <c r="J101" i="4"/>
  <c r="I101" i="4"/>
  <c r="K134" i="4" s="1"/>
  <c r="H101" i="4"/>
  <c r="G101" i="4"/>
  <c r="L100" i="4"/>
  <c r="K100" i="4"/>
  <c r="J100" i="4"/>
  <c r="J134" i="4" s="1"/>
  <c r="I100" i="4"/>
  <c r="H100" i="4"/>
  <c r="L134" i="4" s="1"/>
  <c r="G100" i="4"/>
  <c r="M134" i="4" s="1"/>
  <c r="K92" i="4"/>
  <c r="J92" i="4"/>
  <c r="I92" i="4"/>
  <c r="H92" i="4"/>
  <c r="G92" i="4"/>
  <c r="G78" i="4"/>
  <c r="G77" i="4"/>
  <c r="G82" i="4" s="1"/>
  <c r="M137" i="4" s="1"/>
  <c r="V68" i="4"/>
  <c r="V73" i="4" s="1"/>
  <c r="U68" i="4"/>
  <c r="U73" i="4" s="1"/>
  <c r="T68" i="4"/>
  <c r="T73" i="4" s="1"/>
  <c r="S68" i="4"/>
  <c r="V67" i="4"/>
  <c r="U67" i="4"/>
  <c r="U72" i="4" s="1"/>
  <c r="T67" i="4"/>
  <c r="S67" i="4"/>
  <c r="V65" i="4"/>
  <c r="V70" i="4" s="1"/>
  <c r="U65" i="4"/>
  <c r="U70" i="4" s="1"/>
  <c r="T65" i="4"/>
  <c r="T70" i="4" s="1"/>
  <c r="S65" i="4"/>
  <c r="H62" i="4"/>
  <c r="H61" i="4"/>
  <c r="H60" i="4" s="1"/>
  <c r="L60" i="4"/>
  <c r="K60" i="4"/>
  <c r="J60" i="4"/>
  <c r="G60" i="4"/>
  <c r="M60" i="4" s="1"/>
  <c r="H59" i="4"/>
  <c r="M59" i="4" s="1"/>
  <c r="Q56" i="4" s="1"/>
  <c r="G59" i="4"/>
  <c r="M58" i="4"/>
  <c r="H56" i="4"/>
  <c r="H55" i="4"/>
  <c r="L54" i="4"/>
  <c r="K54" i="4"/>
  <c r="J54" i="4"/>
  <c r="I54" i="4"/>
  <c r="G54" i="4"/>
  <c r="H53" i="4"/>
  <c r="H57" i="4" s="1"/>
  <c r="G53" i="4"/>
  <c r="M52" i="4"/>
  <c r="M51" i="4"/>
  <c r="Q50" i="4" s="1"/>
  <c r="M50" i="4"/>
  <c r="Q49" i="4" s="1"/>
  <c r="Z48" i="4"/>
  <c r="L48" i="4"/>
  <c r="K48" i="4"/>
  <c r="J48" i="4"/>
  <c r="I48" i="4"/>
  <c r="Z47" i="4"/>
  <c r="H47" i="4"/>
  <c r="G47" i="4"/>
  <c r="G49" i="4" s="1"/>
  <c r="H46" i="4"/>
  <c r="M46" i="4" s="1"/>
  <c r="M45" i="4"/>
  <c r="Q45" i="4" s="1"/>
  <c r="M44" i="4"/>
  <c r="Q44" i="4" s="1"/>
  <c r="Z43" i="4"/>
  <c r="Z42" i="4"/>
  <c r="L42" i="4"/>
  <c r="V66" i="4" s="1"/>
  <c r="V71" i="4" s="1"/>
  <c r="K42" i="4"/>
  <c r="U66" i="4" s="1"/>
  <c r="U71" i="4" s="1"/>
  <c r="J42" i="4"/>
  <c r="T66" i="4" s="1"/>
  <c r="T71" i="4" s="1"/>
  <c r="I42" i="4"/>
  <c r="S66" i="4" s="1"/>
  <c r="S71" i="4" s="1"/>
  <c r="Z41" i="4"/>
  <c r="H41" i="4"/>
  <c r="H43" i="4" s="1"/>
  <c r="H42" i="4" s="1"/>
  <c r="G41" i="4"/>
  <c r="M41" i="4" s="1"/>
  <c r="Q41" i="4" s="1"/>
  <c r="M40" i="4"/>
  <c r="K23" i="4"/>
  <c r="I23" i="4"/>
  <c r="H23" i="4"/>
  <c r="H21" i="4"/>
  <c r="G21" i="4"/>
  <c r="F21" i="4"/>
  <c r="J20" i="4"/>
  <c r="I20" i="4"/>
  <c r="G20" i="4"/>
  <c r="F20" i="4"/>
  <c r="K19" i="4"/>
  <c r="M147" i="4" s="1"/>
  <c r="H19" i="4"/>
  <c r="G19" i="4"/>
  <c r="F19" i="4"/>
  <c r="K18" i="4"/>
  <c r="H132" i="4" s="1"/>
  <c r="H146" i="4" s="1"/>
  <c r="H18" i="4"/>
  <c r="I16" i="4"/>
  <c r="H16" i="4"/>
  <c r="I15" i="4"/>
  <c r="I14" i="4"/>
  <c r="K225" i="3"/>
  <c r="J225" i="3"/>
  <c r="I225" i="3"/>
  <c r="H225" i="3"/>
  <c r="G225" i="3"/>
  <c r="F225" i="3"/>
  <c r="K221" i="3"/>
  <c r="J221" i="3"/>
  <c r="I221" i="3"/>
  <c r="H221" i="3"/>
  <c r="G221" i="3"/>
  <c r="F221" i="3"/>
  <c r="K215" i="3"/>
  <c r="J215" i="3"/>
  <c r="I215" i="3"/>
  <c r="H215" i="3"/>
  <c r="K214" i="3"/>
  <c r="J214" i="3"/>
  <c r="I214" i="3"/>
  <c r="H214" i="3"/>
  <c r="G214" i="3"/>
  <c r="G215" i="3" s="1"/>
  <c r="J208" i="3"/>
  <c r="K207" i="3"/>
  <c r="J207" i="3"/>
  <c r="I207" i="3"/>
  <c r="H207" i="3"/>
  <c r="G207" i="3"/>
  <c r="F207" i="3"/>
  <c r="K205" i="3"/>
  <c r="J205" i="3"/>
  <c r="I205" i="3"/>
  <c r="G205" i="3"/>
  <c r="G186" i="3"/>
  <c r="K185" i="3"/>
  <c r="K208" i="3" s="1"/>
  <c r="J185" i="3"/>
  <c r="G185" i="3"/>
  <c r="K184" i="3"/>
  <c r="J184" i="3"/>
  <c r="I184" i="3"/>
  <c r="H184" i="3"/>
  <c r="G184" i="3"/>
  <c r="I183" i="3"/>
  <c r="I187" i="3" s="1"/>
  <c r="G183" i="3"/>
  <c r="G187" i="3" s="1"/>
  <c r="I179" i="3"/>
  <c r="I185" i="3" s="1"/>
  <c r="I208" i="3" s="1"/>
  <c r="H179" i="3"/>
  <c r="H185" i="3" s="1"/>
  <c r="F178" i="3"/>
  <c r="F184" i="3" s="1"/>
  <c r="K177" i="3"/>
  <c r="K183" i="3" s="1"/>
  <c r="J177" i="3"/>
  <c r="J183" i="3" s="1"/>
  <c r="I177" i="3"/>
  <c r="H177" i="3"/>
  <c r="H183" i="3" s="1"/>
  <c r="G177" i="3"/>
  <c r="F177" i="3"/>
  <c r="F183" i="3" s="1"/>
  <c r="H174" i="3"/>
  <c r="G174" i="3"/>
  <c r="F174" i="3"/>
  <c r="F173" i="3"/>
  <c r="F185" i="3" s="1"/>
  <c r="G169" i="3"/>
  <c r="F169" i="3"/>
  <c r="K151" i="3"/>
  <c r="J151" i="3"/>
  <c r="I151" i="3"/>
  <c r="H151" i="3"/>
  <c r="G151" i="3"/>
  <c r="F151" i="3"/>
  <c r="K150" i="3"/>
  <c r="J150" i="3"/>
  <c r="I150" i="3"/>
  <c r="H150" i="3"/>
  <c r="G150" i="3"/>
  <c r="F150" i="3"/>
  <c r="K140" i="3"/>
  <c r="J140" i="3"/>
  <c r="K137" i="3"/>
  <c r="J137" i="3"/>
  <c r="I137" i="3"/>
  <c r="I140" i="3" s="1"/>
  <c r="H137" i="3"/>
  <c r="H140" i="3" s="1"/>
  <c r="G137" i="3"/>
  <c r="G140" i="3" s="1"/>
  <c r="F137" i="3"/>
  <c r="F140" i="3" s="1"/>
  <c r="K136" i="3"/>
  <c r="J136" i="3"/>
  <c r="I136" i="3"/>
  <c r="H136" i="3"/>
  <c r="G136" i="3"/>
  <c r="F136" i="3"/>
  <c r="K128" i="3"/>
  <c r="J128" i="3"/>
  <c r="K127" i="3"/>
  <c r="J127" i="3"/>
  <c r="I127" i="3"/>
  <c r="H127" i="3"/>
  <c r="H205" i="3" s="1"/>
  <c r="G127" i="3"/>
  <c r="G128" i="3" s="1"/>
  <c r="K126" i="3"/>
  <c r="K129" i="3" s="1"/>
  <c r="J126" i="3"/>
  <c r="F126" i="3"/>
  <c r="F129" i="3" s="1"/>
  <c r="K125" i="3"/>
  <c r="J125" i="3"/>
  <c r="J129" i="3" s="1"/>
  <c r="G125" i="3"/>
  <c r="F125" i="3"/>
  <c r="K117" i="3"/>
  <c r="J117" i="3"/>
  <c r="I117" i="3"/>
  <c r="I206" i="3" s="1"/>
  <c r="H117" i="3"/>
  <c r="H206" i="3" s="1"/>
  <c r="G117" i="3"/>
  <c r="G206" i="3" s="1"/>
  <c r="F117" i="3"/>
  <c r="F206" i="3" s="1"/>
  <c r="H116" i="3"/>
  <c r="F116" i="3"/>
  <c r="F118" i="3" s="1"/>
  <c r="K115" i="3"/>
  <c r="J115" i="3"/>
  <c r="F115" i="3"/>
  <c r="F119" i="3" s="1"/>
  <c r="K110" i="3"/>
  <c r="J110" i="3"/>
  <c r="I110" i="3"/>
  <c r="H110" i="3"/>
  <c r="K109" i="3"/>
  <c r="J109" i="3"/>
  <c r="I109" i="3"/>
  <c r="H109" i="3"/>
  <c r="G109" i="3"/>
  <c r="F109" i="3"/>
  <c r="K108" i="3"/>
  <c r="J108" i="3"/>
  <c r="I108" i="3"/>
  <c r="H108" i="3"/>
  <c r="G108" i="3"/>
  <c r="F108" i="3"/>
  <c r="K107" i="3"/>
  <c r="J107" i="3"/>
  <c r="I107" i="3"/>
  <c r="H107" i="3"/>
  <c r="G107" i="3"/>
  <c r="F107" i="3"/>
  <c r="K106" i="3"/>
  <c r="J106" i="3"/>
  <c r="I106" i="3"/>
  <c r="H106" i="3"/>
  <c r="G106" i="3"/>
  <c r="F106" i="3"/>
  <c r="K104" i="3"/>
  <c r="J104" i="3"/>
  <c r="I104" i="3"/>
  <c r="H104" i="3"/>
  <c r="G104" i="3"/>
  <c r="G110" i="3" s="1"/>
  <c r="F104" i="3"/>
  <c r="F110" i="3" s="1"/>
  <c r="K68" i="3"/>
  <c r="K62" i="3"/>
  <c r="K56" i="3"/>
  <c r="K50" i="3"/>
  <c r="K44" i="3"/>
  <c r="J44" i="3"/>
  <c r="I44" i="3"/>
  <c r="G44" i="3"/>
  <c r="F44" i="3"/>
  <c r="G42" i="3"/>
  <c r="G33" i="3" s="1"/>
  <c r="F42" i="3"/>
  <c r="H9" i="3" s="1"/>
  <c r="H11" i="3" s="1"/>
  <c r="K41" i="3"/>
  <c r="K116" i="3" s="1"/>
  <c r="K196" i="3" s="1"/>
  <c r="F227" i="3" s="1"/>
  <c r="J41" i="3"/>
  <c r="J116" i="3" s="1"/>
  <c r="J196" i="3" s="1"/>
  <c r="G227" i="3" s="1"/>
  <c r="I41" i="3"/>
  <c r="I116" i="3" s="1"/>
  <c r="I196" i="3" s="1"/>
  <c r="H227" i="3" s="1"/>
  <c r="G41" i="3"/>
  <c r="G116" i="3" s="1"/>
  <c r="G196" i="3" s="1"/>
  <c r="J227" i="3" s="1"/>
  <c r="F41" i="3"/>
  <c r="K40" i="3"/>
  <c r="J40" i="3"/>
  <c r="I40" i="3"/>
  <c r="I115" i="3" s="1"/>
  <c r="H40" i="3"/>
  <c r="H115" i="3" s="1"/>
  <c r="G40" i="3"/>
  <c r="G115" i="3" s="1"/>
  <c r="F40" i="3"/>
  <c r="F25" i="3"/>
  <c r="F127" i="3" s="1"/>
  <c r="I20" i="3"/>
  <c r="I126" i="3" s="1"/>
  <c r="H20" i="3"/>
  <c r="H126" i="3" s="1"/>
  <c r="G20" i="3"/>
  <c r="G126" i="3" s="1"/>
  <c r="G129" i="3" s="1"/>
  <c r="I19" i="3"/>
  <c r="I125" i="3" s="1"/>
  <c r="H19" i="3"/>
  <c r="H125" i="3" s="1"/>
  <c r="G19" i="3"/>
  <c r="F19" i="3"/>
  <c r="G11" i="3"/>
  <c r="H10" i="3"/>
  <c r="G10" i="3"/>
  <c r="F10" i="3"/>
  <c r="G9" i="3"/>
  <c r="C27" i="2"/>
  <c r="AT44" i="2"/>
  <c r="AS44" i="2"/>
  <c r="AR44" i="2"/>
  <c r="AQ44" i="2"/>
  <c r="AP44" i="2"/>
  <c r="AI44" i="2"/>
  <c r="C44" i="2"/>
  <c r="AU43" i="2"/>
  <c r="AT43" i="2"/>
  <c r="AS43" i="2"/>
  <c r="AR43" i="2"/>
  <c r="AQ43" i="2"/>
  <c r="AP43" i="2"/>
  <c r="AI43" i="2"/>
  <c r="C43" i="2"/>
  <c r="AU42" i="2"/>
  <c r="AT42" i="2"/>
  <c r="AS42" i="2"/>
  <c r="AR42" i="2"/>
  <c r="AQ42" i="2"/>
  <c r="AP42" i="2"/>
  <c r="AI42" i="2"/>
  <c r="C42" i="2"/>
  <c r="C41" i="2"/>
  <c r="AU40" i="2"/>
  <c r="AT40" i="2"/>
  <c r="AS40" i="2"/>
  <c r="AR40" i="2"/>
  <c r="AQ40" i="2"/>
  <c r="AP40" i="2"/>
  <c r="AI40" i="2"/>
  <c r="C40" i="2"/>
  <c r="C39" i="2"/>
  <c r="AT38" i="2"/>
  <c r="AI38" i="2"/>
  <c r="C38" i="2"/>
  <c r="AU37" i="2"/>
  <c r="AT37" i="2"/>
  <c r="C37" i="2"/>
  <c r="AU36" i="2"/>
  <c r="AT36" i="2"/>
  <c r="C36" i="2"/>
  <c r="AU35" i="2"/>
  <c r="AT35" i="2"/>
  <c r="AS35" i="2"/>
  <c r="AR35" i="2"/>
  <c r="AQ35" i="2"/>
  <c r="AP35" i="2"/>
  <c r="AI35" i="2"/>
  <c r="C35" i="2"/>
  <c r="C34" i="2"/>
  <c r="C33" i="2"/>
  <c r="AU32" i="2"/>
  <c r="AT32" i="2"/>
  <c r="AS32" i="2"/>
  <c r="AR32" i="2"/>
  <c r="AQ32" i="2"/>
  <c r="AP32" i="2"/>
  <c r="AI32" i="2"/>
  <c r="C32" i="2"/>
  <c r="AU31" i="2"/>
  <c r="AT31" i="2"/>
  <c r="AS31" i="2"/>
  <c r="AR31" i="2"/>
  <c r="C31" i="2"/>
  <c r="AU30" i="2"/>
  <c r="AT30" i="2"/>
  <c r="AS30" i="2"/>
  <c r="AR30" i="2"/>
  <c r="AQ30" i="2"/>
  <c r="AP30" i="2"/>
  <c r="AI30" i="2"/>
  <c r="C30" i="2"/>
  <c r="C29" i="2"/>
  <c r="C28" i="2"/>
  <c r="C26" i="2"/>
  <c r="C25" i="2"/>
  <c r="C24" i="2"/>
  <c r="C23" i="2"/>
  <c r="C22" i="2"/>
  <c r="C21" i="2"/>
  <c r="AI20" i="2"/>
  <c r="C20" i="2"/>
  <c r="AU19" i="2"/>
  <c r="AT19" i="2"/>
  <c r="AS19" i="2"/>
  <c r="AP19" i="2"/>
  <c r="AI19" i="2"/>
  <c r="C19" i="2"/>
  <c r="AU18" i="2"/>
  <c r="AT18" i="2"/>
  <c r="AS18" i="2"/>
  <c r="AR18" i="2"/>
  <c r="AQ18" i="2"/>
  <c r="AP18" i="2"/>
  <c r="AI18" i="2"/>
  <c r="C18" i="2"/>
  <c r="AT17" i="2"/>
  <c r="AS17" i="2"/>
  <c r="AR17" i="2"/>
  <c r="AQ17" i="2"/>
  <c r="AP17" i="2"/>
  <c r="AI17" i="2"/>
  <c r="C17" i="2"/>
  <c r="AU16" i="2"/>
  <c r="AT16" i="2"/>
  <c r="AS16" i="2"/>
  <c r="AR16" i="2"/>
  <c r="AQ16" i="2"/>
  <c r="AP16" i="2"/>
  <c r="C16" i="2"/>
  <c r="AU15" i="2"/>
  <c r="AT15" i="2"/>
  <c r="AS15" i="2"/>
  <c r="AR15" i="2"/>
  <c r="AQ15" i="2"/>
  <c r="C15" i="2"/>
  <c r="AU14" i="2"/>
  <c r="AT14" i="2"/>
  <c r="AS14" i="2"/>
  <c r="AR14" i="2"/>
  <c r="AQ14" i="2"/>
  <c r="AI14" i="2"/>
  <c r="C14" i="2"/>
  <c r="AU13" i="2"/>
  <c r="AT13" i="2"/>
  <c r="AS13" i="2"/>
  <c r="AR13" i="2"/>
  <c r="AQ13" i="2"/>
  <c r="AI13" i="2"/>
  <c r="C13" i="2"/>
  <c r="AU12" i="2"/>
  <c r="AT12" i="2"/>
  <c r="AS12" i="2"/>
  <c r="AR12" i="2"/>
  <c r="AQ12" i="2"/>
  <c r="AP12" i="2"/>
  <c r="AI12" i="2"/>
  <c r="C12" i="2"/>
  <c r="AU11" i="2"/>
  <c r="AT11" i="2"/>
  <c r="AS11" i="2"/>
  <c r="AR11" i="2"/>
  <c r="AQ11" i="2"/>
  <c r="AP11" i="2"/>
  <c r="AI11" i="2"/>
  <c r="C11" i="2"/>
  <c r="AU10" i="2"/>
  <c r="AT10" i="2"/>
  <c r="AS10" i="2"/>
  <c r="AR10" i="2"/>
  <c r="AQ10" i="2"/>
  <c r="AP10" i="2"/>
  <c r="AI10" i="2"/>
  <c r="C10" i="2"/>
  <c r="AU9" i="2"/>
  <c r="AT9" i="2"/>
  <c r="AS9" i="2"/>
  <c r="AR9" i="2"/>
  <c r="AQ9" i="2"/>
  <c r="AP9" i="2"/>
  <c r="AI9" i="2"/>
  <c r="C9" i="2"/>
  <c r="C7" i="2"/>
  <c r="AU6" i="2"/>
  <c r="AT6" i="2"/>
  <c r="AS6" i="2"/>
  <c r="AR6" i="2"/>
  <c r="AQ6" i="2"/>
  <c r="AP6" i="2"/>
  <c r="C6" i="2"/>
  <c r="AU5" i="2"/>
  <c r="AT5" i="2"/>
  <c r="AS5" i="2"/>
  <c r="AR5" i="2"/>
  <c r="AQ5" i="2"/>
  <c r="AP5" i="2"/>
  <c r="AI5" i="2"/>
  <c r="C5" i="2"/>
  <c r="F74" i="6" l="1"/>
  <c r="I79" i="6"/>
  <c r="F80" i="6"/>
  <c r="F79" i="6"/>
  <c r="U45" i="4"/>
  <c r="H20" i="4"/>
  <c r="H15" i="4" s="1"/>
  <c r="M49" i="4"/>
  <c r="Q48" i="4" s="1"/>
  <c r="G48" i="4"/>
  <c r="U49" i="4"/>
  <c r="AA54" i="4"/>
  <c r="R68" i="4"/>
  <c r="V72" i="4"/>
  <c r="R66" i="4"/>
  <c r="U44" i="4"/>
  <c r="S70" i="4"/>
  <c r="S73" i="4"/>
  <c r="K146" i="4"/>
  <c r="U50" i="4"/>
  <c r="S72" i="4"/>
  <c r="J146" i="4"/>
  <c r="T72" i="4"/>
  <c r="G62" i="4"/>
  <c r="G63" i="4"/>
  <c r="G61" i="4"/>
  <c r="M61" i="4" s="1"/>
  <c r="Q58" i="4" s="1"/>
  <c r="L131" i="4"/>
  <c r="L146" i="4" s="1"/>
  <c r="H14" i="4"/>
  <c r="R67" i="4"/>
  <c r="K20" i="4"/>
  <c r="K21" i="4" s="1"/>
  <c r="G42" i="4"/>
  <c r="H54" i="4"/>
  <c r="G55" i="4" s="1"/>
  <c r="M55" i="4" s="1"/>
  <c r="Q53" i="4" s="1"/>
  <c r="M131" i="4"/>
  <c r="N136" i="4" s="1"/>
  <c r="R65" i="4"/>
  <c r="R70" i="4" s="1"/>
  <c r="M47" i="4"/>
  <c r="Q46" i="4" s="1"/>
  <c r="H115" i="4"/>
  <c r="Q65" i="4"/>
  <c r="H49" i="4"/>
  <c r="H48" i="4" s="1"/>
  <c r="H116" i="4"/>
  <c r="M53" i="4"/>
  <c r="Q51" i="4" s="1"/>
  <c r="H196" i="3"/>
  <c r="I227" i="3" s="1"/>
  <c r="H129" i="3"/>
  <c r="J186" i="3"/>
  <c r="J187" i="3"/>
  <c r="I129" i="3"/>
  <c r="K187" i="3"/>
  <c r="K186" i="3"/>
  <c r="K195" i="3"/>
  <c r="F205" i="3"/>
  <c r="F128" i="3"/>
  <c r="G119" i="3"/>
  <c r="G195" i="3"/>
  <c r="G118" i="3"/>
  <c r="J119" i="3"/>
  <c r="F187" i="3"/>
  <c r="F186" i="3"/>
  <c r="F219" i="3" s="1"/>
  <c r="F222" i="3" s="1"/>
  <c r="H195" i="3"/>
  <c r="H119" i="3"/>
  <c r="H118" i="3"/>
  <c r="K119" i="3"/>
  <c r="I119" i="3"/>
  <c r="I195" i="3"/>
  <c r="I118" i="3"/>
  <c r="F195" i="3"/>
  <c r="H187" i="3"/>
  <c r="H186" i="3"/>
  <c r="I128" i="3"/>
  <c r="J118" i="3"/>
  <c r="I186" i="3"/>
  <c r="H33" i="3"/>
  <c r="H43" i="3"/>
  <c r="H128" i="3"/>
  <c r="J195" i="3"/>
  <c r="F214" i="3"/>
  <c r="F215" i="3" s="1"/>
  <c r="K118" i="3"/>
  <c r="F33" i="3"/>
  <c r="F43" i="3"/>
  <c r="F196" i="3"/>
  <c r="K227" i="3" s="1"/>
  <c r="F9" i="3"/>
  <c r="F11" i="3" s="1"/>
  <c r="G43" i="3"/>
  <c r="U53" i="4" l="1"/>
  <c r="M54" i="4"/>
  <c r="U58" i="4"/>
  <c r="U48" i="4"/>
  <c r="N131" i="4"/>
  <c r="N133" i="4"/>
  <c r="M146" i="4"/>
  <c r="N135" i="4"/>
  <c r="M63" i="4"/>
  <c r="Q60" i="4" s="1"/>
  <c r="Q68" i="4"/>
  <c r="R71" i="4"/>
  <c r="N132" i="4"/>
  <c r="AA55" i="4"/>
  <c r="M62" i="4"/>
  <c r="Q59" i="4" s="1"/>
  <c r="M42" i="4"/>
  <c r="Q42" i="4" s="1"/>
  <c r="G43" i="4"/>
  <c r="M43" i="4" s="1"/>
  <c r="Q66" i="4"/>
  <c r="G56" i="4"/>
  <c r="M56" i="4" s="1"/>
  <c r="Q54" i="4" s="1"/>
  <c r="R46" i="4"/>
  <c r="N137" i="4"/>
  <c r="M48" i="4"/>
  <c r="G57" i="4"/>
  <c r="M57" i="4" s="1"/>
  <c r="Q55" i="4" s="1"/>
  <c r="N134" i="4"/>
  <c r="R72" i="4"/>
  <c r="R73" i="4"/>
  <c r="J197" i="3"/>
  <c r="J219" i="3"/>
  <c r="J222" i="3" s="1"/>
  <c r="G219" i="3"/>
  <c r="G222" i="3" s="1"/>
  <c r="G197" i="3"/>
  <c r="H219" i="3"/>
  <c r="H222" i="3" s="1"/>
  <c r="H197" i="3"/>
  <c r="F197" i="3"/>
  <c r="G226" i="3"/>
  <c r="J216" i="3"/>
  <c r="I226" i="3"/>
  <c r="H216" i="3"/>
  <c r="H226" i="3"/>
  <c r="I216" i="3"/>
  <c r="K216" i="3"/>
  <c r="F226" i="3"/>
  <c r="I219" i="3"/>
  <c r="I222" i="3" s="1"/>
  <c r="I197" i="3"/>
  <c r="K197" i="3"/>
  <c r="K219" i="3"/>
  <c r="K222" i="3" s="1"/>
  <c r="G216" i="3"/>
  <c r="J226" i="3"/>
  <c r="F216" i="3"/>
  <c r="K226" i="3"/>
  <c r="U54" i="4" l="1"/>
  <c r="R54" i="4"/>
  <c r="R53" i="4"/>
  <c r="Q71" i="4"/>
  <c r="R48" i="4"/>
  <c r="S50" i="4" s="1"/>
  <c r="Q70" i="4"/>
  <c r="U42" i="4"/>
  <c r="V53" i="4" s="1"/>
  <c r="R42" i="4"/>
  <c r="R49" i="4"/>
  <c r="R52" i="4"/>
  <c r="R45" i="4"/>
  <c r="X55" i="4" s="1"/>
  <c r="R56" i="4"/>
  <c r="R47" i="4"/>
  <c r="R41" i="4"/>
  <c r="R57" i="4"/>
  <c r="R44" i="4"/>
  <c r="R50" i="4"/>
  <c r="R43" i="4"/>
  <c r="Q73" i="4"/>
  <c r="R58" i="4"/>
  <c r="R55" i="4"/>
  <c r="U55" i="4"/>
  <c r="U59" i="4"/>
  <c r="R59" i="4"/>
  <c r="R60" i="4"/>
  <c r="U60" i="4"/>
  <c r="V60" i="4" s="1"/>
  <c r="V58" i="4"/>
  <c r="Q67" i="4"/>
  <c r="Q72" i="4" s="1"/>
  <c r="R51" i="4"/>
  <c r="V55" i="4" l="1"/>
  <c r="O156" i="4"/>
  <c r="S45" i="4"/>
  <c r="V48" i="4"/>
  <c r="S55" i="4"/>
  <c r="X56" i="4"/>
  <c r="S60" i="4"/>
  <c r="X54" i="4"/>
  <c r="V59" i="4"/>
  <c r="V47" i="4"/>
  <c r="V41" i="4"/>
  <c r="V56" i="4"/>
  <c r="V46" i="4"/>
  <c r="V51" i="4"/>
  <c r="V43" i="4"/>
  <c r="V52" i="4"/>
  <c r="V42" i="4"/>
  <c r="V57" i="4"/>
  <c r="V49" i="4"/>
  <c r="V50" i="4"/>
  <c r="V44" i="4"/>
  <c r="V45" i="4"/>
  <c r="V54" i="4"/>
  <c r="X57" i="4" l="1"/>
  <c r="M156" i="4" s="1"/>
</calcChain>
</file>

<file path=xl/comments1.xml><?xml version="1.0" encoding="utf-8"?>
<comments xmlns="http://schemas.openxmlformats.org/spreadsheetml/2006/main">
  <authors>
    <author>Benedikt Buchspies</author>
    <author>Autor</author>
  </authors>
  <commentList>
    <comment ref="C3" authorId="0">
      <text>
        <r>
          <rPr>
            <b/>
            <sz val="9"/>
            <color indexed="81"/>
            <rFont val="Segoe UI"/>
            <family val="2"/>
          </rPr>
          <t>Benedikt Buchspies:
For cerrtain mines, onlyy aggregated data is available. For these mines, data was disaggregated according to the production shares in 2014</t>
        </r>
      </text>
    </comment>
    <comment ref="A22" authorId="1">
      <text>
        <r>
          <rPr>
            <b/>
            <sz val="9"/>
            <color indexed="81"/>
            <rFont val="Tahoma"/>
            <family val="2"/>
          </rPr>
          <t>Autor:</t>
        </r>
        <r>
          <rPr>
            <sz val="9"/>
            <color indexed="81"/>
            <rFont val="Tahoma"/>
            <family val="2"/>
          </rPr>
          <t xml:space="preserve">
include other treatment facilities of Slyvania Platinum Ltd.</t>
        </r>
      </text>
    </comment>
    <comment ref="A31" authorId="1">
      <text>
        <r>
          <rPr>
            <b/>
            <sz val="9"/>
            <color indexed="81"/>
            <rFont val="Tahoma"/>
            <family val="2"/>
          </rPr>
          <t>Autor:</t>
        </r>
        <r>
          <rPr>
            <sz val="9"/>
            <color indexed="81"/>
            <rFont val="Tahoma"/>
            <family val="2"/>
          </rPr>
          <t xml:space="preserve">
suspended in 2015</t>
        </r>
      </text>
    </comment>
  </commentList>
</comments>
</file>

<file path=xl/comments2.xml><?xml version="1.0" encoding="utf-8"?>
<comments xmlns="http://schemas.openxmlformats.org/spreadsheetml/2006/main">
  <authors>
    <author>Benedikt Buchspies</author>
  </authors>
  <commentList>
    <comment ref="G55" authorId="0">
      <text>
        <r>
          <rPr>
            <b/>
            <sz val="9"/>
            <color indexed="81"/>
            <rFont val="Segoe UI"/>
            <family val="2"/>
          </rPr>
          <t>Benedikt Buchspies:</t>
        </r>
        <r>
          <rPr>
            <sz val="9"/>
            <color indexed="81"/>
            <rFont val="Segoe UI"/>
            <family val="2"/>
          </rPr>
          <t xml:space="preserve">
based on share of 2014</t>
        </r>
      </text>
    </comment>
  </commentList>
</comments>
</file>

<file path=xl/sharedStrings.xml><?xml version="1.0" encoding="utf-8"?>
<sst xmlns="http://schemas.openxmlformats.org/spreadsheetml/2006/main" count="849" uniqueCount="388">
  <si>
    <t>Ore milled,
material processed</t>
  </si>
  <si>
    <t>Head grade</t>
  </si>
  <si>
    <t>Mine Depth</t>
  </si>
  <si>
    <t>Data Type</t>
  </si>
  <si>
    <t>Share UG2</t>
  </si>
  <si>
    <t>Total PGE production</t>
  </si>
  <si>
    <t>Water</t>
  </si>
  <si>
    <t>Mine</t>
  </si>
  <si>
    <t>%</t>
  </si>
  <si>
    <t>kg</t>
  </si>
  <si>
    <t>1000 GJ/t milled</t>
  </si>
  <si>
    <t>t CO2e/t milled</t>
  </si>
  <si>
    <t>t CO2e/1000 t milled</t>
  </si>
  <si>
    <t>t CO2e/kg 6PGE</t>
  </si>
  <si>
    <t>1000 t</t>
  </si>
  <si>
    <t>ML/t milled</t>
  </si>
  <si>
    <t>2015 original</t>
  </si>
  <si>
    <t>Data</t>
  </si>
  <si>
    <t>MW</t>
  </si>
  <si>
    <t>Western Limb</t>
  </si>
  <si>
    <t>Impala Rustenburg [MCS]</t>
  </si>
  <si>
    <t>MCS</t>
  </si>
  <si>
    <t>Marikana (Lonmin) [MCS]</t>
  </si>
  <si>
    <t>Pandora</t>
  </si>
  <si>
    <t>Limpopo [MC]</t>
  </si>
  <si>
    <t>Union [MC]</t>
  </si>
  <si>
    <t>MC</t>
  </si>
  <si>
    <t>Tumela [MC]</t>
  </si>
  <si>
    <t>Dishaba [MC]</t>
  </si>
  <si>
    <t>Bathopele [MC]</t>
  </si>
  <si>
    <t>Thembelani + Khuseleka [MC]</t>
  </si>
  <si>
    <t>Siphumelele + Khomania [MC]</t>
  </si>
  <si>
    <t>Western Limb Tailigns retreatment</t>
  </si>
  <si>
    <t>Kroondal [MC]</t>
  </si>
  <si>
    <t>Bafokeng [MC]</t>
  </si>
  <si>
    <t>Zondereinde [MCS]</t>
  </si>
  <si>
    <t>Booysendal (Everest) [MC]</t>
  </si>
  <si>
    <t>Marikana (Aquarius)</t>
  </si>
  <si>
    <t>Platinum Mile retreatment facility</t>
  </si>
  <si>
    <t>Chromite tailings retreatment facility</t>
  </si>
  <si>
    <t>Crocodile River</t>
  </si>
  <si>
    <t>Eland</t>
  </si>
  <si>
    <t>Pilanesberg</t>
  </si>
  <si>
    <t>nd</t>
  </si>
  <si>
    <t>Tharisa</t>
  </si>
  <si>
    <t>Northeastern Limb</t>
  </si>
  <si>
    <t>Bokoni</t>
  </si>
  <si>
    <t>Marula [MC]</t>
  </si>
  <si>
    <t>Twickenham</t>
  </si>
  <si>
    <t>Modikwa [MC]</t>
  </si>
  <si>
    <t>Smokey Hills</t>
  </si>
  <si>
    <t>Southeastern Limb</t>
  </si>
  <si>
    <t>Two rivers [MC]</t>
  </si>
  <si>
    <t>Mototolo</t>
  </si>
  <si>
    <t>Blue Ridge</t>
  </si>
  <si>
    <t>Nkomati [MC]</t>
  </si>
  <si>
    <t>Nortnern Limb</t>
  </si>
  <si>
    <t>Mogalakwena [MC]</t>
  </si>
  <si>
    <t>Zimbabwe</t>
  </si>
  <si>
    <t>Zimplats [MCS]</t>
  </si>
  <si>
    <t>Mimosa [MC]</t>
  </si>
  <si>
    <t>Unki [MC]</t>
  </si>
  <si>
    <t>Sylvania Chromite tailings retreatment facilities</t>
  </si>
  <si>
    <t>Impala</t>
  </si>
  <si>
    <t>Scope 1</t>
  </si>
  <si>
    <t>t CO2 eq</t>
  </si>
  <si>
    <t>Scope 2</t>
  </si>
  <si>
    <t xml:space="preserve">Lonmin </t>
  </si>
  <si>
    <t>Unit</t>
  </si>
  <si>
    <t>Reference</t>
  </si>
  <si>
    <t>www.sd-report.lonmin.</t>
  </si>
  <si>
    <t>mobile combustion</t>
  </si>
  <si>
    <t>t CO2-eq.</t>
  </si>
  <si>
    <t>SD2015 p102, 103</t>
  </si>
  <si>
    <t>stationery combustion</t>
  </si>
  <si>
    <t>explosives</t>
  </si>
  <si>
    <t>non-combusion product use</t>
  </si>
  <si>
    <t>Total Scope 1</t>
  </si>
  <si>
    <t>electricity</t>
  </si>
  <si>
    <t>Scope 3</t>
  </si>
  <si>
    <t>Purchased goods and services</t>
  </si>
  <si>
    <t>Upstream transportation and distribution</t>
  </si>
  <si>
    <t>Business travel</t>
  </si>
  <si>
    <t>Employee commuting</t>
  </si>
  <si>
    <t>Total Scope 3</t>
  </si>
  <si>
    <t>Share</t>
  </si>
  <si>
    <t>Marikana</t>
  </si>
  <si>
    <t>SD2015 p101</t>
  </si>
  <si>
    <t>Limpopo</t>
  </si>
  <si>
    <t>PMR</t>
  </si>
  <si>
    <t>Group</t>
  </si>
  <si>
    <t>Angloplat</t>
  </si>
  <si>
    <t>Coal for heating and energy</t>
  </si>
  <si>
    <t>SD2015</t>
  </si>
  <si>
    <t>Coal for metallurgical processes</t>
  </si>
  <si>
    <t>Diesel</t>
  </si>
  <si>
    <t>Petrol</t>
  </si>
  <si>
    <t>LPG</t>
  </si>
  <si>
    <t>Parrafin</t>
  </si>
  <si>
    <t>cv</t>
  </si>
  <si>
    <t>rv</t>
  </si>
  <si>
    <t>Total</t>
  </si>
  <si>
    <t xml:space="preserve">GHG emissions, CO2 equivalent (Scope 1 and 2 only) </t>
  </si>
  <si>
    <t>t</t>
  </si>
  <si>
    <t>Internally generated</t>
  </si>
  <si>
    <t>mining</t>
  </si>
  <si>
    <t>total</t>
  </si>
  <si>
    <t>electrcicity</t>
  </si>
  <si>
    <t>fuels, total</t>
  </si>
  <si>
    <t>liquid fuels</t>
  </si>
  <si>
    <t>coal</t>
  </si>
  <si>
    <t>SD2010 p65</t>
  </si>
  <si>
    <t>gas</t>
  </si>
  <si>
    <t>Concentration</t>
  </si>
  <si>
    <t>Smelting</t>
  </si>
  <si>
    <t>Refining</t>
  </si>
  <si>
    <t>http://pub.epsilon.slu.se/10424/17/ahlgren_s_and_eriksson_m_130529.pdf</t>
  </si>
  <si>
    <t>t CO2/ 1000 GJ</t>
  </si>
  <si>
    <t>Electricity</t>
  </si>
  <si>
    <t>Eskom</t>
  </si>
  <si>
    <t>t/GWh</t>
  </si>
  <si>
    <t>Coal</t>
  </si>
  <si>
    <t>http://www.ipcc-nggip.iges.or.jp/public/2006gl/pdf/2_Volume2/V2_2_Ch2_Stationary_Combustion.pdf</t>
  </si>
  <si>
    <t>t CO2/TJ</t>
  </si>
  <si>
    <t>Gas</t>
  </si>
  <si>
    <t>Scope 1 &amp;2</t>
  </si>
  <si>
    <t>M</t>
  </si>
  <si>
    <t>t CO2</t>
  </si>
  <si>
    <t>C</t>
  </si>
  <si>
    <t>S</t>
  </si>
  <si>
    <t>R</t>
  </si>
  <si>
    <t>sum</t>
  </si>
  <si>
    <t>t CO2/1000t ore milled</t>
  </si>
  <si>
    <t>1000 t milled</t>
  </si>
  <si>
    <t>IR 2016, AR 2012</t>
  </si>
  <si>
    <t>Total 6 E PGE production</t>
  </si>
  <si>
    <t>t Co2/1000 t ore milled</t>
  </si>
  <si>
    <t>Sum</t>
  </si>
  <si>
    <t>Sum, Scope 1 &amp; 2</t>
  </si>
  <si>
    <t>Lonmin</t>
  </si>
  <si>
    <t>SD2016, IR 2014</t>
  </si>
  <si>
    <t>Northam</t>
  </si>
  <si>
    <t>IR 2015 p66</t>
  </si>
  <si>
    <t>IR 2012 p11</t>
  </si>
  <si>
    <t>Bafokeng</t>
  </si>
  <si>
    <t>Total Scope 1 &amp; 2</t>
  </si>
  <si>
    <t>IR 2016</t>
  </si>
  <si>
    <t>ARM</t>
  </si>
  <si>
    <t>Two Rivers, Modikwa</t>
  </si>
  <si>
    <t>1000 t ore milled</t>
  </si>
  <si>
    <t>SD 2015, SD 2012</t>
  </si>
  <si>
    <t>Scope 1 &amp; 2, mines only</t>
  </si>
  <si>
    <t>Aquarius</t>
  </si>
  <si>
    <t>Kroondal, Platinum Mile, Everest</t>
  </si>
  <si>
    <t>Ore milled SA operation</t>
  </si>
  <si>
    <t>Mimosa</t>
  </si>
  <si>
    <t>Ore Milled Zimbabwe</t>
  </si>
  <si>
    <t>SD2015 p31</t>
  </si>
  <si>
    <t>SD2014</t>
  </si>
  <si>
    <t>Data refers to 100% ownership</t>
  </si>
  <si>
    <t>t Co2</t>
  </si>
  <si>
    <t>SD2012</t>
  </si>
  <si>
    <t xml:space="preserve">Scope 3 </t>
  </si>
  <si>
    <t>Product dristribution</t>
  </si>
  <si>
    <t>Employee travel</t>
  </si>
  <si>
    <t>Company supply chain</t>
  </si>
  <si>
    <t>Scope 1 &amp; 2</t>
  </si>
  <si>
    <t>Scope 1 &amp; 2 (per kg 6E PGE)</t>
  </si>
  <si>
    <t>per PGM</t>
  </si>
  <si>
    <t>Data coverage</t>
  </si>
  <si>
    <t>Anglo Platinum</t>
  </si>
  <si>
    <t>per 6E PGE, aus Summe Scope 1 + 2</t>
  </si>
  <si>
    <t>6E PGE production of considered mines</t>
  </si>
  <si>
    <t>Ore milled considered mines</t>
  </si>
  <si>
    <t>Total Scope 1 + 2</t>
  </si>
  <si>
    <t>per 6E PGE,  Scope 1 + 2 total</t>
  </si>
  <si>
    <t>Diagramm</t>
  </si>
  <si>
    <t>/6E based on head grade reported by companies</t>
  </si>
  <si>
    <t>Scope 1/6E</t>
  </si>
  <si>
    <t>Scope 2/6E</t>
  </si>
  <si>
    <t>SD 2015 p137</t>
  </si>
  <si>
    <t>Fuel</t>
  </si>
  <si>
    <t>TJ</t>
  </si>
  <si>
    <t>1000 L</t>
  </si>
  <si>
    <t>T</t>
  </si>
  <si>
    <t>Industrial Burning Oil</t>
  </si>
  <si>
    <t>Lonmin Energy Profile</t>
  </si>
  <si>
    <t>Electricity (indirect)</t>
  </si>
  <si>
    <t>\cite{Lonmin.2015}</t>
  </si>
  <si>
    <t>Fuels (non-renewables)</t>
  </si>
  <si>
    <t>\cite{Lonmin.2011}</t>
  </si>
  <si>
    <t>\cite{Lonmin.2010b}</t>
  </si>
  <si>
    <t>SD2015 p93</t>
  </si>
  <si>
    <t>SD2013 p6,176</t>
  </si>
  <si>
    <t>\cite{.ac}</t>
  </si>
  <si>
    <t>SD 2012 p47</t>
  </si>
  <si>
    <t>Sustainable Development Summary Report 2012</t>
  </si>
  <si>
    <t>Other (LPG, Methane, Natural gas)</t>
  </si>
  <si>
    <t>Inenstity</t>
  </si>
  <si>
    <t>GJ/PGM oz</t>
  </si>
  <si>
    <t>MWh</t>
  </si>
  <si>
    <t>\cite{Lonmin.}</t>
  </si>
  <si>
    <t>Diesel/Gas oil</t>
  </si>
  <si>
    <t>CDP 2015 Climate Change</t>
  </si>
  <si>
    <t>Medium Oil (HFO)</t>
  </si>
  <si>
    <t>Jet gasoline</t>
  </si>
  <si>
    <t>Bituminous coal</t>
  </si>
  <si>
    <t>Liquefied petroleum gas (LPG)</t>
  </si>
  <si>
    <t>Methane</t>
  </si>
  <si>
    <t>Natural gas</t>
  </si>
  <si>
    <t>PJ</t>
  </si>
  <si>
    <t>Energy demand per processing stage</t>
  </si>
  <si>
    <t>Energy demand as reported</t>
  </si>
  <si>
    <t>Energy demand in CED</t>
  </si>
  <si>
    <t>Mining</t>
  </si>
  <si>
    <t>Value</t>
  </si>
  <si>
    <t>MJ CED/MJ</t>
  </si>
  <si>
    <t>Ecoinvent Process</t>
  </si>
  <si>
    <t>MJ/kg</t>
  </si>
  <si>
    <t>market for hard coal, ZA</t>
  </si>
  <si>
    <t>natural gas</t>
  </si>
  <si>
    <t>MJ/m3</t>
  </si>
  <si>
    <t>market for natural gas, high pressure, RoW</t>
  </si>
  <si>
    <t>diesel</t>
  </si>
  <si>
    <t>market for diesel, RoW</t>
  </si>
  <si>
    <t>MJ/kWh</t>
  </si>
  <si>
    <t>electricity production, nuclear, pressure water reactor, ZA</t>
  </si>
  <si>
    <t>electricity production, hard coal, ZA</t>
  </si>
  <si>
    <t>electricity production, hydro, reservoir, non-alpine region</t>
  </si>
  <si>
    <t>electricity mix SA</t>
  </si>
  <si>
    <t>electricity mix ZWE</t>
  </si>
  <si>
    <t>CED</t>
  </si>
  <si>
    <t>MJ/MJ Energy demand</t>
  </si>
  <si>
    <t>TJ/1000 t ore milled</t>
  </si>
  <si>
    <t>TJ CED/1000 t ore milled</t>
  </si>
  <si>
    <t>Materials</t>
  </si>
  <si>
    <t>fuels</t>
  </si>
  <si>
    <t>Grease</t>
  </si>
  <si>
    <t>Fuels</t>
  </si>
  <si>
    <t>[10^6 L]</t>
  </si>
  <si>
    <t>Electricity consumption (MWh) BRPM</t>
  </si>
  <si>
    <t>SD 2012 p70</t>
  </si>
  <si>
    <t>Diesel (direct)</t>
  </si>
  <si>
    <t>SD2015 130</t>
  </si>
  <si>
    <t>(Petrol)</t>
  </si>
  <si>
    <t>1000l</t>
  </si>
  <si>
    <t>Kroondal</t>
  </si>
  <si>
    <t>SD2014 p30</t>
  </si>
  <si>
    <t>Adjsuted for missing electrcity</t>
  </si>
  <si>
    <t>SD2015 p28</t>
  </si>
  <si>
    <t>Everest</t>
  </si>
  <si>
    <t>Blue ridge</t>
  </si>
  <si>
    <t>Electricity (generated by diesel)</t>
  </si>
  <si>
    <t>SA</t>
  </si>
  <si>
    <t>SD 2015 p31</t>
  </si>
  <si>
    <t>Zimbabwe (Mimosa)</t>
  </si>
  <si>
    <t>Energy from electricity purchased by shafts</t>
  </si>
  <si>
    <t>1000 GJ</t>
  </si>
  <si>
    <t>Energy from electricity purchased by plants</t>
  </si>
  <si>
    <t>SD 2014 p106</t>
  </si>
  <si>
    <t>Total, all devisions</t>
  </si>
  <si>
    <t>SD 2015 p88</t>
  </si>
  <si>
    <t>Modikwa</t>
  </si>
  <si>
    <t>SD 2013 p116</t>
  </si>
  <si>
    <t>Two Rivers</t>
  </si>
  <si>
    <t>SD 2012 p115</t>
  </si>
  <si>
    <t>Nkomati</t>
  </si>
  <si>
    <t>SD 20111 p65</t>
  </si>
  <si>
    <t>Total, PGM division</t>
  </si>
  <si>
    <t>SD 2015 p86</t>
  </si>
  <si>
    <t>SD 2012 p116</t>
  </si>
  <si>
    <t>SD 20111 p66</t>
  </si>
  <si>
    <t>SD2010 p79</t>
  </si>
  <si>
    <t>1000 GJ/1000 t ore milled</t>
  </si>
  <si>
    <t>=TJ</t>
  </si>
  <si>
    <t>Liquid fuels (diesel, petrol, industrial burning oil)</t>
  </si>
  <si>
    <t>1000 L/1000 t ore milled</t>
  </si>
  <si>
    <t>Lonmin &amp; Aquarius SA operations: Total of liquid fuels</t>
  </si>
  <si>
    <t>Total (per 1000 t ore milled)</t>
  </si>
  <si>
    <t>Total (per kg PGE)</t>
  </si>
  <si>
    <t>nach head grade</t>
  </si>
  <si>
    <t>nach Produktionsdaten</t>
  </si>
  <si>
    <t xml:space="preserve">1000 L/kg 6E </t>
  </si>
  <si>
    <t>kg 3PGE/1000 t</t>
  </si>
  <si>
    <t>Total Electricity</t>
  </si>
  <si>
    <t>Total diesel</t>
  </si>
  <si>
    <t>Diesel 1000L/1000 toremilled</t>
  </si>
  <si>
    <t>kg PGE</t>
  </si>
  <si>
    <t>g/t</t>
  </si>
  <si>
    <t>Share electrcicity</t>
  </si>
  <si>
    <t>CED total</t>
  </si>
  <si>
    <t>CED oer 1000 t ore milled</t>
  </si>
  <si>
    <t>CED per kg PGM</t>
  </si>
  <si>
    <t>Impala Rustenburg</t>
  </si>
  <si>
    <t>Water withdrawn</t>
  </si>
  <si>
    <t>ML</t>
  </si>
  <si>
    <t>SD2015 p137</t>
  </si>
  <si>
    <t>Impala Springs (BMR)</t>
  </si>
  <si>
    <t>SD 2011</t>
  </si>
  <si>
    <t>Marula</t>
  </si>
  <si>
    <t>Zimplats</t>
  </si>
  <si>
    <t>Total water consumed</t>
  </si>
  <si>
    <t>withdrawn + recycled</t>
  </si>
  <si>
    <t>SD2015 p91</t>
  </si>
  <si>
    <t>Water recycöed</t>
  </si>
  <si>
    <t>SD 2011 p78</t>
  </si>
  <si>
    <t>SD 2012 p27</t>
  </si>
  <si>
    <t>Total water consumed by source</t>
  </si>
  <si>
    <t>SD 2015 p70</t>
  </si>
  <si>
    <t>Water used for primary activities</t>
  </si>
  <si>
    <t>SD 2010 p150</t>
  </si>
  <si>
    <t>Water used for non-primary activities</t>
  </si>
  <si>
    <t>Potable water from an external source</t>
  </si>
  <si>
    <t>Non-potable water from an external source</t>
  </si>
  <si>
    <t>Waste or second-class water used</t>
  </si>
  <si>
    <t>Surface water used</t>
  </si>
  <si>
    <t>Groundwater used</t>
  </si>
  <si>
    <t>Water recycled in processes</t>
  </si>
  <si>
    <t>Discharged to surface waters</t>
  </si>
  <si>
    <t>Zondereinde</t>
  </si>
  <si>
    <t>Water from external sources</t>
  </si>
  <si>
    <t xml:space="preserve">IR 2015 </t>
  </si>
  <si>
    <t>p66</t>
  </si>
  <si>
    <t>Booysendal</t>
  </si>
  <si>
    <t>Both mines</t>
  </si>
  <si>
    <t>Water recycled</t>
  </si>
  <si>
    <t>IR 2012 p10</t>
  </si>
  <si>
    <t>Water withdrawal</t>
  </si>
  <si>
    <t>SD 2012 p23</t>
  </si>
  <si>
    <t>Sd 2014 p29</t>
  </si>
  <si>
    <t>SD 2015 p28</t>
  </si>
  <si>
    <t>SD2013 p27</t>
  </si>
  <si>
    <t>SA fresh water (potable &amp; surface)</t>
  </si>
  <si>
    <t>Zimbabwe fresh water</t>
  </si>
  <si>
    <t>Recycled water</t>
  </si>
  <si>
    <t>Total water withdrawal , all divisions</t>
  </si>
  <si>
    <t>mio m³</t>
  </si>
  <si>
    <t>SD 2015 p90</t>
  </si>
  <si>
    <t>SD 2014 p107</t>
  </si>
  <si>
    <t>SD2013 p119</t>
  </si>
  <si>
    <t>SD2012 p117</t>
  </si>
  <si>
    <t>SD2011 p67</t>
  </si>
  <si>
    <t>SD2010 p78</t>
  </si>
  <si>
    <t>Potable water</t>
  </si>
  <si>
    <t>BRPM (M+C)</t>
  </si>
  <si>
    <t>AR 2012 p74</t>
  </si>
  <si>
    <t>Styldrift 1</t>
  </si>
  <si>
    <t>AR2015 p131</t>
  </si>
  <si>
    <t>Concentrator</t>
  </si>
  <si>
    <t>BRPM</t>
  </si>
  <si>
    <t>Water withrdrawn per 1000 t ore milled</t>
  </si>
  <si>
    <t>/1000 t ore milled</t>
  </si>
  <si>
    <t>Recycled water per 1000 t ore milled</t>
  </si>
  <si>
    <t>Share recycled water</t>
  </si>
  <si>
    <t>Water withrdrawn per kg 6E PGE</t>
  </si>
  <si>
    <t>/kg 6E PGE</t>
  </si>
  <si>
    <t>Recycled water per kg 6E PGE</t>
  </si>
  <si>
    <t>Withdrawal</t>
  </si>
  <si>
    <t>/kg PGM</t>
  </si>
  <si>
    <t>Recycled</t>
  </si>
  <si>
    <t>direct</t>
  </si>
  <si>
    <t>SD 2015 p70, SD 2010 p150</t>
  </si>
  <si>
    <t>Key performance statistics p127, SD 2010</t>
  </si>
  <si>
    <t>SD 2015 p138, SD 2011 p107</t>
  </si>
  <si>
    <t>IR 2015 p9, IR 2014 p128, SD 2013 p56, SD2011 p3</t>
  </si>
  <si>
    <t>no smelter</t>
  </si>
  <si>
    <t>machine operation, diesel, &gt;= 74.57 kW, high load factor | machine operation, diesel, &gt;= 74.57 kW, high load factor | APOS, U</t>
  </si>
  <si>
    <t>kg SO2/hr</t>
  </si>
  <si>
    <t>kg diesel/hr</t>
  </si>
  <si>
    <t>kg/L</t>
  </si>
  <si>
    <t>kg SO2/L diesel</t>
  </si>
  <si>
    <t>t/1000t ore milled</t>
  </si>
  <si>
    <t>total SO2 emissions (per kg 6 PGE)</t>
  </si>
  <si>
    <t>Implats</t>
  </si>
  <si>
    <t>ZIM</t>
  </si>
  <si>
    <r>
      <rPr>
        <b/>
        <sz val="11"/>
        <color theme="1"/>
        <rFont val="Calibri"/>
        <family val="2"/>
        <scheme val="minor"/>
      </rPr>
      <t>PGE production in Southern Africa
Part II: Environmental Aspects</t>
    </r>
    <r>
      <rPr>
        <sz val="11"/>
        <color theme="1"/>
        <rFont val="Calibri"/>
        <family val="2"/>
        <scheme val="minor"/>
      </rPr>
      <t xml:space="preserve">
Benedikt Buchspies, Lisa Thormann, Charles Mbohwa and Martin Kaltschmitt
</t>
    </r>
  </si>
  <si>
    <t>This excel document contains the most important data collected. You can find the references to data reported by companies next to the data entry in the "company data_XY" sheet. Abbreviations: AR - Annual Report, IR - Integrated Report, SD - Sustainable development report. The reference can be found in the reference section of the main article. Data for individual mines was extracted from the same reports but converted and adapted based on calculation needs.</t>
  </si>
  <si>
    <t>Energy</t>
  </si>
  <si>
    <t>Scope 1 CO2</t>
  </si>
  <si>
    <t>Scope 2 CO2</t>
  </si>
  <si>
    <t>Scope 3 CO2</t>
  </si>
  <si>
    <t>t CO2e/kg &amp;PGE</t>
  </si>
  <si>
    <t>1000 GJ/kg 6PGE (reported head grade)</t>
  </si>
  <si>
    <t>CO2 Total</t>
  </si>
  <si>
    <t>1000 GJ/kg 6PGE (reported 6E production)</t>
  </si>
  <si>
    <t>t CO2e/kg 6PGE (reported 6E production)</t>
  </si>
  <si>
    <t>ML/kg 6PGE (reported 6E production)</t>
  </si>
  <si>
    <t>Reported head grade</t>
  </si>
</sst>
</file>

<file path=xl/styles.xml><?xml version="1.0" encoding="utf-8"?>
<styleSheet xmlns="http://schemas.openxmlformats.org/spreadsheetml/2006/main" xmlns:mc="http://schemas.openxmlformats.org/markup-compatibility/2006" xmlns:x14ac="http://schemas.microsoft.com/office/spreadsheetml/2009/9/ac" mc:Ignorable="x14ac">
  <numFmts count="12">
    <numFmt numFmtId="164" formatCode="_(* #,##0_);_(* \(#,##0\);_(* &quot;-&quot;_);_(@_)"/>
    <numFmt numFmtId="165" formatCode="_(* #,##0.00_);_(* \(#,##0.00\);_(* &quot;-&quot;??_);_(@_)"/>
    <numFmt numFmtId="166" formatCode="0.00;;;@"/>
    <numFmt numFmtId="167" formatCode="0;;;@"/>
    <numFmt numFmtId="168" formatCode="0.000000;;;@"/>
    <numFmt numFmtId="169" formatCode="0.000;;;@"/>
    <numFmt numFmtId="170" formatCode="0.000"/>
    <numFmt numFmtId="171" formatCode="0.000000000"/>
    <numFmt numFmtId="172" formatCode="#,##0.0000"/>
    <numFmt numFmtId="173" formatCode="#,##0.0"/>
    <numFmt numFmtId="174" formatCode="0.0000"/>
    <numFmt numFmtId="175" formatCode="0.0"/>
  </numFmts>
  <fonts count="17" x14ac:knownFonts="1">
    <font>
      <sz val="11"/>
      <color theme="1"/>
      <name val="Calibri"/>
      <family val="2"/>
      <scheme val="minor"/>
    </font>
    <font>
      <sz val="11"/>
      <color theme="1"/>
      <name val="Calibri"/>
      <family val="2"/>
      <scheme val="minor"/>
    </font>
    <font>
      <b/>
      <sz val="11"/>
      <color theme="1"/>
      <name val="Calibri"/>
      <family val="2"/>
      <scheme val="minor"/>
    </font>
    <font>
      <sz val="10"/>
      <name val="Arial"/>
      <family val="2"/>
    </font>
    <font>
      <sz val="8"/>
      <name val="Times New Roman"/>
      <family val="1"/>
    </font>
    <font>
      <sz val="10"/>
      <color theme="1"/>
      <name val="Times New Roman"/>
      <family val="2"/>
    </font>
    <font>
      <sz val="8"/>
      <name val="Times"/>
      <family val="1"/>
    </font>
    <font>
      <sz val="8"/>
      <color theme="1"/>
      <name val="Times"/>
      <family val="2"/>
    </font>
    <font>
      <sz val="8"/>
      <name val="Times"/>
    </font>
    <font>
      <sz val="11"/>
      <name val="Calibri"/>
      <family val="2"/>
      <scheme val="minor"/>
    </font>
    <font>
      <b/>
      <sz val="11"/>
      <name val="Calibri"/>
      <family val="2"/>
      <scheme val="minor"/>
    </font>
    <font>
      <b/>
      <sz val="9"/>
      <color indexed="81"/>
      <name val="Segoe UI"/>
      <family val="2"/>
    </font>
    <font>
      <b/>
      <sz val="9"/>
      <color indexed="81"/>
      <name val="Tahoma"/>
      <family val="2"/>
    </font>
    <font>
      <sz val="9"/>
      <color indexed="81"/>
      <name val="Tahoma"/>
      <family val="2"/>
    </font>
    <font>
      <u/>
      <sz val="11"/>
      <color theme="10"/>
      <name val="Calibri"/>
      <family val="2"/>
      <scheme val="minor"/>
    </font>
    <font>
      <i/>
      <sz val="11"/>
      <color theme="1"/>
      <name val="Calibri"/>
      <family val="2"/>
      <scheme val="minor"/>
    </font>
    <font>
      <sz val="9"/>
      <color indexed="81"/>
      <name val="Segoe UI"/>
      <family val="2"/>
    </font>
  </fonts>
  <fills count="16">
    <fill>
      <patternFill patternType="none"/>
    </fill>
    <fill>
      <patternFill patternType="gray125"/>
    </fill>
    <fill>
      <patternFill patternType="solid">
        <fgColor theme="6" tint="0.39997558519241921"/>
        <bgColor indexed="64"/>
      </patternFill>
    </fill>
    <fill>
      <patternFill patternType="solid">
        <fgColor theme="0" tint="-0.249977111117893"/>
        <bgColor indexed="64"/>
      </patternFill>
    </fill>
    <fill>
      <patternFill patternType="solid">
        <fgColor theme="5" tint="-0.249977111117893"/>
        <bgColor indexed="64"/>
      </patternFill>
    </fill>
    <fill>
      <patternFill patternType="solid">
        <fgColor theme="0" tint="-0.34998626667073579"/>
        <bgColor indexed="64"/>
      </patternFill>
    </fill>
    <fill>
      <patternFill patternType="solid">
        <fgColor theme="7" tint="0.39997558519241921"/>
        <bgColor indexed="64"/>
      </patternFill>
    </fill>
    <fill>
      <patternFill patternType="solid">
        <fgColor theme="9" tint="0.39997558519241921"/>
        <bgColor indexed="64"/>
      </patternFill>
    </fill>
    <fill>
      <patternFill patternType="solid">
        <fgColor theme="8" tint="0.39997558519241921"/>
        <bgColor indexed="64"/>
      </patternFill>
    </fill>
    <fill>
      <patternFill patternType="solid">
        <fgColor rgb="FF92D050"/>
        <bgColor indexed="64"/>
      </patternFill>
    </fill>
    <fill>
      <patternFill patternType="solid">
        <fgColor rgb="FF7030A0"/>
        <bgColor indexed="64"/>
      </patternFill>
    </fill>
    <fill>
      <patternFill patternType="solid">
        <fgColor theme="3" tint="0.59999389629810485"/>
        <bgColor indexed="64"/>
      </patternFill>
    </fill>
    <fill>
      <patternFill patternType="solid">
        <fgColor rgb="FF00B0F0"/>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6" tint="0.79998168889431442"/>
        <bgColor indexed="64"/>
      </patternFill>
    </fill>
  </fills>
  <borders count="8">
    <border>
      <left/>
      <right/>
      <top/>
      <bottom/>
      <diagonal/>
    </border>
    <border>
      <left/>
      <right/>
      <top style="hair">
        <color indexed="64"/>
      </top>
      <bottom style="hair">
        <color indexed="64"/>
      </bottom>
      <diagonal/>
    </border>
    <border>
      <left/>
      <right style="thin">
        <color indexed="64"/>
      </right>
      <top/>
      <bottom/>
      <diagonal/>
    </border>
    <border>
      <left style="thin">
        <color indexed="64"/>
      </left>
      <right/>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style="thin">
        <color indexed="64"/>
      </right>
      <top style="thin">
        <color indexed="64"/>
      </top>
      <bottom/>
      <diagonal/>
    </border>
  </borders>
  <cellStyleXfs count="28">
    <xf numFmtId="0" fontId="0" fillId="0" borderId="0"/>
    <xf numFmtId="9" fontId="1" fillId="0" borderId="0" applyFont="0" applyFill="0" applyBorder="0" applyAlignment="0" applyProtection="0"/>
    <xf numFmtId="164"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5" fontId="3" fillId="0" borderId="0" applyFont="0" applyFill="0" applyBorder="0" applyAlignment="0" applyProtection="0"/>
    <xf numFmtId="164" fontId="4" fillId="0" borderId="0" applyFont="0" applyFill="0" applyBorder="0" applyAlignment="0" applyProtection="0"/>
    <xf numFmtId="0" fontId="4" fillId="0" borderId="1" applyNumberFormat="0">
      <alignment horizontal="center"/>
    </xf>
    <xf numFmtId="165" fontId="4" fillId="0" borderId="0" applyFont="0" applyFill="0" applyBorder="0" applyAlignment="0" applyProtection="0"/>
    <xf numFmtId="0" fontId="3" fillId="0" borderId="0"/>
    <xf numFmtId="0" fontId="3" fillId="0" borderId="0"/>
    <xf numFmtId="0" fontId="1" fillId="0" borderId="0"/>
    <xf numFmtId="0" fontId="4" fillId="0" borderId="0"/>
    <xf numFmtId="0" fontId="4" fillId="0" borderId="0"/>
    <xf numFmtId="0" fontId="3" fillId="0" borderId="0"/>
    <xf numFmtId="0" fontId="1" fillId="0" borderId="0"/>
    <xf numFmtId="0" fontId="5" fillId="0" borderId="0"/>
    <xf numFmtId="0" fontId="4" fillId="0" borderId="0"/>
    <xf numFmtId="0" fontId="6" fillId="0" borderId="0"/>
    <xf numFmtId="0" fontId="7" fillId="0" borderId="0"/>
    <xf numFmtId="0" fontId="4" fillId="0" borderId="0"/>
    <xf numFmtId="0" fontId="8" fillId="0" borderId="0"/>
    <xf numFmtId="0" fontId="14" fillId="0" borderId="0" applyNumberFormat="0" applyFill="0" applyBorder="0" applyAlignment="0" applyProtection="0"/>
  </cellStyleXfs>
  <cellXfs count="126">
    <xf numFmtId="0" fontId="0" fillId="0" borderId="0" xfId="0"/>
    <xf numFmtId="166" fontId="9" fillId="0" borderId="0" xfId="0" applyNumberFormat="1" applyFont="1" applyFill="1"/>
    <xf numFmtId="166" fontId="10" fillId="0" borderId="0" xfId="0" applyNumberFormat="1" applyFont="1" applyFill="1" applyBorder="1" applyAlignment="1">
      <alignment horizontal="center" vertical="center" wrapText="1"/>
    </xf>
    <xf numFmtId="0" fontId="9" fillId="0" borderId="0" xfId="0" applyFont="1" applyFill="1"/>
    <xf numFmtId="166" fontId="10" fillId="0" borderId="0" xfId="0" applyNumberFormat="1" applyFont="1" applyFill="1" applyBorder="1"/>
    <xf numFmtId="166" fontId="10" fillId="0" borderId="0" xfId="0" applyNumberFormat="1" applyFont="1" applyFill="1" applyBorder="1" applyAlignment="1">
      <alignment vertical="center" wrapText="1"/>
    </xf>
    <xf numFmtId="166" fontId="9" fillId="0" borderId="2" xfId="0" applyNumberFormat="1" applyFont="1" applyFill="1" applyBorder="1" applyAlignment="1">
      <alignment horizontal="center"/>
    </xf>
    <xf numFmtId="0" fontId="9" fillId="0" borderId="2" xfId="0" applyFont="1" applyFill="1" applyBorder="1"/>
    <xf numFmtId="167" fontId="10" fillId="0" borderId="4" xfId="0" applyNumberFormat="1" applyFont="1" applyFill="1" applyBorder="1"/>
    <xf numFmtId="167" fontId="9" fillId="0" borderId="4" xfId="0" applyNumberFormat="1" applyFont="1" applyFill="1" applyBorder="1"/>
    <xf numFmtId="167" fontId="9" fillId="0" borderId="5" xfId="0" applyNumberFormat="1" applyFont="1" applyFill="1" applyBorder="1"/>
    <xf numFmtId="167" fontId="9" fillId="0" borderId="6" xfId="0" applyNumberFormat="1" applyFont="1" applyFill="1" applyBorder="1"/>
    <xf numFmtId="167" fontId="9" fillId="0" borderId="0" xfId="0" applyNumberFormat="1" applyFont="1" applyFill="1"/>
    <xf numFmtId="166" fontId="10" fillId="0" borderId="0" xfId="0" applyNumberFormat="1" applyFont="1" applyFill="1"/>
    <xf numFmtId="166" fontId="9" fillId="0" borderId="0" xfId="0" applyNumberFormat="1" applyFont="1" applyFill="1" applyBorder="1"/>
    <xf numFmtId="166" fontId="9" fillId="0" borderId="2" xfId="0" applyNumberFormat="1" applyFont="1" applyFill="1" applyBorder="1"/>
    <xf numFmtId="166" fontId="9" fillId="0" borderId="3" xfId="0" applyNumberFormat="1" applyFont="1" applyFill="1" applyBorder="1"/>
    <xf numFmtId="166" fontId="9" fillId="0" borderId="7" xfId="0" applyNumberFormat="1" applyFont="1" applyFill="1" applyBorder="1"/>
    <xf numFmtId="168" fontId="9" fillId="0" borderId="3" xfId="0" applyNumberFormat="1" applyFont="1" applyFill="1" applyBorder="1"/>
    <xf numFmtId="168" fontId="9" fillId="0" borderId="0" xfId="0" applyNumberFormat="1" applyFont="1" applyFill="1" applyBorder="1"/>
    <xf numFmtId="168" fontId="9" fillId="0" borderId="2" xfId="0" applyNumberFormat="1" applyFont="1" applyFill="1" applyBorder="1"/>
    <xf numFmtId="166" fontId="9" fillId="0" borderId="0" xfId="0" applyNumberFormat="1" applyFont="1" applyFill="1" applyBorder="1" applyAlignment="1">
      <alignment horizontal="left" indent="9"/>
    </xf>
    <xf numFmtId="166" fontId="9" fillId="0" borderId="2" xfId="0" applyNumberFormat="1" applyFont="1" applyFill="1" applyBorder="1" applyAlignment="1">
      <alignment horizontal="left" indent="9"/>
    </xf>
    <xf numFmtId="169" fontId="9" fillId="0" borderId="0" xfId="0" applyNumberFormat="1" applyFont="1" applyFill="1" applyBorder="1"/>
    <xf numFmtId="169" fontId="9" fillId="0" borderId="2" xfId="0" applyNumberFormat="1" applyFont="1" applyFill="1" applyBorder="1"/>
    <xf numFmtId="167" fontId="9" fillId="0" borderId="0" xfId="0" applyNumberFormat="1" applyFont="1" applyFill="1" applyBorder="1"/>
    <xf numFmtId="167" fontId="10" fillId="0" borderId="0" xfId="0" applyNumberFormat="1" applyFont="1" applyFill="1" applyBorder="1"/>
    <xf numFmtId="166" fontId="10" fillId="0" borderId="0" xfId="0" quotePrefix="1" applyNumberFormat="1" applyFont="1" applyFill="1" applyBorder="1"/>
    <xf numFmtId="0" fontId="10" fillId="0" borderId="0" xfId="0" applyFont="1" applyFill="1" applyBorder="1"/>
    <xf numFmtId="0" fontId="9" fillId="0" borderId="0" xfId="0" applyFont="1" applyFill="1" applyBorder="1"/>
    <xf numFmtId="1" fontId="2" fillId="2" borderId="0" xfId="0" applyNumberFormat="1" applyFont="1" applyFill="1" applyBorder="1"/>
    <xf numFmtId="1" fontId="0" fillId="0" borderId="0" xfId="0" applyNumberFormat="1"/>
    <xf numFmtId="3" fontId="0" fillId="0" borderId="0" xfId="0" applyNumberFormat="1"/>
    <xf numFmtId="4" fontId="0" fillId="0" borderId="0" xfId="0" applyNumberFormat="1"/>
    <xf numFmtId="2" fontId="2" fillId="3" borderId="0" xfId="0" applyNumberFormat="1" applyFont="1" applyFill="1" applyBorder="1"/>
    <xf numFmtId="2" fontId="0" fillId="3" borderId="0" xfId="0" applyNumberFormat="1" applyFill="1" applyBorder="1"/>
    <xf numFmtId="1" fontId="2" fillId="3" borderId="0" xfId="0" applyNumberFormat="1" applyFont="1" applyFill="1" applyBorder="1"/>
    <xf numFmtId="0" fontId="14" fillId="0" borderId="0" xfId="27"/>
    <xf numFmtId="10" fontId="0" fillId="0" borderId="0" xfId="0" applyNumberFormat="1"/>
    <xf numFmtId="9" fontId="0" fillId="0" borderId="0" xfId="0" applyNumberFormat="1"/>
    <xf numFmtId="2" fontId="2" fillId="4" borderId="0" xfId="0" applyNumberFormat="1" applyFont="1" applyFill="1" applyBorder="1"/>
    <xf numFmtId="2" fontId="0" fillId="4" borderId="0" xfId="0" applyNumberFormat="1" applyFill="1" applyBorder="1"/>
    <xf numFmtId="1" fontId="2" fillId="4" borderId="0" xfId="0" applyNumberFormat="1" applyFont="1" applyFill="1" applyBorder="1"/>
    <xf numFmtId="2" fontId="0" fillId="0" borderId="0" xfId="0" applyNumberFormat="1"/>
    <xf numFmtId="170" fontId="0" fillId="0" borderId="0" xfId="0" applyNumberFormat="1"/>
    <xf numFmtId="0" fontId="0" fillId="0" borderId="4" xfId="0" applyBorder="1"/>
    <xf numFmtId="1" fontId="0" fillId="0" borderId="4" xfId="0" applyNumberFormat="1" applyBorder="1"/>
    <xf numFmtId="2" fontId="2" fillId="5" borderId="0" xfId="0" applyNumberFormat="1" applyFont="1" applyFill="1" applyBorder="1"/>
    <xf numFmtId="1" fontId="2" fillId="5" borderId="0" xfId="0" applyNumberFormat="1" applyFont="1" applyFill="1" applyBorder="1"/>
    <xf numFmtId="2" fontId="2" fillId="6" borderId="0" xfId="0" applyNumberFormat="1" applyFont="1" applyFill="1" applyBorder="1"/>
    <xf numFmtId="1" fontId="2" fillId="6" borderId="0" xfId="0" applyNumberFormat="1" applyFont="1" applyFill="1" applyBorder="1"/>
    <xf numFmtId="2" fontId="2" fillId="7" borderId="0" xfId="0" applyNumberFormat="1" applyFont="1" applyFill="1" applyBorder="1"/>
    <xf numFmtId="1" fontId="2" fillId="7" borderId="0" xfId="0" applyNumberFormat="1" applyFont="1" applyFill="1" applyBorder="1"/>
    <xf numFmtId="0" fontId="0" fillId="0" borderId="0" xfId="0" quotePrefix="1"/>
    <xf numFmtId="1" fontId="0" fillId="0" borderId="0" xfId="0" quotePrefix="1" applyNumberFormat="1"/>
    <xf numFmtId="0" fontId="0" fillId="8" borderId="0" xfId="0" applyFill="1"/>
    <xf numFmtId="0" fontId="2" fillId="8" borderId="0" xfId="0" applyFont="1" applyFill="1"/>
    <xf numFmtId="0" fontId="0" fillId="9" borderId="0" xfId="0" applyFill="1"/>
    <xf numFmtId="0" fontId="2" fillId="9" borderId="0" xfId="0" applyFont="1" applyFill="1"/>
    <xf numFmtId="171" fontId="0" fillId="0" borderId="0" xfId="0" applyNumberFormat="1"/>
    <xf numFmtId="0" fontId="2" fillId="10" borderId="0" xfId="0" applyFont="1" applyFill="1"/>
    <xf numFmtId="0" fontId="0" fillId="10" borderId="0" xfId="0" applyFill="1"/>
    <xf numFmtId="0" fontId="2" fillId="0" borderId="0" xfId="0" applyFont="1"/>
    <xf numFmtId="9" fontId="0" fillId="0" borderId="0" xfId="1" applyFont="1"/>
    <xf numFmtId="11" fontId="0" fillId="0" borderId="0" xfId="0" applyNumberFormat="1"/>
    <xf numFmtId="0" fontId="2" fillId="0" borderId="0" xfId="0" quotePrefix="1" applyFont="1"/>
    <xf numFmtId="0" fontId="0" fillId="3" borderId="0" xfId="0" applyFill="1"/>
    <xf numFmtId="2" fontId="0" fillId="0" borderId="0" xfId="0" applyNumberFormat="1" applyBorder="1"/>
    <xf numFmtId="9" fontId="0" fillId="0" borderId="0" xfId="1" applyFont="1" applyFill="1" applyBorder="1"/>
    <xf numFmtId="9" fontId="0" fillId="0" borderId="0" xfId="1" applyFont="1" applyBorder="1"/>
    <xf numFmtId="2" fontId="0" fillId="0" borderId="0" xfId="0" applyNumberFormat="1" applyFill="1" applyBorder="1"/>
    <xf numFmtId="10" fontId="0" fillId="0" borderId="0" xfId="1" applyNumberFormat="1" applyFont="1" applyBorder="1"/>
    <xf numFmtId="0" fontId="2" fillId="12" borderId="0" xfId="0" applyFont="1" applyFill="1"/>
    <xf numFmtId="0" fontId="0" fillId="12" borderId="0" xfId="0" applyFill="1"/>
    <xf numFmtId="0" fontId="0" fillId="0" borderId="0" xfId="0" applyAlignment="1">
      <alignment vertical="center" wrapText="1"/>
    </xf>
    <xf numFmtId="0" fontId="0" fillId="0" borderId="0" xfId="0" applyFill="1"/>
    <xf numFmtId="1" fontId="2" fillId="0" borderId="0" xfId="0" applyNumberFormat="1" applyFont="1" applyFill="1" applyBorder="1"/>
    <xf numFmtId="49" fontId="0" fillId="0" borderId="0" xfId="0" applyNumberFormat="1"/>
    <xf numFmtId="2" fontId="0" fillId="7" borderId="0" xfId="0" applyNumberFormat="1" applyFill="1" applyBorder="1"/>
    <xf numFmtId="1" fontId="0" fillId="0" borderId="0" xfId="0" applyNumberFormat="1" applyBorder="1"/>
    <xf numFmtId="1" fontId="0" fillId="0" borderId="0" xfId="0" applyNumberFormat="1" applyFill="1" applyBorder="1"/>
    <xf numFmtId="0" fontId="0" fillId="0" borderId="0" xfId="0" applyFont="1" applyFill="1"/>
    <xf numFmtId="0" fontId="0" fillId="0" borderId="0" xfId="0" applyFont="1"/>
    <xf numFmtId="0" fontId="0" fillId="0" borderId="0" xfId="0" applyAlignment="1">
      <alignment horizontal="center" vertical="center"/>
    </xf>
    <xf numFmtId="0" fontId="0" fillId="13" borderId="0" xfId="0" applyFill="1"/>
    <xf numFmtId="0" fontId="2" fillId="13" borderId="0" xfId="0" applyFont="1" applyFill="1"/>
    <xf numFmtId="0" fontId="2" fillId="0" borderId="0" xfId="0" applyFont="1" applyFill="1"/>
    <xf numFmtId="0" fontId="15" fillId="0" borderId="0" xfId="0" applyFont="1"/>
    <xf numFmtId="172" fontId="0" fillId="0" borderId="0" xfId="0" applyNumberFormat="1"/>
    <xf numFmtId="172" fontId="0" fillId="0" borderId="0" xfId="0" applyNumberFormat="1" applyFill="1"/>
    <xf numFmtId="1" fontId="0" fillId="0" borderId="0" xfId="0" applyNumberFormat="1" applyFill="1"/>
    <xf numFmtId="1" fontId="0" fillId="0" borderId="0" xfId="0" applyNumberFormat="1" applyFont="1" applyFill="1" applyBorder="1"/>
    <xf numFmtId="1" fontId="2" fillId="0" borderId="0" xfId="0" quotePrefix="1" applyNumberFormat="1" applyFont="1" applyFill="1" applyBorder="1"/>
    <xf numFmtId="2" fontId="0" fillId="0" borderId="0" xfId="0" applyNumberFormat="1" applyFont="1" applyFill="1" applyBorder="1"/>
    <xf numFmtId="2" fontId="2" fillId="14" borderId="0" xfId="0" applyNumberFormat="1" applyFont="1" applyFill="1" applyBorder="1"/>
    <xf numFmtId="0" fontId="0" fillId="14" borderId="0" xfId="0" applyFill="1"/>
    <xf numFmtId="1" fontId="2" fillId="14" borderId="0" xfId="0" applyNumberFormat="1" applyFont="1" applyFill="1" applyBorder="1"/>
    <xf numFmtId="173" fontId="0" fillId="0" borderId="0" xfId="0" applyNumberFormat="1"/>
    <xf numFmtId="2" fontId="0" fillId="0" borderId="0" xfId="1" applyNumberFormat="1" applyFont="1"/>
    <xf numFmtId="0" fontId="10" fillId="10" borderId="0" xfId="0" applyFont="1" applyFill="1"/>
    <xf numFmtId="174" fontId="0" fillId="0" borderId="0" xfId="0" applyNumberFormat="1"/>
    <xf numFmtId="1" fontId="2" fillId="10" borderId="0" xfId="0" applyNumberFormat="1" applyFont="1" applyFill="1"/>
    <xf numFmtId="2" fontId="2" fillId="0" borderId="0" xfId="0" applyNumberFormat="1" applyFont="1" applyFill="1"/>
    <xf numFmtId="175" fontId="0" fillId="0" borderId="0" xfId="0" applyNumberFormat="1" applyFill="1"/>
    <xf numFmtId="166" fontId="10" fillId="0" borderId="2" xfId="0" applyNumberFormat="1" applyFont="1" applyFill="1" applyBorder="1" applyAlignment="1">
      <alignment vertical="center" wrapText="1"/>
    </xf>
    <xf numFmtId="0" fontId="0" fillId="15" borderId="0" xfId="0" applyFill="1" applyAlignment="1">
      <alignment horizontal="center" vertical="center" wrapText="1"/>
    </xf>
    <xf numFmtId="0" fontId="0" fillId="2" borderId="0" xfId="0" applyFill="1" applyAlignment="1">
      <alignment horizontal="center" wrapText="1"/>
    </xf>
    <xf numFmtId="0" fontId="0" fillId="2" borderId="0" xfId="0" applyFill="1" applyAlignment="1">
      <alignment horizontal="center"/>
    </xf>
    <xf numFmtId="0" fontId="9" fillId="0" borderId="3" xfId="0" applyFont="1" applyFill="1" applyBorder="1" applyAlignment="1">
      <alignment horizontal="center"/>
    </xf>
    <xf numFmtId="0" fontId="9" fillId="0" borderId="0" xfId="0" applyFont="1" applyFill="1" applyBorder="1" applyAlignment="1">
      <alignment horizontal="center"/>
    </xf>
    <xf numFmtId="0" fontId="9" fillId="0" borderId="2" xfId="0" applyFont="1" applyFill="1" applyBorder="1" applyAlignment="1">
      <alignment horizontal="center"/>
    </xf>
    <xf numFmtId="166" fontId="10" fillId="0" borderId="3" xfId="0" applyNumberFormat="1" applyFont="1" applyFill="1" applyBorder="1" applyAlignment="1">
      <alignment horizontal="center" vertical="center" wrapText="1"/>
    </xf>
    <xf numFmtId="166" fontId="10" fillId="0" borderId="0" xfId="0" applyNumberFormat="1" applyFont="1" applyFill="1" applyBorder="1" applyAlignment="1">
      <alignment horizontal="center" vertical="center" wrapText="1"/>
    </xf>
    <xf numFmtId="166" fontId="9" fillId="0" borderId="3" xfId="0" applyNumberFormat="1" applyFont="1" applyFill="1" applyBorder="1" applyAlignment="1">
      <alignment horizontal="center"/>
    </xf>
    <xf numFmtId="166" fontId="9" fillId="0" borderId="0" xfId="0" applyNumberFormat="1" applyFont="1" applyFill="1" applyBorder="1" applyAlignment="1">
      <alignment horizontal="center"/>
    </xf>
    <xf numFmtId="166" fontId="9" fillId="0" borderId="2" xfId="0" applyNumberFormat="1" applyFont="1" applyFill="1" applyBorder="1" applyAlignment="1">
      <alignment horizontal="center"/>
    </xf>
    <xf numFmtId="0" fontId="10" fillId="0" borderId="3" xfId="0" applyFont="1" applyFill="1" applyBorder="1" applyAlignment="1">
      <alignment horizontal="center" vertical="center" wrapText="1"/>
    </xf>
    <xf numFmtId="0" fontId="10" fillId="0" borderId="0" xfId="0" applyFont="1" applyFill="1" applyBorder="1" applyAlignment="1">
      <alignment horizontal="center" vertical="center" wrapText="1"/>
    </xf>
    <xf numFmtId="0" fontId="10" fillId="0" borderId="2" xfId="0" applyFont="1" applyFill="1" applyBorder="1" applyAlignment="1">
      <alignment horizontal="center" vertical="center" wrapText="1"/>
    </xf>
    <xf numFmtId="166" fontId="9" fillId="0" borderId="4" xfId="0" applyNumberFormat="1" applyFont="1" applyFill="1" applyBorder="1" applyAlignment="1">
      <alignment horizontal="center"/>
    </xf>
    <xf numFmtId="166" fontId="10" fillId="0" borderId="2" xfId="0" applyNumberFormat="1" applyFont="1" applyFill="1" applyBorder="1" applyAlignment="1">
      <alignment horizontal="center" vertical="center" wrapText="1"/>
    </xf>
    <xf numFmtId="0" fontId="0" fillId="0" borderId="0" xfId="0" applyAlignment="1">
      <alignment horizontal="center" vertical="center"/>
    </xf>
    <xf numFmtId="0" fontId="2" fillId="11" borderId="0" xfId="0" applyFont="1" applyFill="1" applyAlignment="1">
      <alignment horizontal="center" vertical="center"/>
    </xf>
    <xf numFmtId="2" fontId="0" fillId="0" borderId="0" xfId="0" applyNumberFormat="1" applyBorder="1" applyAlignment="1">
      <alignment horizontal="center" vertical="center"/>
    </xf>
    <xf numFmtId="3" fontId="0" fillId="0" borderId="0" xfId="0" applyNumberFormat="1" applyAlignment="1">
      <alignment horizontal="center" vertical="center"/>
    </xf>
    <xf numFmtId="0" fontId="0" fillId="0" borderId="0" xfId="0" applyAlignment="1">
      <alignment horizontal="center" vertical="center" wrapText="1"/>
    </xf>
  </cellXfs>
  <cellStyles count="28">
    <cellStyle name="Comma [0] 2" xfId="2"/>
    <cellStyle name="Comma 10" xfId="3"/>
    <cellStyle name="Comma 11" xfId="4"/>
    <cellStyle name="Comma 2" xfId="5"/>
    <cellStyle name="Comma 2 2" xfId="6"/>
    <cellStyle name="Comma 3" xfId="7"/>
    <cellStyle name="Comma 7" xfId="8"/>
    <cellStyle name="Comma 8" xfId="9"/>
    <cellStyle name="Comma 9" xfId="10"/>
    <cellStyle name="Dezimal [0] 2" xfId="11"/>
    <cellStyle name="format cells" xfId="12"/>
    <cellStyle name="Hyperlink" xfId="27" builtinId="8"/>
    <cellStyle name="Komma 2" xfId="13"/>
    <cellStyle name="Normal 18" xfId="14"/>
    <cellStyle name="Normal 2" xfId="15"/>
    <cellStyle name="Normal 2 2" xfId="16"/>
    <cellStyle name="Normal 2 3" xfId="17"/>
    <cellStyle name="Normal 3" xfId="18"/>
    <cellStyle name="Normal 3 2" xfId="19"/>
    <cellStyle name="Normal 4" xfId="20"/>
    <cellStyle name="Normal 4 2" xfId="21"/>
    <cellStyle name="Normal 5" xfId="22"/>
    <cellStyle name="Normal 6" xfId="23"/>
    <cellStyle name="Normal 9" xfId="24"/>
    <cellStyle name="Prozent" xfId="1" builtinId="5"/>
    <cellStyle name="Standard" xfId="0" builtinId="0"/>
    <cellStyle name="Standard 2" xfId="25"/>
    <cellStyle name="Standard 3" xfId="26"/>
  </cellStyles>
  <dxfs count="1">
    <dxf>
      <fill>
        <patternFill>
          <bgColor rgb="FF92D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a="http://schemas.openxmlformats.org/drawingml/2006/main">
  <xdr:twoCellAnchor editAs="oneCell">
    <xdr:from>
      <xdr:col>24</xdr:col>
      <xdr:colOff>727362</xdr:colOff>
      <xdr:row>50</xdr:row>
      <xdr:rowOff>69273</xdr:rowOff>
    </xdr:from>
    <xdr:to>
      <xdr:col>37</xdr:col>
      <xdr:colOff>710045</xdr:colOff>
      <xdr:row>115</xdr:row>
      <xdr:rowOff>145033</xdr:rowOff>
    </xdr:to>
    <xdr:pic>
      <xdr:nvPicPr>
        <xdr:cNvPr id="2" name="Grafik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2159862" y="9594273"/>
          <a:ext cx="9888683" cy="124582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printerSettings" Target="../printerSettings/printerSettings2.bin"/><Relationship Id="rId1" Type="http://schemas.openxmlformats.org/officeDocument/2006/relationships/hyperlink" Target="http://www.sd-report.lonmin./" TargetMode="Externa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4"/>
  <sheetViews>
    <sheetView topLeftCell="A25" workbookViewId="0">
      <selection activeCell="Q13" sqref="Q13"/>
    </sheetView>
  </sheetViews>
  <sheetFormatPr baseColWidth="10" defaultRowHeight="15" x14ac:dyDescent="0.25"/>
  <sheetData>
    <row r="1" spans="1:14" ht="59.25" customHeight="1" x14ac:dyDescent="0.25">
      <c r="A1" s="106" t="s">
        <v>375</v>
      </c>
      <c r="B1" s="107"/>
      <c r="C1" s="107"/>
      <c r="D1" s="107"/>
      <c r="E1" s="107"/>
      <c r="F1" s="107"/>
      <c r="G1" s="107"/>
      <c r="H1" s="107"/>
      <c r="I1" s="107"/>
      <c r="J1" s="107"/>
      <c r="K1" s="107"/>
      <c r="L1" s="107"/>
      <c r="M1" s="107"/>
      <c r="N1" s="107"/>
    </row>
    <row r="2" spans="1:14" x14ac:dyDescent="0.25">
      <c r="A2" s="105" t="s">
        <v>376</v>
      </c>
      <c r="B2" s="105"/>
      <c r="C2" s="105"/>
      <c r="D2" s="105"/>
      <c r="E2" s="105"/>
      <c r="F2" s="105"/>
      <c r="G2" s="105"/>
      <c r="H2" s="105"/>
      <c r="I2" s="105"/>
      <c r="J2" s="105"/>
      <c r="K2" s="105"/>
      <c r="L2" s="105"/>
      <c r="M2" s="105"/>
      <c r="N2" s="105"/>
    </row>
    <row r="3" spans="1:14" x14ac:dyDescent="0.25">
      <c r="A3" s="105"/>
      <c r="B3" s="105"/>
      <c r="C3" s="105"/>
      <c r="D3" s="105"/>
      <c r="E3" s="105"/>
      <c r="F3" s="105"/>
      <c r="G3" s="105"/>
      <c r="H3" s="105"/>
      <c r="I3" s="105"/>
      <c r="J3" s="105"/>
      <c r="K3" s="105"/>
      <c r="L3" s="105"/>
      <c r="M3" s="105"/>
      <c r="N3" s="105"/>
    </row>
    <row r="4" spans="1:14" x14ac:dyDescent="0.25">
      <c r="A4" s="105"/>
      <c r="B4" s="105"/>
      <c r="C4" s="105"/>
      <c r="D4" s="105"/>
      <c r="E4" s="105"/>
      <c r="F4" s="105"/>
      <c r="G4" s="105"/>
      <c r="H4" s="105"/>
      <c r="I4" s="105"/>
      <c r="J4" s="105"/>
      <c r="K4" s="105"/>
      <c r="L4" s="105"/>
      <c r="M4" s="105"/>
      <c r="N4" s="105"/>
    </row>
    <row r="5" spans="1:14" x14ac:dyDescent="0.25">
      <c r="A5" s="105"/>
      <c r="B5" s="105"/>
      <c r="C5" s="105"/>
      <c r="D5" s="105"/>
      <c r="E5" s="105"/>
      <c r="F5" s="105"/>
      <c r="G5" s="105"/>
      <c r="H5" s="105"/>
      <c r="I5" s="105"/>
      <c r="J5" s="105"/>
      <c r="K5" s="105"/>
      <c r="L5" s="105"/>
      <c r="M5" s="105"/>
      <c r="N5" s="105"/>
    </row>
    <row r="6" spans="1:14" x14ac:dyDescent="0.25">
      <c r="A6" s="105"/>
      <c r="B6" s="105"/>
      <c r="C6" s="105"/>
      <c r="D6" s="105"/>
      <c r="E6" s="105"/>
      <c r="F6" s="105"/>
      <c r="G6" s="105"/>
      <c r="H6" s="105"/>
      <c r="I6" s="105"/>
      <c r="J6" s="105"/>
      <c r="K6" s="105"/>
      <c r="L6" s="105"/>
      <c r="M6" s="105"/>
      <c r="N6" s="105"/>
    </row>
    <row r="7" spans="1:14" x14ac:dyDescent="0.25">
      <c r="A7" s="105"/>
      <c r="B7" s="105"/>
      <c r="C7" s="105"/>
      <c r="D7" s="105"/>
      <c r="E7" s="105"/>
      <c r="F7" s="105"/>
      <c r="G7" s="105"/>
      <c r="H7" s="105"/>
      <c r="I7" s="105"/>
      <c r="J7" s="105"/>
      <c r="K7" s="105"/>
      <c r="L7" s="105"/>
      <c r="M7" s="105"/>
      <c r="N7" s="105"/>
    </row>
    <row r="8" spans="1:14" x14ac:dyDescent="0.25">
      <c r="A8" s="105"/>
      <c r="B8" s="105"/>
      <c r="C8" s="105"/>
      <c r="D8" s="105"/>
      <c r="E8" s="105"/>
      <c r="F8" s="105"/>
      <c r="G8" s="105"/>
      <c r="H8" s="105"/>
      <c r="I8" s="105"/>
      <c r="J8" s="105"/>
      <c r="K8" s="105"/>
      <c r="L8" s="105"/>
      <c r="M8" s="105"/>
      <c r="N8" s="105"/>
    </row>
    <row r="9" spans="1:14" x14ac:dyDescent="0.25">
      <c r="A9" s="105"/>
      <c r="B9" s="105"/>
      <c r="C9" s="105"/>
      <c r="D9" s="105"/>
      <c r="E9" s="105"/>
      <c r="F9" s="105"/>
      <c r="G9" s="105"/>
      <c r="H9" s="105"/>
      <c r="I9" s="105"/>
      <c r="J9" s="105"/>
      <c r="K9" s="105"/>
      <c r="L9" s="105"/>
      <c r="M9" s="105"/>
      <c r="N9" s="105"/>
    </row>
    <row r="10" spans="1:14" x14ac:dyDescent="0.25">
      <c r="A10" s="105"/>
      <c r="B10" s="105"/>
      <c r="C10" s="105"/>
      <c r="D10" s="105"/>
      <c r="E10" s="105"/>
      <c r="F10" s="105"/>
      <c r="G10" s="105"/>
      <c r="H10" s="105"/>
      <c r="I10" s="105"/>
      <c r="J10" s="105"/>
      <c r="K10" s="105"/>
      <c r="L10" s="105"/>
      <c r="M10" s="105"/>
      <c r="N10" s="105"/>
    </row>
    <row r="11" spans="1:14" x14ac:dyDescent="0.25">
      <c r="A11" s="105"/>
      <c r="B11" s="105"/>
      <c r="C11" s="105"/>
      <c r="D11" s="105"/>
      <c r="E11" s="105"/>
      <c r="F11" s="105"/>
      <c r="G11" s="105"/>
      <c r="H11" s="105"/>
      <c r="I11" s="105"/>
      <c r="J11" s="105"/>
      <c r="K11" s="105"/>
      <c r="L11" s="105"/>
      <c r="M11" s="105"/>
      <c r="N11" s="105"/>
    </row>
    <row r="12" spans="1:14" x14ac:dyDescent="0.25">
      <c r="A12" s="105"/>
      <c r="B12" s="105"/>
      <c r="C12" s="105"/>
      <c r="D12" s="105"/>
      <c r="E12" s="105"/>
      <c r="F12" s="105"/>
      <c r="G12" s="105"/>
      <c r="H12" s="105"/>
      <c r="I12" s="105"/>
      <c r="J12" s="105"/>
      <c r="K12" s="105"/>
      <c r="L12" s="105"/>
      <c r="M12" s="105"/>
      <c r="N12" s="105"/>
    </row>
    <row r="13" spans="1:14" x14ac:dyDescent="0.25">
      <c r="A13" s="105"/>
      <c r="B13" s="105"/>
      <c r="C13" s="105"/>
      <c r="D13" s="105"/>
      <c r="E13" s="105"/>
      <c r="F13" s="105"/>
      <c r="G13" s="105"/>
      <c r="H13" s="105"/>
      <c r="I13" s="105"/>
      <c r="J13" s="105"/>
      <c r="K13" s="105"/>
      <c r="L13" s="105"/>
      <c r="M13" s="105"/>
      <c r="N13" s="105"/>
    </row>
    <row r="14" spans="1:14" x14ac:dyDescent="0.25">
      <c r="A14" s="105"/>
      <c r="B14" s="105"/>
      <c r="C14" s="105"/>
      <c r="D14" s="105"/>
      <c r="E14" s="105"/>
      <c r="F14" s="105"/>
      <c r="G14" s="105"/>
      <c r="H14" s="105"/>
      <c r="I14" s="105"/>
      <c r="J14" s="105"/>
      <c r="K14" s="105"/>
      <c r="L14" s="105"/>
      <c r="M14" s="105"/>
      <c r="N14" s="105"/>
    </row>
    <row r="15" spans="1:14" x14ac:dyDescent="0.25">
      <c r="A15" s="105"/>
      <c r="B15" s="105"/>
      <c r="C15" s="105"/>
      <c r="D15" s="105"/>
      <c r="E15" s="105"/>
      <c r="F15" s="105"/>
      <c r="G15" s="105"/>
      <c r="H15" s="105"/>
      <c r="I15" s="105"/>
      <c r="J15" s="105"/>
      <c r="K15" s="105"/>
      <c r="L15" s="105"/>
      <c r="M15" s="105"/>
      <c r="N15" s="105"/>
    </row>
    <row r="16" spans="1:14" x14ac:dyDescent="0.25">
      <c r="A16" s="105"/>
      <c r="B16" s="105"/>
      <c r="C16" s="105"/>
      <c r="D16" s="105"/>
      <c r="E16" s="105"/>
      <c r="F16" s="105"/>
      <c r="G16" s="105"/>
      <c r="H16" s="105"/>
      <c r="I16" s="105"/>
      <c r="J16" s="105"/>
      <c r="K16" s="105"/>
      <c r="L16" s="105"/>
      <c r="M16" s="105"/>
      <c r="N16" s="105"/>
    </row>
    <row r="17" spans="1:14" x14ac:dyDescent="0.25">
      <c r="A17" s="105"/>
      <c r="B17" s="105"/>
      <c r="C17" s="105"/>
      <c r="D17" s="105"/>
      <c r="E17" s="105"/>
      <c r="F17" s="105"/>
      <c r="G17" s="105"/>
      <c r="H17" s="105"/>
      <c r="I17" s="105"/>
      <c r="J17" s="105"/>
      <c r="K17" s="105"/>
      <c r="L17" s="105"/>
      <c r="M17" s="105"/>
      <c r="N17" s="105"/>
    </row>
    <row r="18" spans="1:14" x14ac:dyDescent="0.25">
      <c r="A18" s="105"/>
      <c r="B18" s="105"/>
      <c r="C18" s="105"/>
      <c r="D18" s="105"/>
      <c r="E18" s="105"/>
      <c r="F18" s="105"/>
      <c r="G18" s="105"/>
      <c r="H18" s="105"/>
      <c r="I18" s="105"/>
      <c r="J18" s="105"/>
      <c r="K18" s="105"/>
      <c r="L18" s="105"/>
      <c r="M18" s="105"/>
      <c r="N18" s="105"/>
    </row>
    <row r="19" spans="1:14" x14ac:dyDescent="0.25">
      <c r="A19" s="105"/>
      <c r="B19" s="105"/>
      <c r="C19" s="105"/>
      <c r="D19" s="105"/>
      <c r="E19" s="105"/>
      <c r="F19" s="105"/>
      <c r="G19" s="105"/>
      <c r="H19" s="105"/>
      <c r="I19" s="105"/>
      <c r="J19" s="105"/>
      <c r="K19" s="105"/>
      <c r="L19" s="105"/>
      <c r="M19" s="105"/>
      <c r="N19" s="105"/>
    </row>
    <row r="20" spans="1:14" x14ac:dyDescent="0.25">
      <c r="A20" s="105"/>
      <c r="B20" s="105"/>
      <c r="C20" s="105"/>
      <c r="D20" s="105"/>
      <c r="E20" s="105"/>
      <c r="F20" s="105"/>
      <c r="G20" s="105"/>
      <c r="H20" s="105"/>
      <c r="I20" s="105"/>
      <c r="J20" s="105"/>
      <c r="K20" s="105"/>
      <c r="L20" s="105"/>
      <c r="M20" s="105"/>
      <c r="N20" s="105"/>
    </row>
    <row r="21" spans="1:14" x14ac:dyDescent="0.25">
      <c r="A21" s="105"/>
      <c r="B21" s="105"/>
      <c r="C21" s="105"/>
      <c r="D21" s="105"/>
      <c r="E21" s="105"/>
      <c r="F21" s="105"/>
      <c r="G21" s="105"/>
      <c r="H21" s="105"/>
      <c r="I21" s="105"/>
      <c r="J21" s="105"/>
      <c r="K21" s="105"/>
      <c r="L21" s="105"/>
      <c r="M21" s="105"/>
      <c r="N21" s="105"/>
    </row>
    <row r="22" spans="1:14" x14ac:dyDescent="0.25">
      <c r="A22" s="105"/>
      <c r="B22" s="105"/>
      <c r="C22" s="105"/>
      <c r="D22" s="105"/>
      <c r="E22" s="105"/>
      <c r="F22" s="105"/>
      <c r="G22" s="105"/>
      <c r="H22" s="105"/>
      <c r="I22" s="105"/>
      <c r="J22" s="105"/>
      <c r="K22" s="105"/>
      <c r="L22" s="105"/>
      <c r="M22" s="105"/>
      <c r="N22" s="105"/>
    </row>
    <row r="23" spans="1:14" x14ac:dyDescent="0.25">
      <c r="A23" s="105"/>
      <c r="B23" s="105"/>
      <c r="C23" s="105"/>
      <c r="D23" s="105"/>
      <c r="E23" s="105"/>
      <c r="F23" s="105"/>
      <c r="G23" s="105"/>
      <c r="H23" s="105"/>
      <c r="I23" s="105"/>
      <c r="J23" s="105"/>
      <c r="K23" s="105"/>
      <c r="L23" s="105"/>
      <c r="M23" s="105"/>
      <c r="N23" s="105"/>
    </row>
    <row r="24" spans="1:14" x14ac:dyDescent="0.25">
      <c r="A24" s="105"/>
      <c r="B24" s="105"/>
      <c r="C24" s="105"/>
      <c r="D24" s="105"/>
      <c r="E24" s="105"/>
      <c r="F24" s="105"/>
      <c r="G24" s="105"/>
      <c r="H24" s="105"/>
      <c r="I24" s="105"/>
      <c r="J24" s="105"/>
      <c r="K24" s="105"/>
      <c r="L24" s="105"/>
      <c r="M24" s="105"/>
      <c r="N24" s="105"/>
    </row>
    <row r="25" spans="1:14" x14ac:dyDescent="0.25">
      <c r="A25" s="105"/>
      <c r="B25" s="105"/>
      <c r="C25" s="105"/>
      <c r="D25" s="105"/>
      <c r="E25" s="105"/>
      <c r="F25" s="105"/>
      <c r="G25" s="105"/>
      <c r="H25" s="105"/>
      <c r="I25" s="105"/>
      <c r="J25" s="105"/>
      <c r="K25" s="105"/>
      <c r="L25" s="105"/>
      <c r="M25" s="105"/>
      <c r="N25" s="105"/>
    </row>
    <row r="26" spans="1:14" x14ac:dyDescent="0.25">
      <c r="A26" s="105"/>
      <c r="B26" s="105"/>
      <c r="C26" s="105"/>
      <c r="D26" s="105"/>
      <c r="E26" s="105"/>
      <c r="F26" s="105"/>
      <c r="G26" s="105"/>
      <c r="H26" s="105"/>
      <c r="I26" s="105"/>
      <c r="J26" s="105"/>
      <c r="K26" s="105"/>
      <c r="L26" s="105"/>
      <c r="M26" s="105"/>
      <c r="N26" s="105"/>
    </row>
    <row r="27" spans="1:14" x14ac:dyDescent="0.25">
      <c r="A27" s="105"/>
      <c r="B27" s="105"/>
      <c r="C27" s="105"/>
      <c r="D27" s="105"/>
      <c r="E27" s="105"/>
      <c r="F27" s="105"/>
      <c r="G27" s="105"/>
      <c r="H27" s="105"/>
      <c r="I27" s="105"/>
      <c r="J27" s="105"/>
      <c r="K27" s="105"/>
      <c r="L27" s="105"/>
      <c r="M27" s="105"/>
      <c r="N27" s="105"/>
    </row>
    <row r="28" spans="1:14" x14ac:dyDescent="0.25">
      <c r="A28" s="105"/>
      <c r="B28" s="105"/>
      <c r="C28" s="105"/>
      <c r="D28" s="105"/>
      <c r="E28" s="105"/>
      <c r="F28" s="105"/>
      <c r="G28" s="105"/>
      <c r="H28" s="105"/>
      <c r="I28" s="105"/>
      <c r="J28" s="105"/>
      <c r="K28" s="105"/>
      <c r="L28" s="105"/>
      <c r="M28" s="105"/>
      <c r="N28" s="105"/>
    </row>
    <row r="29" spans="1:14" x14ac:dyDescent="0.25">
      <c r="A29" s="105"/>
      <c r="B29" s="105"/>
      <c r="C29" s="105"/>
      <c r="D29" s="105"/>
      <c r="E29" s="105"/>
      <c r="F29" s="105"/>
      <c r="G29" s="105"/>
      <c r="H29" s="105"/>
      <c r="I29" s="105"/>
      <c r="J29" s="105"/>
      <c r="K29" s="105"/>
      <c r="L29" s="105"/>
      <c r="M29" s="105"/>
      <c r="N29" s="105"/>
    </row>
    <row r="30" spans="1:14" x14ac:dyDescent="0.25">
      <c r="A30" s="105"/>
      <c r="B30" s="105"/>
      <c r="C30" s="105"/>
      <c r="D30" s="105"/>
      <c r="E30" s="105"/>
      <c r="F30" s="105"/>
      <c r="G30" s="105"/>
      <c r="H30" s="105"/>
      <c r="I30" s="105"/>
      <c r="J30" s="105"/>
      <c r="K30" s="105"/>
      <c r="L30" s="105"/>
      <c r="M30" s="105"/>
      <c r="N30" s="105"/>
    </row>
    <row r="31" spans="1:14" x14ac:dyDescent="0.25">
      <c r="A31" s="105"/>
      <c r="B31" s="105"/>
      <c r="C31" s="105"/>
      <c r="D31" s="105"/>
      <c r="E31" s="105"/>
      <c r="F31" s="105"/>
      <c r="G31" s="105"/>
      <c r="H31" s="105"/>
      <c r="I31" s="105"/>
      <c r="J31" s="105"/>
      <c r="K31" s="105"/>
      <c r="L31" s="105"/>
      <c r="M31" s="105"/>
      <c r="N31" s="105"/>
    </row>
    <row r="32" spans="1:14" x14ac:dyDescent="0.25">
      <c r="A32" s="105"/>
      <c r="B32" s="105"/>
      <c r="C32" s="105"/>
      <c r="D32" s="105"/>
      <c r="E32" s="105"/>
      <c r="F32" s="105"/>
      <c r="G32" s="105"/>
      <c r="H32" s="105"/>
      <c r="I32" s="105"/>
      <c r="J32" s="105"/>
      <c r="K32" s="105"/>
      <c r="L32" s="105"/>
      <c r="M32" s="105"/>
      <c r="N32" s="105"/>
    </row>
    <row r="33" spans="1:14" x14ac:dyDescent="0.25">
      <c r="A33" s="105"/>
      <c r="B33" s="105"/>
      <c r="C33" s="105"/>
      <c r="D33" s="105"/>
      <c r="E33" s="105"/>
      <c r="F33" s="105"/>
      <c r="G33" s="105"/>
      <c r="H33" s="105"/>
      <c r="I33" s="105"/>
      <c r="J33" s="105"/>
      <c r="K33" s="105"/>
      <c r="L33" s="105"/>
      <c r="M33" s="105"/>
      <c r="N33" s="105"/>
    </row>
    <row r="34" spans="1:14" x14ac:dyDescent="0.25">
      <c r="A34" s="105"/>
      <c r="B34" s="105"/>
      <c r="C34" s="105"/>
      <c r="D34" s="105"/>
      <c r="E34" s="105"/>
      <c r="F34" s="105"/>
      <c r="G34" s="105"/>
      <c r="H34" s="105"/>
      <c r="I34" s="105"/>
      <c r="J34" s="105"/>
      <c r="K34" s="105"/>
      <c r="L34" s="105"/>
      <c r="M34" s="105"/>
      <c r="N34" s="105"/>
    </row>
  </sheetData>
  <mergeCells count="2">
    <mergeCell ref="A2:N34"/>
    <mergeCell ref="A1:N1"/>
  </mergeCells>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DC44"/>
  <sheetViews>
    <sheetView tabSelected="1" topLeftCell="AA30" zoomScale="70" zoomScaleNormal="70" workbookViewId="0">
      <selection activeCell="AS53" sqref="AS53"/>
    </sheetView>
  </sheetViews>
  <sheetFormatPr baseColWidth="10" defaultRowHeight="15" outlineLevelCol="1" x14ac:dyDescent="0.25"/>
  <cols>
    <col min="1" max="1" width="46.140625" style="3" bestFit="1" customWidth="1"/>
    <col min="2" max="2" width="46.140625" style="3" customWidth="1" outlineLevel="1"/>
    <col min="3" max="3" width="10.28515625" style="3" customWidth="1" outlineLevel="1"/>
    <col min="4" max="4" width="10" style="3" customWidth="1" outlineLevel="1"/>
    <col min="5" max="5" width="10.5703125" style="3" customWidth="1" outlineLevel="1"/>
    <col min="6" max="6" width="10.85546875" style="3" customWidth="1" outlineLevel="1"/>
    <col min="7" max="7" width="10.5703125" style="3" customWidth="1" outlineLevel="1"/>
    <col min="8" max="8" width="10.85546875" style="3" customWidth="1" outlineLevel="1"/>
    <col min="9" max="9" width="6.140625" style="3" customWidth="1" outlineLevel="1"/>
    <col min="10" max="12" width="6.42578125" style="3" customWidth="1" outlineLevel="1"/>
    <col min="13" max="13" width="6.140625" style="3" customWidth="1" outlineLevel="1"/>
    <col min="14" max="14" width="6.42578125" style="3" customWidth="1" outlineLevel="1"/>
    <col min="15" max="15" width="15.7109375" style="3" customWidth="1" outlineLevel="1"/>
    <col min="16" max="16" width="10" style="3" customWidth="1" outlineLevel="1"/>
    <col min="17" max="18" width="16" style="3" customWidth="1" outlineLevel="1"/>
    <col min="19" max="20" width="6.42578125" style="3" customWidth="1" outlineLevel="1"/>
    <col min="21" max="21" width="6.140625" style="3" customWidth="1" outlineLevel="1"/>
    <col min="22" max="22" width="6.42578125" style="3" customWidth="1" outlineLevel="1"/>
    <col min="23" max="24" width="23.28515625" style="3" customWidth="1" outlineLevel="1"/>
    <col min="25" max="25" width="23" style="3" customWidth="1" outlineLevel="1"/>
    <col min="26" max="26" width="23.28515625" style="3" customWidth="1" outlineLevel="1"/>
    <col min="27" max="27" width="23" style="3" customWidth="1" outlineLevel="1"/>
    <col min="28" max="28" width="23.28515625" style="3" customWidth="1" outlineLevel="1"/>
    <col min="29" max="29" width="6.140625" style="3" bestFit="1" customWidth="1"/>
    <col min="30" max="32" width="6.42578125" style="3" bestFit="1" customWidth="1"/>
    <col min="33" max="33" width="6.140625" style="3" bestFit="1" customWidth="1"/>
    <col min="34" max="34" width="6.42578125" style="7" bestFit="1" customWidth="1"/>
    <col min="35" max="35" width="6.85546875" style="29" bestFit="1" customWidth="1"/>
    <col min="36" max="36" width="7.7109375" style="3" bestFit="1" customWidth="1"/>
    <col min="37" max="39" width="8" style="3" bestFit="1" customWidth="1"/>
    <col min="40" max="40" width="7.42578125" style="3" bestFit="1" customWidth="1"/>
    <col min="41" max="41" width="8" style="3" bestFit="1" customWidth="1"/>
    <col min="42" max="42" width="11.85546875" style="3" bestFit="1" customWidth="1"/>
    <col min="43" max="43" width="16" style="3" bestFit="1" customWidth="1"/>
    <col min="44" max="44" width="26.140625" style="3" bestFit="1" customWidth="1"/>
    <col min="45" max="47" width="26.140625" style="3" customWidth="1"/>
    <col min="48" max="48" width="6.5703125" style="3" hidden="1" customWidth="1" outlineLevel="1"/>
    <col min="49" max="49" width="6.85546875" style="3" hidden="1" customWidth="1" outlineLevel="1"/>
    <col min="50" max="50" width="6.5703125" style="3" hidden="1" customWidth="1" outlineLevel="1"/>
    <col min="51" max="52" width="6.85546875" style="3" hidden="1" customWidth="1" outlineLevel="1"/>
    <col min="53" max="53" width="7.42578125" style="3" hidden="1" customWidth="1" outlineLevel="1"/>
    <col min="54" max="54" width="6.140625" style="3" hidden="1" customWidth="1" outlineLevel="1"/>
    <col min="55" max="57" width="6.42578125" style="3" hidden="1" customWidth="1" outlineLevel="1"/>
    <col min="58" max="58" width="6.140625" style="3" hidden="1" customWidth="1" outlineLevel="1"/>
    <col min="59" max="59" width="6.42578125" style="3" hidden="1" customWidth="1" outlineLevel="1"/>
    <col min="60" max="60" width="8.42578125" style="3" hidden="1" customWidth="1" outlineLevel="1"/>
    <col min="61" max="61" width="8.140625" style="3" hidden="1" customWidth="1" outlineLevel="1"/>
    <col min="62" max="62" width="8.42578125" style="3" hidden="1" customWidth="1" outlineLevel="1"/>
    <col min="63" max="63" width="8.7109375" style="3" hidden="1" customWidth="1" outlineLevel="1"/>
    <col min="64" max="64" width="8.42578125" style="3" hidden="1" customWidth="1" outlineLevel="1"/>
    <col min="65" max="65" width="8.7109375" style="3" hidden="1" customWidth="1" outlineLevel="1"/>
    <col min="66" max="66" width="7.42578125" style="3" hidden="1" customWidth="1" outlineLevel="1"/>
    <col min="67" max="67" width="7.7109375" style="3" hidden="1" customWidth="1" outlineLevel="1"/>
    <col min="68" max="71" width="7.42578125" style="3" hidden="1" customWidth="1" outlineLevel="1"/>
    <col min="72" max="72" width="8.42578125" style="3" hidden="1" customWidth="1" outlineLevel="1"/>
    <col min="73" max="73" width="8.140625" style="3" hidden="1" customWidth="1" outlineLevel="1"/>
    <col min="74" max="74" width="8.42578125" style="3" hidden="1" customWidth="1" outlineLevel="1"/>
    <col min="75" max="75" width="8.7109375" style="3" hidden="1" customWidth="1" outlineLevel="1"/>
    <col min="76" max="76" width="8.42578125" style="3" hidden="1" customWidth="1" outlineLevel="1"/>
    <col min="77" max="77" width="8.7109375" style="3" hidden="1" customWidth="1" outlineLevel="1"/>
    <col min="78" max="78" width="6.140625" style="3" hidden="1" customWidth="1" outlineLevel="1"/>
    <col min="79" max="81" width="6.42578125" style="3" hidden="1" customWidth="1" outlineLevel="1"/>
    <col min="82" max="82" width="6.140625" style="3" hidden="1" customWidth="1" outlineLevel="1"/>
    <col min="83" max="83" width="5.85546875" style="3" hidden="1" customWidth="1" outlineLevel="1"/>
    <col min="84" max="84" width="8.140625" style="3" bestFit="1" customWidth="1" collapsed="1"/>
    <col min="85" max="87" width="8.7109375" style="3" bestFit="1" customWidth="1"/>
    <col min="88" max="88" width="33.42578125" style="3" bestFit="1" customWidth="1"/>
    <col min="89" max="89" width="8.140625" style="3" bestFit="1" customWidth="1"/>
    <col min="90" max="95" width="16" style="3" bestFit="1" customWidth="1"/>
    <col min="96" max="96" width="11" style="3" bestFit="1" customWidth="1"/>
    <col min="97" max="98" width="11.28515625" style="3" bestFit="1" customWidth="1"/>
    <col min="99" max="100" width="11" style="3" bestFit="1" customWidth="1"/>
    <col min="101" max="101" width="11.28515625" style="3" bestFit="1" customWidth="1"/>
    <col min="102" max="102" width="11" style="3" bestFit="1" customWidth="1"/>
    <col min="103" max="107" width="11.28515625" style="3" bestFit="1" customWidth="1"/>
    <col min="108" max="16384" width="11.42578125" style="3"/>
  </cols>
  <sheetData>
    <row r="1" spans="1:107" ht="45" customHeight="1" x14ac:dyDescent="0.25">
      <c r="A1" s="1"/>
      <c r="B1" s="1"/>
      <c r="C1" s="112" t="s">
        <v>0</v>
      </c>
      <c r="D1" s="112"/>
      <c r="E1" s="112"/>
      <c r="F1" s="112"/>
      <c r="G1" s="112"/>
      <c r="H1" s="112"/>
      <c r="I1" s="112" t="s">
        <v>387</v>
      </c>
      <c r="J1" s="112"/>
      <c r="K1" s="112"/>
      <c r="L1" s="112"/>
      <c r="M1" s="112"/>
      <c r="N1" s="112"/>
      <c r="O1" s="2" t="s">
        <v>2</v>
      </c>
      <c r="P1" s="2" t="s">
        <v>3</v>
      </c>
      <c r="Q1" s="112" t="s">
        <v>4</v>
      </c>
      <c r="R1" s="112"/>
      <c r="S1" s="112"/>
      <c r="T1" s="112"/>
      <c r="U1" s="112"/>
      <c r="V1" s="112"/>
      <c r="W1" s="112" t="s">
        <v>5</v>
      </c>
      <c r="X1" s="112"/>
      <c r="Y1" s="112"/>
      <c r="Z1" s="112"/>
      <c r="AA1" s="112"/>
      <c r="AB1" s="120"/>
      <c r="AC1" s="111" t="s">
        <v>377</v>
      </c>
      <c r="AD1" s="112"/>
      <c r="AE1" s="112"/>
      <c r="AF1" s="112"/>
      <c r="AG1" s="112"/>
      <c r="AH1" s="112"/>
      <c r="AI1" s="112"/>
      <c r="AJ1" s="112"/>
      <c r="AK1" s="112"/>
      <c r="AL1" s="112"/>
      <c r="AM1" s="112"/>
      <c r="AN1" s="112"/>
      <c r="AO1" s="120"/>
      <c r="AP1" s="111" t="s">
        <v>377</v>
      </c>
      <c r="AQ1" s="112"/>
      <c r="AR1" s="112"/>
      <c r="AS1" s="112"/>
      <c r="AT1" s="112"/>
      <c r="AU1" s="112"/>
      <c r="AV1" s="5" t="s">
        <v>378</v>
      </c>
      <c r="AW1" s="5"/>
      <c r="AX1" s="5"/>
      <c r="AY1" s="5"/>
      <c r="AZ1" s="5"/>
      <c r="BA1" s="5"/>
      <c r="BB1" s="5"/>
      <c r="BC1" s="5"/>
      <c r="BD1" s="5"/>
      <c r="BE1" s="5"/>
      <c r="BF1" s="5"/>
      <c r="BG1" s="104"/>
      <c r="BH1" s="111" t="s">
        <v>379</v>
      </c>
      <c r="BI1" s="112"/>
      <c r="BJ1" s="112"/>
      <c r="BK1" s="112"/>
      <c r="BL1" s="112"/>
      <c r="BM1" s="112"/>
      <c r="BN1" s="112"/>
      <c r="BO1" s="112"/>
      <c r="BP1" s="112"/>
      <c r="BQ1" s="112"/>
      <c r="BR1" s="112"/>
      <c r="BS1" s="120"/>
      <c r="BT1" s="111" t="s">
        <v>380</v>
      </c>
      <c r="BU1" s="112"/>
      <c r="BV1" s="112"/>
      <c r="BW1" s="112"/>
      <c r="BX1" s="112"/>
      <c r="BY1" s="112"/>
      <c r="BZ1" s="112"/>
      <c r="CA1" s="112"/>
      <c r="CB1" s="112"/>
      <c r="CC1" s="112"/>
      <c r="CD1" s="112"/>
      <c r="CE1" s="120"/>
      <c r="CF1" s="111" t="s">
        <v>383</v>
      </c>
      <c r="CG1" s="112"/>
      <c r="CH1" s="112"/>
      <c r="CI1" s="112"/>
      <c r="CJ1" s="112"/>
      <c r="CK1" s="112"/>
      <c r="CL1" s="112"/>
      <c r="CM1" s="112"/>
      <c r="CN1" s="112"/>
      <c r="CO1" s="112"/>
      <c r="CP1" s="112"/>
      <c r="CQ1" s="120"/>
      <c r="CR1" s="116" t="s">
        <v>6</v>
      </c>
      <c r="CS1" s="117"/>
      <c r="CT1" s="117"/>
      <c r="CU1" s="117"/>
      <c r="CV1" s="117"/>
      <c r="CW1" s="117"/>
      <c r="CX1" s="117"/>
      <c r="CY1" s="117"/>
      <c r="CZ1" s="117"/>
      <c r="DA1" s="117"/>
      <c r="DB1" s="117"/>
      <c r="DC1" s="118"/>
    </row>
    <row r="2" spans="1:107" x14ac:dyDescent="0.25">
      <c r="A2" s="4" t="s">
        <v>7</v>
      </c>
      <c r="B2" s="4"/>
      <c r="C2" s="112"/>
      <c r="D2" s="112"/>
      <c r="E2" s="112"/>
      <c r="F2" s="112"/>
      <c r="G2" s="112"/>
      <c r="H2" s="112"/>
      <c r="I2" s="112"/>
      <c r="J2" s="112"/>
      <c r="K2" s="112"/>
      <c r="L2" s="112"/>
      <c r="M2" s="112"/>
      <c r="N2" s="112"/>
      <c r="O2" s="2"/>
      <c r="P2" s="2"/>
      <c r="Q2" s="119" t="s">
        <v>8</v>
      </c>
      <c r="R2" s="119"/>
      <c r="S2" s="119"/>
      <c r="T2" s="119"/>
      <c r="U2" s="119"/>
      <c r="V2" s="119"/>
      <c r="W2" s="5"/>
      <c r="X2" s="112" t="s">
        <v>9</v>
      </c>
      <c r="Y2" s="112"/>
      <c r="Z2" s="112"/>
      <c r="AA2" s="112"/>
      <c r="AB2" s="120"/>
      <c r="AC2" s="113" t="s">
        <v>10</v>
      </c>
      <c r="AD2" s="114"/>
      <c r="AE2" s="114"/>
      <c r="AF2" s="114"/>
      <c r="AG2" s="114"/>
      <c r="AH2" s="114"/>
      <c r="AI2" s="6"/>
      <c r="AJ2" s="113" t="s">
        <v>384</v>
      </c>
      <c r="AK2" s="114"/>
      <c r="AL2" s="114"/>
      <c r="AM2" s="114"/>
      <c r="AN2" s="114"/>
      <c r="AO2" s="115"/>
      <c r="AP2" s="113" t="s">
        <v>382</v>
      </c>
      <c r="AQ2" s="114"/>
      <c r="AR2" s="114"/>
      <c r="AS2" s="114"/>
      <c r="AT2" s="114"/>
      <c r="AU2" s="115"/>
      <c r="AV2" s="113" t="s">
        <v>11</v>
      </c>
      <c r="AW2" s="114"/>
      <c r="AX2" s="114"/>
      <c r="AY2" s="114"/>
      <c r="AZ2" s="114"/>
      <c r="BA2" s="114"/>
      <c r="BB2" s="114" t="s">
        <v>13</v>
      </c>
      <c r="BC2" s="114"/>
      <c r="BD2" s="114"/>
      <c r="BE2" s="114"/>
      <c r="BF2" s="114"/>
      <c r="BG2" s="115"/>
      <c r="BH2" s="113" t="s">
        <v>11</v>
      </c>
      <c r="BI2" s="114"/>
      <c r="BJ2" s="114"/>
      <c r="BK2" s="114"/>
      <c r="BL2" s="114"/>
      <c r="BM2" s="114"/>
      <c r="BN2" s="114" t="s">
        <v>13</v>
      </c>
      <c r="BO2" s="114"/>
      <c r="BP2" s="114"/>
      <c r="BQ2" s="114"/>
      <c r="BR2" s="114"/>
      <c r="BS2" s="115"/>
      <c r="BT2" s="113" t="s">
        <v>11</v>
      </c>
      <c r="BU2" s="114"/>
      <c r="BV2" s="114"/>
      <c r="BW2" s="114"/>
      <c r="BX2" s="114"/>
      <c r="BY2" s="114"/>
      <c r="BZ2" s="114" t="s">
        <v>381</v>
      </c>
      <c r="CA2" s="114"/>
      <c r="CB2" s="114"/>
      <c r="CC2" s="114"/>
      <c r="CD2" s="114"/>
      <c r="CE2" s="115"/>
      <c r="CF2" s="113" t="s">
        <v>12</v>
      </c>
      <c r="CG2" s="114"/>
      <c r="CH2" s="114"/>
      <c r="CI2" s="114"/>
      <c r="CJ2" s="114"/>
      <c r="CK2" s="114"/>
      <c r="CL2" s="114" t="s">
        <v>385</v>
      </c>
      <c r="CM2" s="114"/>
      <c r="CN2" s="114"/>
      <c r="CO2" s="114"/>
      <c r="CP2" s="114"/>
      <c r="CQ2" s="115"/>
      <c r="CR2" s="108" t="s">
        <v>15</v>
      </c>
      <c r="CS2" s="109"/>
      <c r="CT2" s="109"/>
      <c r="CU2" s="109"/>
      <c r="CV2" s="109"/>
      <c r="CW2" s="109"/>
      <c r="CX2" s="109" t="s">
        <v>386</v>
      </c>
      <c r="CY2" s="109"/>
      <c r="CZ2" s="109"/>
      <c r="DA2" s="109"/>
      <c r="DB2" s="109"/>
      <c r="DC2" s="110"/>
    </row>
    <row r="3" spans="1:107" s="12" customFormat="1" x14ac:dyDescent="0.25">
      <c r="A3" s="8"/>
      <c r="B3" s="9" t="s">
        <v>16</v>
      </c>
      <c r="C3" s="9">
        <v>2015</v>
      </c>
      <c r="D3" s="9">
        <v>2014</v>
      </c>
      <c r="E3" s="9">
        <v>2013</v>
      </c>
      <c r="F3" s="9">
        <v>2012</v>
      </c>
      <c r="G3" s="9">
        <v>2011</v>
      </c>
      <c r="H3" s="9">
        <v>2010</v>
      </c>
      <c r="I3" s="9">
        <v>2015</v>
      </c>
      <c r="J3" s="9">
        <v>2014</v>
      </c>
      <c r="K3" s="9">
        <v>2013</v>
      </c>
      <c r="L3" s="9">
        <v>2012</v>
      </c>
      <c r="M3" s="9">
        <v>2011</v>
      </c>
      <c r="N3" s="9">
        <v>2010</v>
      </c>
      <c r="O3" s="9" t="s">
        <v>2</v>
      </c>
      <c r="P3" s="9" t="s">
        <v>17</v>
      </c>
      <c r="Q3" s="9">
        <v>2015</v>
      </c>
      <c r="R3" s="9">
        <v>2014</v>
      </c>
      <c r="S3" s="9">
        <v>2013</v>
      </c>
      <c r="T3" s="9">
        <v>2012</v>
      </c>
      <c r="U3" s="9">
        <v>2011</v>
      </c>
      <c r="V3" s="9">
        <v>2010</v>
      </c>
      <c r="W3" s="9">
        <v>2015</v>
      </c>
      <c r="X3" s="9">
        <v>2014</v>
      </c>
      <c r="Y3" s="9">
        <v>2013</v>
      </c>
      <c r="Z3" s="9">
        <v>2012</v>
      </c>
      <c r="AA3" s="9">
        <v>2011</v>
      </c>
      <c r="AB3" s="10">
        <v>2010</v>
      </c>
      <c r="AC3" s="11">
        <v>2015</v>
      </c>
      <c r="AD3" s="9">
        <v>2014</v>
      </c>
      <c r="AE3" s="9">
        <v>2013</v>
      </c>
      <c r="AF3" s="9">
        <v>2012</v>
      </c>
      <c r="AG3" s="9">
        <v>2011</v>
      </c>
      <c r="AH3" s="9">
        <v>2010</v>
      </c>
      <c r="AI3" s="10" t="s">
        <v>18</v>
      </c>
      <c r="AJ3" s="9">
        <v>2015</v>
      </c>
      <c r="AK3" s="9">
        <v>2014</v>
      </c>
      <c r="AL3" s="9">
        <v>2013</v>
      </c>
      <c r="AM3" s="9">
        <v>2012</v>
      </c>
      <c r="AN3" s="9">
        <v>2011</v>
      </c>
      <c r="AO3" s="10">
        <v>2010</v>
      </c>
      <c r="AP3" s="9">
        <v>2015</v>
      </c>
      <c r="AQ3" s="9">
        <v>2014</v>
      </c>
      <c r="AR3" s="9">
        <v>2013</v>
      </c>
      <c r="AS3" s="9">
        <v>2012</v>
      </c>
      <c r="AT3" s="9">
        <v>2011</v>
      </c>
      <c r="AU3" s="10">
        <v>2010</v>
      </c>
      <c r="AV3" s="9">
        <v>2015</v>
      </c>
      <c r="AW3" s="9">
        <v>2014</v>
      </c>
      <c r="AX3" s="9">
        <v>2013</v>
      </c>
      <c r="AY3" s="9">
        <v>2012</v>
      </c>
      <c r="AZ3" s="9">
        <v>2011</v>
      </c>
      <c r="BA3" s="10">
        <v>2010</v>
      </c>
      <c r="BB3" s="9">
        <v>2015</v>
      </c>
      <c r="BC3" s="9">
        <v>2014</v>
      </c>
      <c r="BD3" s="9">
        <v>2013</v>
      </c>
      <c r="BE3" s="9">
        <v>2012</v>
      </c>
      <c r="BF3" s="9">
        <v>2011</v>
      </c>
      <c r="BG3" s="10">
        <v>2010</v>
      </c>
      <c r="BH3" s="11">
        <v>2015</v>
      </c>
      <c r="BI3" s="9">
        <v>2014</v>
      </c>
      <c r="BJ3" s="9">
        <v>2013</v>
      </c>
      <c r="BK3" s="9">
        <v>2012</v>
      </c>
      <c r="BL3" s="9">
        <v>2011</v>
      </c>
      <c r="BM3" s="10">
        <v>2010</v>
      </c>
      <c r="BN3" s="9">
        <v>2015</v>
      </c>
      <c r="BO3" s="9">
        <v>2014</v>
      </c>
      <c r="BP3" s="9">
        <v>2013</v>
      </c>
      <c r="BQ3" s="9">
        <v>2012</v>
      </c>
      <c r="BR3" s="9">
        <v>2011</v>
      </c>
      <c r="BS3" s="10">
        <v>2010</v>
      </c>
      <c r="BT3" s="11">
        <v>2015</v>
      </c>
      <c r="BU3" s="9">
        <v>2014</v>
      </c>
      <c r="BV3" s="9">
        <v>2013</v>
      </c>
      <c r="BW3" s="9">
        <v>2012</v>
      </c>
      <c r="BX3" s="9">
        <v>2011</v>
      </c>
      <c r="BY3" s="10">
        <v>2010</v>
      </c>
      <c r="BZ3" s="9">
        <v>2015</v>
      </c>
      <c r="CA3" s="9">
        <v>2014</v>
      </c>
      <c r="CB3" s="9">
        <v>2013</v>
      </c>
      <c r="CC3" s="9">
        <v>2012</v>
      </c>
      <c r="CD3" s="9">
        <v>2011</v>
      </c>
      <c r="CE3" s="10">
        <v>2010</v>
      </c>
      <c r="CF3" s="11">
        <v>2015</v>
      </c>
      <c r="CG3" s="9">
        <v>2014</v>
      </c>
      <c r="CH3" s="9">
        <v>2013</v>
      </c>
      <c r="CI3" s="9">
        <v>2012</v>
      </c>
      <c r="CJ3" s="9">
        <v>2011</v>
      </c>
      <c r="CK3" s="10">
        <v>2010</v>
      </c>
      <c r="CL3" s="9">
        <v>2015</v>
      </c>
      <c r="CM3" s="9">
        <v>2014</v>
      </c>
      <c r="CN3" s="9">
        <v>2013</v>
      </c>
      <c r="CO3" s="9">
        <v>2012</v>
      </c>
      <c r="CP3" s="9">
        <v>2011</v>
      </c>
      <c r="CQ3" s="10">
        <v>2010</v>
      </c>
      <c r="CR3" s="11">
        <v>2015</v>
      </c>
      <c r="CS3" s="9">
        <v>2014</v>
      </c>
      <c r="CT3" s="9">
        <v>2013</v>
      </c>
      <c r="CU3" s="9">
        <v>2012</v>
      </c>
      <c r="CV3" s="9">
        <v>2011</v>
      </c>
      <c r="CW3" s="10">
        <v>2010</v>
      </c>
      <c r="CX3" s="9">
        <v>2015</v>
      </c>
      <c r="CY3" s="9">
        <v>2014</v>
      </c>
      <c r="CZ3" s="9">
        <v>2013</v>
      </c>
      <c r="DA3" s="9">
        <v>2012</v>
      </c>
      <c r="DB3" s="9">
        <v>2011</v>
      </c>
      <c r="DC3" s="10">
        <v>2010</v>
      </c>
    </row>
    <row r="4" spans="1:107" x14ac:dyDescent="0.25">
      <c r="A4" s="13" t="s">
        <v>19</v>
      </c>
      <c r="B4" s="13"/>
      <c r="C4" s="1"/>
      <c r="D4" s="1"/>
      <c r="E4" s="1"/>
      <c r="F4" s="1"/>
      <c r="G4" s="1"/>
      <c r="H4" s="1"/>
      <c r="I4" s="1"/>
      <c r="J4" s="1"/>
      <c r="K4" s="1"/>
      <c r="L4" s="1"/>
      <c r="M4" s="1"/>
      <c r="N4" s="1"/>
      <c r="O4" s="1"/>
      <c r="P4" s="1"/>
      <c r="Q4" s="1"/>
      <c r="R4" s="1"/>
      <c r="S4" s="1"/>
      <c r="T4" s="1"/>
      <c r="U4" s="1"/>
      <c r="V4" s="1"/>
      <c r="W4" s="14"/>
      <c r="X4" s="14"/>
      <c r="Y4" s="14"/>
      <c r="Z4" s="14"/>
      <c r="AA4" s="14"/>
      <c r="AB4" s="15"/>
      <c r="AC4" s="16">
        <v>0</v>
      </c>
      <c r="AD4" s="14">
        <v>0</v>
      </c>
      <c r="AE4" s="14">
        <v>0</v>
      </c>
      <c r="AF4" s="14">
        <v>0</v>
      </c>
      <c r="AG4" s="14">
        <v>0</v>
      </c>
      <c r="AH4" s="14">
        <v>0</v>
      </c>
      <c r="AI4" s="15"/>
      <c r="AJ4" s="14">
        <v>0</v>
      </c>
      <c r="AK4" s="14">
        <v>0</v>
      </c>
      <c r="AL4" s="14">
        <v>0</v>
      </c>
      <c r="AM4" s="14">
        <v>0</v>
      </c>
      <c r="AN4" s="14">
        <v>0</v>
      </c>
      <c r="AO4" s="15">
        <v>0</v>
      </c>
      <c r="AP4" s="14"/>
      <c r="AQ4" s="14"/>
      <c r="AR4" s="14"/>
      <c r="AS4" s="14"/>
      <c r="AT4" s="14"/>
      <c r="AU4" s="14"/>
      <c r="AV4" s="16">
        <v>0</v>
      </c>
      <c r="AW4" s="14">
        <v>0</v>
      </c>
      <c r="AX4" s="14">
        <v>0</v>
      </c>
      <c r="AY4" s="14">
        <v>0</v>
      </c>
      <c r="AZ4" s="14">
        <v>0</v>
      </c>
      <c r="BA4" s="15">
        <v>0</v>
      </c>
      <c r="BB4" s="16">
        <v>0</v>
      </c>
      <c r="BC4" s="14">
        <v>0</v>
      </c>
      <c r="BD4" s="14">
        <v>0</v>
      </c>
      <c r="BE4" s="14">
        <v>0</v>
      </c>
      <c r="BF4" s="14">
        <v>0</v>
      </c>
      <c r="BG4" s="15">
        <v>0</v>
      </c>
      <c r="BH4" s="16">
        <v>0</v>
      </c>
      <c r="BI4" s="14">
        <v>0</v>
      </c>
      <c r="BJ4" s="14">
        <v>0</v>
      </c>
      <c r="BK4" s="14">
        <v>0</v>
      </c>
      <c r="BL4" s="14">
        <v>0</v>
      </c>
      <c r="BM4" s="17">
        <v>0</v>
      </c>
      <c r="BN4" s="16">
        <v>0</v>
      </c>
      <c r="BO4" s="14">
        <v>0</v>
      </c>
      <c r="BP4" s="14">
        <v>0</v>
      </c>
      <c r="BQ4" s="14">
        <v>0</v>
      </c>
      <c r="BR4" s="14">
        <v>0</v>
      </c>
      <c r="BS4" s="15">
        <v>0</v>
      </c>
      <c r="BT4" s="16">
        <v>0</v>
      </c>
      <c r="BU4" s="14">
        <v>0</v>
      </c>
      <c r="BV4" s="14">
        <v>0</v>
      </c>
      <c r="BW4" s="14">
        <v>0</v>
      </c>
      <c r="BX4" s="14">
        <v>0</v>
      </c>
      <c r="BY4" s="17">
        <v>0</v>
      </c>
      <c r="BZ4" s="16">
        <v>0</v>
      </c>
      <c r="CA4" s="14">
        <v>0</v>
      </c>
      <c r="CB4" s="14">
        <v>0</v>
      </c>
      <c r="CC4" s="14">
        <v>0</v>
      </c>
      <c r="CD4" s="14">
        <v>0</v>
      </c>
      <c r="CE4" s="15">
        <v>0</v>
      </c>
      <c r="CF4" s="16">
        <v>0</v>
      </c>
      <c r="CG4" s="14">
        <v>0</v>
      </c>
      <c r="CH4" s="14">
        <v>0</v>
      </c>
      <c r="CI4" s="14">
        <v>0</v>
      </c>
      <c r="CJ4" s="14">
        <v>0</v>
      </c>
      <c r="CK4" s="15">
        <v>0</v>
      </c>
      <c r="CL4" s="16">
        <v>0</v>
      </c>
      <c r="CM4" s="14">
        <v>0</v>
      </c>
      <c r="CN4" s="14">
        <v>0</v>
      </c>
      <c r="CO4" s="14">
        <v>0</v>
      </c>
      <c r="CP4" s="14">
        <v>0</v>
      </c>
      <c r="CQ4" s="15">
        <v>0</v>
      </c>
      <c r="CR4" s="18">
        <v>0</v>
      </c>
      <c r="CS4" s="19">
        <v>0</v>
      </c>
      <c r="CT4" s="19">
        <v>0</v>
      </c>
      <c r="CU4" s="19">
        <v>0</v>
      </c>
      <c r="CV4" s="19">
        <v>0</v>
      </c>
      <c r="CW4" s="20">
        <v>0</v>
      </c>
      <c r="CX4" s="18">
        <v>0</v>
      </c>
      <c r="CY4" s="19">
        <v>0</v>
      </c>
      <c r="CZ4" s="19">
        <v>0</v>
      </c>
      <c r="DA4" s="19">
        <v>0</v>
      </c>
      <c r="DB4" s="19">
        <v>0</v>
      </c>
      <c r="DC4" s="20">
        <v>0</v>
      </c>
    </row>
    <row r="5" spans="1:107" x14ac:dyDescent="0.25">
      <c r="A5" s="1" t="s">
        <v>20</v>
      </c>
      <c r="B5" s="12">
        <v>9199</v>
      </c>
      <c r="C5" s="12">
        <f>B5</f>
        <v>9199</v>
      </c>
      <c r="D5" s="12">
        <v>6183</v>
      </c>
      <c r="E5" s="12">
        <v>10897</v>
      </c>
      <c r="F5" s="12">
        <v>10654</v>
      </c>
      <c r="G5" s="12">
        <v>14054</v>
      </c>
      <c r="H5" s="12">
        <v>13531</v>
      </c>
      <c r="I5" s="1">
        <v>4.1900000000000004</v>
      </c>
      <c r="J5" s="1">
        <v>4.34</v>
      </c>
      <c r="K5" s="1">
        <v>4.32</v>
      </c>
      <c r="L5" s="1">
        <v>4.38</v>
      </c>
      <c r="M5" s="1">
        <v>4.5999999999999996</v>
      </c>
      <c r="N5" s="1">
        <v>4.5999999999999996</v>
      </c>
      <c r="O5" s="1">
        <v>1000</v>
      </c>
      <c r="P5" s="1" t="s">
        <v>21</v>
      </c>
      <c r="Q5" s="1">
        <v>53.400000000000006</v>
      </c>
      <c r="R5" s="3">
        <v>56.2</v>
      </c>
      <c r="S5" s="3">
        <v>56.099999999999994</v>
      </c>
      <c r="T5" s="3">
        <v>56.600000000000009</v>
      </c>
      <c r="U5" s="3">
        <v>57.499999999999993</v>
      </c>
      <c r="V5" s="3">
        <v>60.20000000000001</v>
      </c>
      <c r="W5" s="21">
        <v>32241.886349999997</v>
      </c>
      <c r="X5" s="21">
        <v>21712.88205</v>
      </c>
      <c r="Y5" s="21">
        <v>42178.386099999996</v>
      </c>
      <c r="Z5" s="21">
        <v>38215.125999999997</v>
      </c>
      <c r="AA5" s="21">
        <v>52622.341899999999</v>
      </c>
      <c r="AB5" s="22">
        <v>48610.887649999997</v>
      </c>
      <c r="AC5" s="16">
        <v>1.0616371344711382</v>
      </c>
      <c r="AD5" s="14">
        <v>1.2849749312631409</v>
      </c>
      <c r="AE5" s="14">
        <v>1.0510232173992842</v>
      </c>
      <c r="AF5" s="14">
        <v>1.0662661911019335</v>
      </c>
      <c r="AG5" s="14">
        <v>0.86950334424363174</v>
      </c>
      <c r="AH5" s="14">
        <v>1.2278508533536254</v>
      </c>
      <c r="AI5" s="15">
        <f>AVERAGE(AC5:AH5)</f>
        <v>1.0935426119721257</v>
      </c>
      <c r="AJ5" s="14">
        <v>0.30289791031410918</v>
      </c>
      <c r="AK5" s="14">
        <v>0.36591181132492728</v>
      </c>
      <c r="AL5" s="14">
        <v>0.27153717956031515</v>
      </c>
      <c r="AM5" s="14">
        <v>0.29726449155237644</v>
      </c>
      <c r="AN5" s="14">
        <v>0.23222075564827721</v>
      </c>
      <c r="AO5" s="15">
        <v>0.34177631184909885</v>
      </c>
      <c r="AP5" s="14">
        <f t="shared" ref="AP5:AU6" si="0">AC5/I5</f>
        <v>0.25337401777354129</v>
      </c>
      <c r="AQ5" s="14">
        <f t="shared" si="0"/>
        <v>0.29607717310210618</v>
      </c>
      <c r="AR5" s="14">
        <f t="shared" si="0"/>
        <v>0.24329241143501948</v>
      </c>
      <c r="AS5" s="14">
        <f t="shared" si="0"/>
        <v>0.2434397696579757</v>
      </c>
      <c r="AT5" s="14">
        <f t="shared" si="0"/>
        <v>0.18902246613991996</v>
      </c>
      <c r="AU5" s="14">
        <f t="shared" si="0"/>
        <v>0.26692409855513599</v>
      </c>
      <c r="AV5" s="16">
        <v>15.602021958908599</v>
      </c>
      <c r="AW5" s="14">
        <v>18.50752062105774</v>
      </c>
      <c r="AX5" s="14">
        <v>16.73910250527668</v>
      </c>
      <c r="AY5" s="14">
        <v>18.145015956448283</v>
      </c>
      <c r="AZ5" s="14">
        <v>14.833001280774157</v>
      </c>
      <c r="BA5" s="15">
        <v>13.760919370334786</v>
      </c>
      <c r="BB5" s="16">
        <v>4.4514455029707038</v>
      </c>
      <c r="BC5" s="14">
        <v>5.270235417688367</v>
      </c>
      <c r="BD5" s="14">
        <v>4.3246320418125244</v>
      </c>
      <c r="BE5" s="14">
        <v>5.0586513832245386</v>
      </c>
      <c r="BF5" s="14">
        <v>3.961492257340983</v>
      </c>
      <c r="BG5" s="15">
        <v>3.8303970365782862</v>
      </c>
      <c r="BH5" s="16">
        <v>246.53027502989454</v>
      </c>
      <c r="BI5" s="14">
        <v>311.9558466763707</v>
      </c>
      <c r="BJ5" s="14">
        <v>232.56923924015783</v>
      </c>
      <c r="BK5" s="14">
        <v>229.4299793504787</v>
      </c>
      <c r="BL5" s="14">
        <v>193.92101892699588</v>
      </c>
      <c r="BM5" s="17">
        <v>187.18483482373807</v>
      </c>
      <c r="BN5" s="16">
        <v>70.338068169513292</v>
      </c>
      <c r="BO5" s="14">
        <v>88.833117388946533</v>
      </c>
      <c r="BP5" s="14">
        <v>60.085442671785877</v>
      </c>
      <c r="BQ5" s="14">
        <v>63.962814096177524</v>
      </c>
      <c r="BR5" s="14">
        <v>51.791043530124604</v>
      </c>
      <c r="BS5" s="15">
        <v>52.10351265823882</v>
      </c>
      <c r="BT5" s="16">
        <v>246.53027502989454</v>
      </c>
      <c r="BU5" s="14">
        <v>311.9558466763707</v>
      </c>
      <c r="BV5" s="14">
        <v>232.56923924015783</v>
      </c>
      <c r="BW5" s="14">
        <v>229.4299793504787</v>
      </c>
      <c r="BX5" s="14">
        <v>193.92101892699588</v>
      </c>
      <c r="BY5" s="17">
        <v>187.18483482373807</v>
      </c>
      <c r="BZ5" s="16">
        <v>0</v>
      </c>
      <c r="CA5" s="14">
        <v>0</v>
      </c>
      <c r="CB5" s="14">
        <v>0</v>
      </c>
      <c r="CC5" s="14">
        <v>0</v>
      </c>
      <c r="CD5" s="14">
        <v>0</v>
      </c>
      <c r="CE5" s="15">
        <v>0</v>
      </c>
      <c r="CF5" s="16">
        <v>262.13229698880309</v>
      </c>
      <c r="CG5" s="14">
        <v>330.46336729742842</v>
      </c>
      <c r="CH5" s="14">
        <v>249.30834174543452</v>
      </c>
      <c r="CI5" s="14">
        <v>247.57499530692698</v>
      </c>
      <c r="CJ5" s="14">
        <v>208.75402020777005</v>
      </c>
      <c r="CK5" s="15">
        <v>200.94575419407286</v>
      </c>
      <c r="CL5" s="16">
        <v>74.789513672483992</v>
      </c>
      <c r="CM5" s="14">
        <v>94.103352806634902</v>
      </c>
      <c r="CN5" s="14">
        <v>64.410074713598405</v>
      </c>
      <c r="CO5" s="14">
        <v>69.021465479402067</v>
      </c>
      <c r="CP5" s="14">
        <v>55.75253578746559</v>
      </c>
      <c r="CQ5" s="15">
        <v>55.933909694817103</v>
      </c>
      <c r="CR5" s="18">
        <v>1.1254484183063376</v>
      </c>
      <c r="CS5" s="19">
        <v>1.6744298884036874</v>
      </c>
      <c r="CT5" s="19">
        <v>1.3319262182251996</v>
      </c>
      <c r="CU5" s="19">
        <v>1.7350798999891293</v>
      </c>
      <c r="CV5" s="19">
        <v>1.2889568806033869</v>
      </c>
      <c r="CW5" s="20">
        <v>1.9004239591259919</v>
      </c>
      <c r="CX5" s="18">
        <v>0.3915844155635882</v>
      </c>
      <c r="CY5" s="19">
        <v>0.55449685082690914</v>
      </c>
      <c r="CZ5" s="19">
        <v>0.44097045766818044</v>
      </c>
      <c r="DA5" s="19">
        <v>0.51849460139886117</v>
      </c>
      <c r="DB5" s="19">
        <v>0.40457663792963539</v>
      </c>
      <c r="DC5" s="20">
        <v>0.62452344571218921</v>
      </c>
    </row>
    <row r="6" spans="1:107" x14ac:dyDescent="0.25">
      <c r="A6" s="1" t="s">
        <v>22</v>
      </c>
      <c r="B6" s="12">
        <v>11248</v>
      </c>
      <c r="C6" s="12">
        <f t="shared" ref="C6:C7" si="1">B6</f>
        <v>11248</v>
      </c>
      <c r="D6" s="12">
        <v>5810</v>
      </c>
      <c r="E6" s="12">
        <v>11248</v>
      </c>
      <c r="F6" s="12">
        <v>10367</v>
      </c>
      <c r="G6" s="12">
        <v>11643</v>
      </c>
      <c r="H6" s="12">
        <v>11644</v>
      </c>
      <c r="I6" s="1">
        <v>4.47</v>
      </c>
      <c r="J6" s="1">
        <v>4.3899999999999997</v>
      </c>
      <c r="K6" s="1">
        <v>4.54</v>
      </c>
      <c r="L6" s="1">
        <v>4.49</v>
      </c>
      <c r="M6" s="1">
        <v>4.4000000000000004</v>
      </c>
      <c r="N6" s="1">
        <v>4.6500000000000004</v>
      </c>
      <c r="O6" s="1">
        <v>600</v>
      </c>
      <c r="P6" s="1" t="s">
        <v>21</v>
      </c>
      <c r="Q6" s="1">
        <v>72.7</v>
      </c>
      <c r="R6" s="3">
        <v>75.599999999999994</v>
      </c>
      <c r="S6" s="3">
        <v>75.599999999999994</v>
      </c>
      <c r="T6" s="3">
        <v>77.7</v>
      </c>
      <c r="U6" s="3">
        <v>73.099999999999994</v>
      </c>
      <c r="V6" s="3">
        <v>72</v>
      </c>
      <c r="W6" s="21">
        <v>37985.374148577124</v>
      </c>
      <c r="X6" s="21">
        <v>20770.52005999309</v>
      </c>
      <c r="Y6" s="21">
        <v>34856.474983667533</v>
      </c>
      <c r="Z6" s="21">
        <v>33807.776427532823</v>
      </c>
      <c r="AA6" s="21">
        <v>35202.722573299026</v>
      </c>
      <c r="AB6" s="22">
        <v>32448.996957248874</v>
      </c>
      <c r="AC6" s="16">
        <v>0</v>
      </c>
      <c r="AD6" s="14">
        <v>0</v>
      </c>
      <c r="AE6" s="14">
        <v>0</v>
      </c>
      <c r="AF6" s="14">
        <v>0</v>
      </c>
      <c r="AG6" s="14">
        <v>0</v>
      </c>
      <c r="AH6" s="14">
        <v>0</v>
      </c>
      <c r="AI6" s="15"/>
      <c r="AJ6" s="14">
        <v>0</v>
      </c>
      <c r="AK6" s="14">
        <v>0</v>
      </c>
      <c r="AL6" s="14">
        <v>0</v>
      </c>
      <c r="AM6" s="14">
        <v>0</v>
      </c>
      <c r="AN6" s="14">
        <v>0</v>
      </c>
      <c r="AO6" s="15">
        <v>0</v>
      </c>
      <c r="AP6" s="14">
        <f t="shared" si="0"/>
        <v>0</v>
      </c>
      <c r="AQ6" s="14">
        <f t="shared" si="0"/>
        <v>0</v>
      </c>
      <c r="AR6" s="14">
        <f t="shared" si="0"/>
        <v>0</v>
      </c>
      <c r="AS6" s="14">
        <f t="shared" si="0"/>
        <v>0</v>
      </c>
      <c r="AT6" s="14">
        <f t="shared" si="0"/>
        <v>0</v>
      </c>
      <c r="AU6" s="14">
        <f t="shared" si="0"/>
        <v>0</v>
      </c>
      <c r="AV6" s="16">
        <v>7.2187944523470842</v>
      </c>
      <c r="AW6" s="14">
        <v>9.8729776247848537</v>
      </c>
      <c r="AX6" s="14">
        <v>8.7915184921763867</v>
      </c>
      <c r="AY6" s="14">
        <v>9.2324684093759046</v>
      </c>
      <c r="AZ6" s="14">
        <v>7.1832265814923444</v>
      </c>
      <c r="BA6" s="15">
        <v>6.9593357220960801</v>
      </c>
      <c r="BB6" s="16">
        <v>2.1091452001656381</v>
      </c>
      <c r="BC6" s="14">
        <v>2.7617026359627457</v>
      </c>
      <c r="BD6" s="14">
        <v>2.8369764884812598</v>
      </c>
      <c r="BE6" s="14">
        <v>2.831094207131942</v>
      </c>
      <c r="BF6" s="14">
        <v>2.3757908756679886</v>
      </c>
      <c r="BG6" s="15">
        <v>2.497288444843107</v>
      </c>
      <c r="BH6" s="16">
        <v>141.8916251778094</v>
      </c>
      <c r="BI6" s="14">
        <v>187.8604991394148</v>
      </c>
      <c r="BJ6" s="14">
        <v>130.76062411095305</v>
      </c>
      <c r="BK6" s="14">
        <v>138.57866306549627</v>
      </c>
      <c r="BL6" s="14">
        <v>126.45953663145238</v>
      </c>
      <c r="BM6" s="17">
        <v>122.51797443595954</v>
      </c>
      <c r="BN6" s="16">
        <v>41.457066295906969</v>
      </c>
      <c r="BO6" s="14">
        <v>52.548973104545517</v>
      </c>
      <c r="BP6" s="14">
        <v>42.195761352493641</v>
      </c>
      <c r="BQ6" s="14">
        <v>42.49451315082662</v>
      </c>
      <c r="BR6" s="14">
        <v>41.825412279809839</v>
      </c>
      <c r="BS6" s="15">
        <v>43.964357240744256</v>
      </c>
      <c r="BT6" s="16">
        <v>141.8916251778094</v>
      </c>
      <c r="BU6" s="14">
        <v>187.8604991394148</v>
      </c>
      <c r="BV6" s="14">
        <v>130.76062411095305</v>
      </c>
      <c r="BW6" s="14">
        <v>138.57866306549627</v>
      </c>
      <c r="BX6" s="14">
        <v>126.45953663145238</v>
      </c>
      <c r="BY6" s="17">
        <v>122.51797443595954</v>
      </c>
      <c r="BZ6" s="16">
        <v>5.4704727903110137E-2</v>
      </c>
      <c r="CA6" s="14">
        <v>7.5732335803657444E-2</v>
      </c>
      <c r="CB6" s="14">
        <v>9.2091928443828255E-2</v>
      </c>
      <c r="CC6" s="14">
        <v>6.983743128406289E-2</v>
      </c>
      <c r="CD6" s="14">
        <v>6.8737800234381516E-2</v>
      </c>
      <c r="CE6" s="15">
        <v>7.2253040453735443E-2</v>
      </c>
      <c r="CF6" s="16">
        <v>149.29765291607399</v>
      </c>
      <c r="CG6" s="14">
        <v>198.00421686746986</v>
      </c>
      <c r="CH6" s="14">
        <v>139.83752667140823</v>
      </c>
      <c r="CI6" s="14">
        <v>148.03887800358106</v>
      </c>
      <c r="CJ6" s="14">
        <v>133.85059261361033</v>
      </c>
      <c r="CK6" s="15">
        <v>129.67866181468867</v>
      </c>
      <c r="CL6" s="16">
        <v>43.620916223975712</v>
      </c>
      <c r="CM6" s="14">
        <v>55.386408076311923</v>
      </c>
      <c r="CN6" s="14">
        <v>45.124829769418731</v>
      </c>
      <c r="CO6" s="14">
        <v>45.395444789242624</v>
      </c>
      <c r="CP6" s="14">
        <v>44.269940955712208</v>
      </c>
      <c r="CQ6" s="15">
        <v>46.533898726041102</v>
      </c>
      <c r="CR6" s="18">
        <v>0</v>
      </c>
      <c r="CS6" s="19">
        <v>0</v>
      </c>
      <c r="CT6" s="19">
        <v>0</v>
      </c>
      <c r="CU6" s="19">
        <v>0</v>
      </c>
      <c r="CV6" s="19">
        <v>0</v>
      </c>
      <c r="CW6" s="20">
        <v>0</v>
      </c>
      <c r="CX6" s="18">
        <v>0</v>
      </c>
      <c r="CY6" s="19">
        <v>0</v>
      </c>
      <c r="CZ6" s="19">
        <v>0</v>
      </c>
      <c r="DA6" s="19">
        <v>0</v>
      </c>
      <c r="DB6" s="19">
        <v>0</v>
      </c>
      <c r="DC6" s="20">
        <v>0</v>
      </c>
    </row>
    <row r="7" spans="1:107" x14ac:dyDescent="0.25">
      <c r="A7" s="1" t="s">
        <v>23</v>
      </c>
      <c r="B7" s="12">
        <v>562</v>
      </c>
      <c r="C7" s="12">
        <f t="shared" si="1"/>
        <v>562</v>
      </c>
      <c r="D7" s="12">
        <v>281</v>
      </c>
      <c r="E7" s="12">
        <v>574</v>
      </c>
      <c r="F7" s="12">
        <v>432</v>
      </c>
      <c r="G7" s="12">
        <v>394</v>
      </c>
      <c r="H7" s="12">
        <v>391</v>
      </c>
      <c r="I7" s="1">
        <v>0</v>
      </c>
      <c r="J7" s="1">
        <v>0</v>
      </c>
      <c r="K7" s="1">
        <v>0</v>
      </c>
      <c r="L7" s="1">
        <v>0</v>
      </c>
      <c r="M7" s="1">
        <v>0</v>
      </c>
      <c r="N7" s="1">
        <v>0</v>
      </c>
      <c r="O7" s="1">
        <v>350</v>
      </c>
      <c r="P7" s="1"/>
      <c r="Q7" s="1">
        <v>72.7</v>
      </c>
      <c r="R7" s="3">
        <v>75.599999999999994</v>
      </c>
      <c r="S7" s="3">
        <v>75.599999999999994</v>
      </c>
      <c r="T7" s="3">
        <v>77.7</v>
      </c>
      <c r="U7" s="3">
        <v>73.099999999999994</v>
      </c>
      <c r="V7" s="3">
        <v>72</v>
      </c>
      <c r="W7" s="21">
        <v>1977.7301459363955</v>
      </c>
      <c r="X7" s="21">
        <v>1101.7624792501942</v>
      </c>
      <c r="Y7" s="21">
        <v>1990.4155026958822</v>
      </c>
      <c r="Z7" s="21">
        <v>1542.6559472203251</v>
      </c>
      <c r="AA7" s="21">
        <v>1242.4944732599363</v>
      </c>
      <c r="AB7" s="22">
        <v>1195.9500767830589</v>
      </c>
      <c r="AC7" s="16">
        <v>0</v>
      </c>
      <c r="AD7" s="14">
        <v>0</v>
      </c>
      <c r="AE7" s="14">
        <v>0</v>
      </c>
      <c r="AF7" s="14">
        <v>0</v>
      </c>
      <c r="AG7" s="14">
        <v>0</v>
      </c>
      <c r="AH7" s="14">
        <v>0</v>
      </c>
      <c r="AI7" s="15"/>
      <c r="AJ7" s="14">
        <v>0</v>
      </c>
      <c r="AK7" s="14">
        <v>0</v>
      </c>
      <c r="AL7" s="14">
        <v>0</v>
      </c>
      <c r="AM7" s="14">
        <v>0</v>
      </c>
      <c r="AN7" s="14">
        <v>0</v>
      </c>
      <c r="AO7" s="15">
        <v>0</v>
      </c>
      <c r="AP7" s="14"/>
      <c r="AQ7" s="14"/>
      <c r="AR7" s="14"/>
      <c r="AS7" s="14"/>
      <c r="AT7" s="14"/>
      <c r="AU7" s="14"/>
      <c r="AV7" s="16">
        <v>0</v>
      </c>
      <c r="AW7" s="14">
        <v>0</v>
      </c>
      <c r="AX7" s="14">
        <v>0</v>
      </c>
      <c r="AY7" s="14">
        <v>0</v>
      </c>
      <c r="AZ7" s="14">
        <v>0</v>
      </c>
      <c r="BA7" s="15">
        <v>0</v>
      </c>
      <c r="BB7" s="16">
        <v>0</v>
      </c>
      <c r="BC7" s="14">
        <v>0</v>
      </c>
      <c r="BD7" s="14">
        <v>0</v>
      </c>
      <c r="BE7" s="14">
        <v>0</v>
      </c>
      <c r="BF7" s="14">
        <v>0</v>
      </c>
      <c r="BG7" s="15">
        <v>0</v>
      </c>
      <c r="BH7" s="16">
        <v>0</v>
      </c>
      <c r="BI7" s="14">
        <v>0</v>
      </c>
      <c r="BJ7" s="14">
        <v>0</v>
      </c>
      <c r="BK7" s="14">
        <v>0</v>
      </c>
      <c r="BL7" s="14">
        <v>0</v>
      </c>
      <c r="BM7" s="17">
        <v>0</v>
      </c>
      <c r="BN7" s="16">
        <v>0</v>
      </c>
      <c r="BO7" s="14">
        <v>0</v>
      </c>
      <c r="BP7" s="14">
        <v>0</v>
      </c>
      <c r="BQ7" s="14">
        <v>0</v>
      </c>
      <c r="BR7" s="14">
        <v>0</v>
      </c>
      <c r="BS7" s="15">
        <v>0</v>
      </c>
      <c r="BT7" s="16">
        <v>0</v>
      </c>
      <c r="BU7" s="14">
        <v>0</v>
      </c>
      <c r="BV7" s="14">
        <v>0</v>
      </c>
      <c r="BW7" s="14">
        <v>0</v>
      </c>
      <c r="BX7" s="14">
        <v>0</v>
      </c>
      <c r="BY7" s="17">
        <v>0</v>
      </c>
      <c r="BZ7" s="16">
        <v>0</v>
      </c>
      <c r="CA7" s="14">
        <v>0</v>
      </c>
      <c r="CB7" s="14">
        <v>0</v>
      </c>
      <c r="CC7" s="14">
        <v>0</v>
      </c>
      <c r="CD7" s="14">
        <v>0</v>
      </c>
      <c r="CE7" s="15">
        <v>0</v>
      </c>
      <c r="CF7" s="16">
        <v>0</v>
      </c>
      <c r="CG7" s="14">
        <v>0</v>
      </c>
      <c r="CH7" s="14">
        <v>0</v>
      </c>
      <c r="CI7" s="14">
        <v>0</v>
      </c>
      <c r="CJ7" s="14">
        <v>0</v>
      </c>
      <c r="CK7" s="15">
        <v>0</v>
      </c>
      <c r="CL7" s="16">
        <v>0</v>
      </c>
      <c r="CM7" s="14">
        <v>0</v>
      </c>
      <c r="CN7" s="14">
        <v>0</v>
      </c>
      <c r="CO7" s="14">
        <v>0</v>
      </c>
      <c r="CP7" s="14">
        <v>0</v>
      </c>
      <c r="CQ7" s="15">
        <v>0</v>
      </c>
      <c r="CR7" s="18">
        <v>0</v>
      </c>
      <c r="CS7" s="19">
        <v>0</v>
      </c>
      <c r="CT7" s="19">
        <v>0</v>
      </c>
      <c r="CU7" s="19">
        <v>0</v>
      </c>
      <c r="CV7" s="19">
        <v>0</v>
      </c>
      <c r="CW7" s="20">
        <v>0</v>
      </c>
      <c r="CX7" s="18">
        <v>0</v>
      </c>
      <c r="CY7" s="19">
        <v>0</v>
      </c>
      <c r="CZ7" s="19">
        <v>0</v>
      </c>
      <c r="DA7" s="19">
        <v>0</v>
      </c>
      <c r="DB7" s="19">
        <v>0</v>
      </c>
      <c r="DC7" s="20">
        <v>0</v>
      </c>
    </row>
    <row r="8" spans="1:107" x14ac:dyDescent="0.25">
      <c r="A8" s="1" t="s">
        <v>24</v>
      </c>
      <c r="B8" s="12">
        <v>0</v>
      </c>
      <c r="C8" s="12">
        <v>0</v>
      </c>
      <c r="D8" s="12">
        <v>27</v>
      </c>
      <c r="E8" s="12">
        <v>0</v>
      </c>
      <c r="F8" s="12">
        <v>0</v>
      </c>
      <c r="G8" s="12">
        <v>0</v>
      </c>
      <c r="H8" s="12">
        <v>0</v>
      </c>
      <c r="I8" s="1">
        <v>0</v>
      </c>
      <c r="J8" s="1">
        <v>0</v>
      </c>
      <c r="K8" s="1">
        <v>0</v>
      </c>
      <c r="L8" s="1">
        <v>0</v>
      </c>
      <c r="M8" s="1">
        <v>0</v>
      </c>
      <c r="N8" s="1">
        <v>0</v>
      </c>
      <c r="O8" s="1">
        <v>1550</v>
      </c>
      <c r="P8" s="1"/>
      <c r="Q8" s="1">
        <v>72.7</v>
      </c>
      <c r="R8" s="3">
        <v>75.599999999999994</v>
      </c>
      <c r="S8" s="3">
        <v>75.599999999999994</v>
      </c>
      <c r="T8" s="3">
        <v>77.7</v>
      </c>
      <c r="U8" s="3">
        <v>73.099999999999994</v>
      </c>
      <c r="V8" s="3">
        <v>72</v>
      </c>
      <c r="W8" s="21">
        <v>0</v>
      </c>
      <c r="X8" s="21">
        <v>83.691036100675191</v>
      </c>
      <c r="Y8" s="21">
        <v>0</v>
      </c>
      <c r="Z8" s="21">
        <v>0</v>
      </c>
      <c r="AA8" s="21">
        <v>0</v>
      </c>
      <c r="AB8" s="22">
        <v>0</v>
      </c>
      <c r="AC8" s="16">
        <v>0</v>
      </c>
      <c r="AD8" s="14">
        <v>0</v>
      </c>
      <c r="AE8" s="14">
        <v>0</v>
      </c>
      <c r="AF8" s="14">
        <v>0</v>
      </c>
      <c r="AG8" s="14">
        <v>0</v>
      </c>
      <c r="AH8" s="14">
        <v>0</v>
      </c>
      <c r="AI8" s="15"/>
      <c r="AJ8" s="14">
        <v>0</v>
      </c>
      <c r="AK8" s="14">
        <v>0</v>
      </c>
      <c r="AL8" s="14">
        <v>0</v>
      </c>
      <c r="AM8" s="14">
        <v>0</v>
      </c>
      <c r="AN8" s="14">
        <v>0</v>
      </c>
      <c r="AO8" s="15">
        <v>0</v>
      </c>
      <c r="AP8" s="14"/>
      <c r="AQ8" s="14"/>
      <c r="AR8" s="14"/>
      <c r="AS8" s="14"/>
      <c r="AT8" s="14"/>
      <c r="AU8" s="14"/>
      <c r="AV8" s="16">
        <v>0</v>
      </c>
      <c r="AW8" s="14">
        <v>0</v>
      </c>
      <c r="AX8" s="14">
        <v>0</v>
      </c>
      <c r="AY8" s="14">
        <v>0</v>
      </c>
      <c r="AZ8" s="14">
        <v>0</v>
      </c>
      <c r="BA8" s="15">
        <v>0</v>
      </c>
      <c r="BB8" s="16">
        <v>0</v>
      </c>
      <c r="BC8" s="14">
        <v>0</v>
      </c>
      <c r="BD8" s="14">
        <v>0</v>
      </c>
      <c r="BE8" s="14">
        <v>0</v>
      </c>
      <c r="BF8" s="14">
        <v>0</v>
      </c>
      <c r="BG8" s="15">
        <v>0</v>
      </c>
      <c r="BH8" s="16">
        <v>0</v>
      </c>
      <c r="BI8" s="14">
        <v>0</v>
      </c>
      <c r="BJ8" s="14">
        <v>0</v>
      </c>
      <c r="BK8" s="14">
        <v>0</v>
      </c>
      <c r="BL8" s="14">
        <v>0</v>
      </c>
      <c r="BM8" s="17">
        <v>0</v>
      </c>
      <c r="BN8" s="16">
        <v>0</v>
      </c>
      <c r="BO8" s="14">
        <v>0</v>
      </c>
      <c r="BP8" s="14">
        <v>0</v>
      </c>
      <c r="BQ8" s="14">
        <v>0</v>
      </c>
      <c r="BR8" s="14">
        <v>0</v>
      </c>
      <c r="BS8" s="15">
        <v>0</v>
      </c>
      <c r="BT8" s="16">
        <v>0</v>
      </c>
      <c r="BU8" s="14">
        <v>0</v>
      </c>
      <c r="BV8" s="14">
        <v>0</v>
      </c>
      <c r="BW8" s="14">
        <v>0</v>
      </c>
      <c r="BX8" s="14">
        <v>0</v>
      </c>
      <c r="BY8" s="17">
        <v>0</v>
      </c>
      <c r="BZ8" s="16">
        <v>0</v>
      </c>
      <c r="CA8" s="14">
        <v>0</v>
      </c>
      <c r="CB8" s="14">
        <v>0</v>
      </c>
      <c r="CC8" s="14">
        <v>0</v>
      </c>
      <c r="CD8" s="14">
        <v>0</v>
      </c>
      <c r="CE8" s="15">
        <v>0</v>
      </c>
      <c r="CF8" s="16">
        <v>0</v>
      </c>
      <c r="CG8" s="14">
        <v>0</v>
      </c>
      <c r="CH8" s="14">
        <v>0</v>
      </c>
      <c r="CI8" s="14">
        <v>0</v>
      </c>
      <c r="CJ8" s="14">
        <v>0</v>
      </c>
      <c r="CK8" s="15">
        <v>0</v>
      </c>
      <c r="CL8" s="16">
        <v>0</v>
      </c>
      <c r="CM8" s="14">
        <v>0</v>
      </c>
      <c r="CN8" s="14">
        <v>0</v>
      </c>
      <c r="CO8" s="14">
        <v>0</v>
      </c>
      <c r="CP8" s="14">
        <v>0</v>
      </c>
      <c r="CQ8" s="15">
        <v>0</v>
      </c>
      <c r="CR8" s="18">
        <v>0</v>
      </c>
      <c r="CS8" s="19">
        <v>0</v>
      </c>
      <c r="CT8" s="19">
        <v>0</v>
      </c>
      <c r="CU8" s="19">
        <v>0</v>
      </c>
      <c r="CV8" s="19">
        <v>0</v>
      </c>
      <c r="CW8" s="20">
        <v>0</v>
      </c>
      <c r="CX8" s="18">
        <v>0</v>
      </c>
      <c r="CY8" s="19">
        <v>0</v>
      </c>
      <c r="CZ8" s="19">
        <v>0</v>
      </c>
      <c r="DA8" s="19">
        <v>0</v>
      </c>
      <c r="DB8" s="19">
        <v>0</v>
      </c>
      <c r="DC8" s="20">
        <v>0</v>
      </c>
    </row>
    <row r="9" spans="1:107" x14ac:dyDescent="0.25">
      <c r="A9" s="1" t="s">
        <v>25</v>
      </c>
      <c r="B9" s="12">
        <v>2312</v>
      </c>
      <c r="C9" s="12">
        <f>B9</f>
        <v>2312</v>
      </c>
      <c r="D9" s="12">
        <v>2007</v>
      </c>
      <c r="E9" s="12">
        <v>3786</v>
      </c>
      <c r="F9" s="12">
        <v>3919</v>
      </c>
      <c r="G9" s="12">
        <v>4786</v>
      </c>
      <c r="H9" s="12">
        <v>5543</v>
      </c>
      <c r="I9" s="1">
        <v>3.93</v>
      </c>
      <c r="J9" s="1">
        <v>3.13</v>
      </c>
      <c r="K9" s="1">
        <v>3.34</v>
      </c>
      <c r="L9" s="1">
        <v>3.37</v>
      </c>
      <c r="M9" s="1">
        <v>3.39</v>
      </c>
      <c r="N9" s="1">
        <v>3.37</v>
      </c>
      <c r="O9" s="1">
        <v>1500</v>
      </c>
      <c r="P9" s="1" t="s">
        <v>26</v>
      </c>
      <c r="Q9" s="1">
        <v>96</v>
      </c>
      <c r="R9" s="3">
        <v>96.899999999999991</v>
      </c>
      <c r="S9" s="3">
        <v>96.899999999999991</v>
      </c>
      <c r="T9" s="3">
        <v>97.7</v>
      </c>
      <c r="U9" s="3">
        <v>94</v>
      </c>
      <c r="V9" s="3">
        <v>89.7</v>
      </c>
      <c r="W9" s="21">
        <v>8105.122049999999</v>
      </c>
      <c r="X9" s="21">
        <v>5593.35635</v>
      </c>
      <c r="Y9" s="21">
        <v>9179.5681000000004</v>
      </c>
      <c r="Z9" s="21">
        <v>11830.246349999999</v>
      </c>
      <c r="AA9" s="21">
        <v>14611.332299999998</v>
      </c>
      <c r="AB9" s="22">
        <v>16045.816999999999</v>
      </c>
      <c r="AC9" s="16">
        <v>0</v>
      </c>
      <c r="AD9" s="14">
        <v>0.57797708021923266</v>
      </c>
      <c r="AE9" s="14">
        <v>0.34363444268357107</v>
      </c>
      <c r="AF9" s="14">
        <v>0</v>
      </c>
      <c r="AG9" s="14">
        <v>0</v>
      </c>
      <c r="AH9" s="14">
        <v>0</v>
      </c>
      <c r="AI9" s="15">
        <f>AVERAGE(AD9:AE9)</f>
        <v>0.46080576145140184</v>
      </c>
      <c r="AJ9" s="14">
        <v>0</v>
      </c>
      <c r="AK9" s="14">
        <v>0.20738889629301019</v>
      </c>
      <c r="AL9" s="14">
        <v>0.14172780089729928</v>
      </c>
      <c r="AM9" s="14">
        <v>0</v>
      </c>
      <c r="AN9" s="14">
        <v>0</v>
      </c>
      <c r="AO9" s="15">
        <v>0</v>
      </c>
      <c r="AP9" s="14">
        <f t="shared" ref="AP9:AU12" si="2">AC9/I9</f>
        <v>0</v>
      </c>
      <c r="AQ9" s="14">
        <f t="shared" si="2"/>
        <v>0.18465721412755037</v>
      </c>
      <c r="AR9" s="14">
        <f t="shared" si="2"/>
        <v>0.1028845636777159</v>
      </c>
      <c r="AS9" s="14">
        <f t="shared" si="2"/>
        <v>0</v>
      </c>
      <c r="AT9" s="14">
        <f t="shared" si="2"/>
        <v>0</v>
      </c>
      <c r="AU9" s="14">
        <f t="shared" si="2"/>
        <v>0</v>
      </c>
      <c r="AV9" s="16">
        <v>0</v>
      </c>
      <c r="AW9" s="14">
        <v>0</v>
      </c>
      <c r="AX9" s="14">
        <v>0</v>
      </c>
      <c r="AY9" s="14">
        <v>0</v>
      </c>
      <c r="AZ9" s="14">
        <v>0</v>
      </c>
      <c r="BA9" s="15">
        <v>0</v>
      </c>
      <c r="BB9" s="16">
        <v>0</v>
      </c>
      <c r="BC9" s="14">
        <v>0</v>
      </c>
      <c r="BD9" s="14">
        <v>0</v>
      </c>
      <c r="BE9" s="14">
        <v>0</v>
      </c>
      <c r="BF9" s="14">
        <v>0</v>
      </c>
      <c r="BG9" s="15">
        <v>0</v>
      </c>
      <c r="BH9" s="16">
        <v>0</v>
      </c>
      <c r="BI9" s="14">
        <v>0</v>
      </c>
      <c r="BJ9" s="14">
        <v>0</v>
      </c>
      <c r="BK9" s="14">
        <v>0</v>
      </c>
      <c r="BL9" s="14">
        <v>0</v>
      </c>
      <c r="BM9" s="17">
        <v>0</v>
      </c>
      <c r="BN9" s="16">
        <v>0</v>
      </c>
      <c r="BO9" s="14">
        <v>0</v>
      </c>
      <c r="BP9" s="14">
        <v>0</v>
      </c>
      <c r="BQ9" s="14">
        <v>0</v>
      </c>
      <c r="BR9" s="14">
        <v>0</v>
      </c>
      <c r="BS9" s="15">
        <v>0</v>
      </c>
      <c r="BT9" s="16">
        <v>0</v>
      </c>
      <c r="BU9" s="14">
        <v>0</v>
      </c>
      <c r="BV9" s="14">
        <v>0</v>
      </c>
      <c r="BW9" s="14">
        <v>0</v>
      </c>
      <c r="BX9" s="14">
        <v>0</v>
      </c>
      <c r="BY9" s="17">
        <v>0</v>
      </c>
      <c r="BZ9" s="16">
        <v>0</v>
      </c>
      <c r="CA9" s="14">
        <v>0</v>
      </c>
      <c r="CB9" s="14">
        <v>0</v>
      </c>
      <c r="CC9" s="14">
        <v>0</v>
      </c>
      <c r="CD9" s="14">
        <v>0</v>
      </c>
      <c r="CE9" s="15">
        <v>0</v>
      </c>
      <c r="CF9" s="16">
        <v>0</v>
      </c>
      <c r="CG9" s="14">
        <v>162.92974588938714</v>
      </c>
      <c r="CH9" s="14">
        <v>91.653460116217644</v>
      </c>
      <c r="CI9" s="14">
        <v>0</v>
      </c>
      <c r="CJ9" s="14">
        <v>0</v>
      </c>
      <c r="CK9" s="15">
        <v>0</v>
      </c>
      <c r="CL9" s="16">
        <v>0</v>
      </c>
      <c r="CM9" s="14">
        <v>65.500255345834901</v>
      </c>
      <c r="CN9" s="14">
        <v>44.73711542712109</v>
      </c>
      <c r="CO9" s="14">
        <v>0</v>
      </c>
      <c r="CP9" s="14">
        <v>0</v>
      </c>
      <c r="CQ9" s="15">
        <v>0</v>
      </c>
      <c r="CR9" s="18">
        <v>0</v>
      </c>
      <c r="CS9" s="19">
        <v>1.5869456900847034</v>
      </c>
      <c r="CT9" s="19">
        <v>1.0739566825145272</v>
      </c>
      <c r="CU9" s="19">
        <v>0</v>
      </c>
      <c r="CV9" s="19">
        <v>0</v>
      </c>
      <c r="CW9" s="20">
        <v>0</v>
      </c>
      <c r="CX9" s="18">
        <v>0</v>
      </c>
      <c r="CY9" s="19">
        <v>0.6379764932002574</v>
      </c>
      <c r="CZ9" s="19">
        <v>0.52421069546592036</v>
      </c>
      <c r="DA9" s="19">
        <v>0</v>
      </c>
      <c r="DB9" s="19">
        <v>0</v>
      </c>
      <c r="DC9" s="20">
        <v>0</v>
      </c>
    </row>
    <row r="10" spans="1:107" x14ac:dyDescent="0.25">
      <c r="A10" s="1" t="s">
        <v>27</v>
      </c>
      <c r="B10" s="12">
        <v>6501</v>
      </c>
      <c r="C10" s="12">
        <f>B10*X10/($X$10+$X$11)</f>
        <v>4154.2330470162751</v>
      </c>
      <c r="D10" s="12">
        <v>2232</v>
      </c>
      <c r="E10" s="12">
        <v>3063</v>
      </c>
      <c r="F10" s="12">
        <v>3292</v>
      </c>
      <c r="G10" s="12">
        <v>4192</v>
      </c>
      <c r="H10" s="12">
        <v>4488</v>
      </c>
      <c r="I10" s="1">
        <v>4.12</v>
      </c>
      <c r="J10" s="1">
        <v>3.92</v>
      </c>
      <c r="K10" s="1">
        <v>4.45</v>
      </c>
      <c r="L10" s="1">
        <v>4.12</v>
      </c>
      <c r="M10" s="1">
        <v>3.91</v>
      </c>
      <c r="N10" s="1">
        <v>4.0199999999999996</v>
      </c>
      <c r="O10" s="1">
        <v>895</v>
      </c>
      <c r="P10" s="1" t="s">
        <v>26</v>
      </c>
      <c r="Q10" s="1">
        <v>83</v>
      </c>
      <c r="R10" s="3">
        <v>98.4</v>
      </c>
      <c r="S10" s="3">
        <v>98.4</v>
      </c>
      <c r="T10" s="3">
        <v>91.9</v>
      </c>
      <c r="U10" s="3">
        <v>89.2</v>
      </c>
      <c r="V10" s="3">
        <v>82.3</v>
      </c>
      <c r="W10" s="21">
        <v>23464.881150000001</v>
      </c>
      <c r="X10" s="21">
        <v>8014.4036499999993</v>
      </c>
      <c r="Y10" s="21">
        <v>11614.790149999999</v>
      </c>
      <c r="Z10" s="21">
        <v>12130.751049999999</v>
      </c>
      <c r="AA10" s="21">
        <v>15393.7785</v>
      </c>
      <c r="AB10" s="22">
        <v>16045.816999999999</v>
      </c>
      <c r="AC10" s="16">
        <v>0</v>
      </c>
      <c r="AD10" s="14">
        <v>0.55913978494623651</v>
      </c>
      <c r="AE10" s="14">
        <v>0.44400914136467518</v>
      </c>
      <c r="AF10" s="14">
        <v>0</v>
      </c>
      <c r="AG10" s="14">
        <v>0</v>
      </c>
      <c r="AH10" s="14">
        <v>0</v>
      </c>
      <c r="AI10" s="15">
        <f t="shared" ref="AI10:AI14" si="3">AVERAGE(AD10:AE10)</f>
        <v>0.50157446315545584</v>
      </c>
      <c r="AJ10" s="14">
        <v>0</v>
      </c>
      <c r="AK10" s="14">
        <v>0.15571963361241481</v>
      </c>
      <c r="AL10" s="14">
        <v>0.11709208538735418</v>
      </c>
      <c r="AM10" s="14">
        <v>0</v>
      </c>
      <c r="AN10" s="14">
        <v>0</v>
      </c>
      <c r="AO10" s="15">
        <v>0</v>
      </c>
      <c r="AP10" s="14">
        <f t="shared" si="2"/>
        <v>0</v>
      </c>
      <c r="AQ10" s="14">
        <f t="shared" si="2"/>
        <v>0.14263770024138686</v>
      </c>
      <c r="AR10" s="14">
        <f t="shared" si="2"/>
        <v>9.9777335138129253E-2</v>
      </c>
      <c r="AS10" s="14">
        <f t="shared" si="2"/>
        <v>0</v>
      </c>
      <c r="AT10" s="14">
        <f t="shared" si="2"/>
        <v>0</v>
      </c>
      <c r="AU10" s="14">
        <f t="shared" si="2"/>
        <v>0</v>
      </c>
      <c r="AV10" s="16">
        <v>0</v>
      </c>
      <c r="AW10" s="14">
        <v>0</v>
      </c>
      <c r="AX10" s="14">
        <v>0</v>
      </c>
      <c r="AY10" s="14">
        <v>0</v>
      </c>
      <c r="AZ10" s="14">
        <v>0</v>
      </c>
      <c r="BA10" s="15">
        <v>0</v>
      </c>
      <c r="BB10" s="16">
        <v>0</v>
      </c>
      <c r="BC10" s="14">
        <v>0</v>
      </c>
      <c r="BD10" s="14">
        <v>0</v>
      </c>
      <c r="BE10" s="14">
        <v>0</v>
      </c>
      <c r="BF10" s="14">
        <v>0</v>
      </c>
      <c r="BG10" s="15">
        <v>0</v>
      </c>
      <c r="BH10" s="16">
        <v>0</v>
      </c>
      <c r="BI10" s="14">
        <v>0</v>
      </c>
      <c r="BJ10" s="14">
        <v>0</v>
      </c>
      <c r="BK10" s="14">
        <v>0</v>
      </c>
      <c r="BL10" s="14">
        <v>0</v>
      </c>
      <c r="BM10" s="17">
        <v>0</v>
      </c>
      <c r="BN10" s="16">
        <v>0</v>
      </c>
      <c r="BO10" s="14">
        <v>0</v>
      </c>
      <c r="BP10" s="14">
        <v>0</v>
      </c>
      <c r="BQ10" s="14">
        <v>0</v>
      </c>
      <c r="BR10" s="14">
        <v>0</v>
      </c>
      <c r="BS10" s="15">
        <v>0</v>
      </c>
      <c r="BT10" s="16">
        <v>0</v>
      </c>
      <c r="BU10" s="14">
        <v>0</v>
      </c>
      <c r="BV10" s="14">
        <v>0</v>
      </c>
      <c r="BW10" s="14">
        <v>0</v>
      </c>
      <c r="BX10" s="14">
        <v>0</v>
      </c>
      <c r="BY10" s="17">
        <v>0</v>
      </c>
      <c r="BZ10" s="16">
        <v>0</v>
      </c>
      <c r="CA10" s="14">
        <v>0</v>
      </c>
      <c r="CB10" s="14">
        <v>0</v>
      </c>
      <c r="CC10" s="14">
        <v>0</v>
      </c>
      <c r="CD10" s="14">
        <v>0</v>
      </c>
      <c r="CE10" s="15">
        <v>0</v>
      </c>
      <c r="CF10" s="16">
        <v>0</v>
      </c>
      <c r="CG10" s="14">
        <v>158.15412186379928</v>
      </c>
      <c r="CH10" s="14">
        <v>120.7966046359778</v>
      </c>
      <c r="CI10" s="14">
        <v>0</v>
      </c>
      <c r="CJ10" s="14">
        <v>0</v>
      </c>
      <c r="CK10" s="15">
        <v>0</v>
      </c>
      <c r="CL10" s="16">
        <v>0</v>
      </c>
      <c r="CM10" s="14">
        <v>49.966768560184491</v>
      </c>
      <c r="CN10" s="14">
        <v>37.321637310517481</v>
      </c>
      <c r="CO10" s="14">
        <v>0</v>
      </c>
      <c r="CP10" s="14">
        <v>0</v>
      </c>
      <c r="CQ10" s="15">
        <v>0</v>
      </c>
      <c r="CR10" s="18">
        <v>0</v>
      </c>
      <c r="CS10" s="19">
        <v>1.0376344086021505</v>
      </c>
      <c r="CT10" s="19">
        <v>0.79464577211883769</v>
      </c>
      <c r="CU10" s="19">
        <v>0</v>
      </c>
      <c r="CV10" s="19">
        <v>0</v>
      </c>
      <c r="CW10" s="20">
        <v>0</v>
      </c>
      <c r="CX10" s="18">
        <v>0</v>
      </c>
      <c r="CY10" s="19">
        <v>0.32782729740902916</v>
      </c>
      <c r="CZ10" s="19">
        <v>0.24551585192918798</v>
      </c>
      <c r="DA10" s="19">
        <v>0</v>
      </c>
      <c r="DB10" s="19">
        <v>0</v>
      </c>
      <c r="DC10" s="20">
        <v>0</v>
      </c>
    </row>
    <row r="11" spans="1:107" x14ac:dyDescent="0.25">
      <c r="A11" s="1" t="s">
        <v>28</v>
      </c>
      <c r="B11" s="12"/>
      <c r="C11" s="12">
        <f>B10*X11/($X$10+$X$11)</f>
        <v>2346.7669529837253</v>
      </c>
      <c r="D11" s="12">
        <v>1239</v>
      </c>
      <c r="E11" s="12">
        <v>1698</v>
      </c>
      <c r="F11" s="12">
        <v>1857</v>
      </c>
      <c r="G11" s="12">
        <v>1865</v>
      </c>
      <c r="H11" s="12">
        <v>1908</v>
      </c>
      <c r="I11" s="1">
        <v>4.12</v>
      </c>
      <c r="J11" s="1">
        <v>3.92</v>
      </c>
      <c r="K11" s="1">
        <v>4.8</v>
      </c>
      <c r="L11" s="1">
        <v>4.82</v>
      </c>
      <c r="M11" s="1">
        <v>4.78</v>
      </c>
      <c r="N11" s="1">
        <v>4.79</v>
      </c>
      <c r="O11" s="1">
        <v>1250</v>
      </c>
      <c r="P11" s="1" t="s">
        <v>26</v>
      </c>
      <c r="Q11" s="1">
        <v>83</v>
      </c>
      <c r="R11" s="3">
        <v>55.400000000000006</v>
      </c>
      <c r="S11" s="3">
        <v>51.6</v>
      </c>
      <c r="T11" s="3">
        <v>47.199999999999996</v>
      </c>
      <c r="U11" s="3">
        <v>50.5</v>
      </c>
      <c r="V11" s="3">
        <v>51.1</v>
      </c>
      <c r="W11" s="21">
        <v>0</v>
      </c>
      <c r="X11" s="21">
        <v>4527.4151499999998</v>
      </c>
      <c r="Y11" s="21">
        <v>7146.90895</v>
      </c>
      <c r="Z11" s="21">
        <v>7722.4037999999991</v>
      </c>
      <c r="AA11" s="21">
        <v>8252.5394500000002</v>
      </c>
      <c r="AB11" s="22">
        <v>7881.1610000000001</v>
      </c>
      <c r="AC11" s="16">
        <v>0</v>
      </c>
      <c r="AD11" s="14">
        <v>0.56093623890234057</v>
      </c>
      <c r="AE11" s="14">
        <v>0.56820016142050045</v>
      </c>
      <c r="AF11" s="14">
        <v>0</v>
      </c>
      <c r="AG11" s="14">
        <v>0</v>
      </c>
      <c r="AH11" s="14">
        <v>0</v>
      </c>
      <c r="AI11" s="15">
        <f t="shared" si="3"/>
        <v>0.56456820016142051</v>
      </c>
      <c r="AJ11" s="14">
        <v>0</v>
      </c>
      <c r="AK11" s="14">
        <v>0.15350922700340391</v>
      </c>
      <c r="AL11" s="14">
        <v>0.13499596550645993</v>
      </c>
      <c r="AM11" s="14">
        <v>0</v>
      </c>
      <c r="AN11" s="14">
        <v>0</v>
      </c>
      <c r="AO11" s="15">
        <v>0</v>
      </c>
      <c r="AP11" s="14">
        <f t="shared" si="2"/>
        <v>0</v>
      </c>
      <c r="AQ11" s="14">
        <f t="shared" si="2"/>
        <v>0.14309597931182158</v>
      </c>
      <c r="AR11" s="14">
        <f t="shared" si="2"/>
        <v>0.11837503362927093</v>
      </c>
      <c r="AS11" s="14">
        <f t="shared" si="2"/>
        <v>0</v>
      </c>
      <c r="AT11" s="14">
        <f t="shared" si="2"/>
        <v>0</v>
      </c>
      <c r="AU11" s="14">
        <f t="shared" si="2"/>
        <v>0</v>
      </c>
      <c r="AV11" s="16">
        <v>0</v>
      </c>
      <c r="AW11" s="14">
        <v>0</v>
      </c>
      <c r="AX11" s="14">
        <v>0</v>
      </c>
      <c r="AY11" s="14">
        <v>0</v>
      </c>
      <c r="AZ11" s="14">
        <v>0</v>
      </c>
      <c r="BA11" s="15">
        <v>0</v>
      </c>
      <c r="BB11" s="16">
        <v>0</v>
      </c>
      <c r="BC11" s="14">
        <v>0</v>
      </c>
      <c r="BD11" s="14">
        <v>0</v>
      </c>
      <c r="BE11" s="14">
        <v>0</v>
      </c>
      <c r="BF11" s="14">
        <v>0</v>
      </c>
      <c r="BG11" s="15">
        <v>0</v>
      </c>
      <c r="BH11" s="16">
        <v>0</v>
      </c>
      <c r="BI11" s="14">
        <v>0</v>
      </c>
      <c r="BJ11" s="14">
        <v>0</v>
      </c>
      <c r="BK11" s="14">
        <v>0</v>
      </c>
      <c r="BL11" s="14">
        <v>0</v>
      </c>
      <c r="BM11" s="17">
        <v>0</v>
      </c>
      <c r="BN11" s="16">
        <v>0</v>
      </c>
      <c r="BO11" s="14">
        <v>0</v>
      </c>
      <c r="BP11" s="14">
        <v>0</v>
      </c>
      <c r="BQ11" s="14">
        <v>0</v>
      </c>
      <c r="BR11" s="14">
        <v>0</v>
      </c>
      <c r="BS11" s="15">
        <v>0</v>
      </c>
      <c r="BT11" s="16">
        <v>0</v>
      </c>
      <c r="BU11" s="14">
        <v>0</v>
      </c>
      <c r="BV11" s="14">
        <v>0</v>
      </c>
      <c r="BW11" s="14">
        <v>0</v>
      </c>
      <c r="BX11" s="14">
        <v>0</v>
      </c>
      <c r="BY11" s="17">
        <v>0</v>
      </c>
      <c r="BZ11" s="16">
        <v>0</v>
      </c>
      <c r="CA11" s="14">
        <v>0</v>
      </c>
      <c r="CB11" s="14">
        <v>0</v>
      </c>
      <c r="CC11" s="14">
        <v>0</v>
      </c>
      <c r="CD11" s="14">
        <v>0</v>
      </c>
      <c r="CE11" s="15">
        <v>0</v>
      </c>
      <c r="CF11" s="16">
        <v>0</v>
      </c>
      <c r="CG11" s="14">
        <v>166.26311541565778</v>
      </c>
      <c r="CH11" s="14">
        <v>163.03470540758676</v>
      </c>
      <c r="CI11" s="14">
        <v>0</v>
      </c>
      <c r="CJ11" s="14">
        <v>0</v>
      </c>
      <c r="CK11" s="15">
        <v>0</v>
      </c>
      <c r="CL11" s="16">
        <v>0</v>
      </c>
      <c r="CM11" s="14">
        <v>50.113393716729171</v>
      </c>
      <c r="CN11" s="14">
        <v>43.554871529605684</v>
      </c>
      <c r="CO11" s="14">
        <v>0</v>
      </c>
      <c r="CP11" s="14">
        <v>0</v>
      </c>
      <c r="CQ11" s="15">
        <v>0</v>
      </c>
      <c r="CR11" s="18">
        <v>0</v>
      </c>
      <c r="CS11" s="19">
        <v>0.79499596448748988</v>
      </c>
      <c r="CT11" s="19">
        <v>0.99435028248587576</v>
      </c>
      <c r="CU11" s="19">
        <v>0</v>
      </c>
      <c r="CV11" s="19">
        <v>0</v>
      </c>
      <c r="CW11" s="20">
        <v>0</v>
      </c>
      <c r="CX11" s="18">
        <v>0</v>
      </c>
      <c r="CY11" s="19">
        <v>0.23961986801445742</v>
      </c>
      <c r="CZ11" s="19">
        <v>0.26564159269541687</v>
      </c>
      <c r="DA11" s="19">
        <v>0</v>
      </c>
      <c r="DB11" s="19">
        <v>0</v>
      </c>
      <c r="DC11" s="20">
        <v>0</v>
      </c>
    </row>
    <row r="12" spans="1:107" x14ac:dyDescent="0.25">
      <c r="A12" s="1" t="s">
        <v>29</v>
      </c>
      <c r="B12" s="12">
        <v>7509</v>
      </c>
      <c r="C12" s="12">
        <f>$B$12*X12/(SUM($X$12:$X$15))</f>
        <v>2448.1115298954942</v>
      </c>
      <c r="D12" s="12">
        <v>1904</v>
      </c>
      <c r="E12" s="12">
        <v>2509</v>
      </c>
      <c r="F12" s="12">
        <v>2518</v>
      </c>
      <c r="G12" s="12">
        <v>2440</v>
      </c>
      <c r="H12" s="12">
        <v>3107</v>
      </c>
      <c r="I12" s="1">
        <v>3.56</v>
      </c>
      <c r="J12" s="1">
        <v>2.85</v>
      </c>
      <c r="K12" s="1">
        <v>2.81</v>
      </c>
      <c r="L12" s="1">
        <v>2.85</v>
      </c>
      <c r="M12" s="1">
        <v>3.08</v>
      </c>
      <c r="N12" s="1">
        <v>3.02</v>
      </c>
      <c r="O12" s="1">
        <v>350</v>
      </c>
      <c r="P12" s="1" t="s">
        <v>26</v>
      </c>
      <c r="Q12" s="1">
        <v>72</v>
      </c>
      <c r="R12" s="3">
        <v>100</v>
      </c>
      <c r="S12" s="3">
        <v>100</v>
      </c>
      <c r="T12" s="3">
        <v>100</v>
      </c>
      <c r="U12" s="3">
        <v>100</v>
      </c>
      <c r="V12" s="3">
        <v>100</v>
      </c>
      <c r="W12" s="21">
        <v>26608.840700000001</v>
      </c>
      <c r="X12" s="21">
        <v>5394.90985</v>
      </c>
      <c r="Y12" s="21">
        <v>6378.6374999999998</v>
      </c>
      <c r="Z12" s="21">
        <v>6894.5983999999999</v>
      </c>
      <c r="AA12" s="21">
        <v>6894.5983999999999</v>
      </c>
      <c r="AB12" s="22">
        <v>8300.7335999999996</v>
      </c>
      <c r="AC12" s="16">
        <v>0</v>
      </c>
      <c r="AD12" s="14">
        <v>0.17752100840336135</v>
      </c>
      <c r="AE12" s="14">
        <v>0.13750498206456754</v>
      </c>
      <c r="AF12" s="14">
        <v>0</v>
      </c>
      <c r="AG12" s="14">
        <v>0</v>
      </c>
      <c r="AH12" s="14">
        <v>0</v>
      </c>
      <c r="AI12" s="15">
        <f t="shared" si="3"/>
        <v>0.15751299523396445</v>
      </c>
      <c r="AJ12" s="14">
        <v>0</v>
      </c>
      <c r="AK12" s="14">
        <v>6.2651649313472779E-2</v>
      </c>
      <c r="AL12" s="14">
        <v>5.4086785775175332E-2</v>
      </c>
      <c r="AM12" s="14">
        <v>0</v>
      </c>
      <c r="AN12" s="14">
        <v>0</v>
      </c>
      <c r="AO12" s="15">
        <v>0</v>
      </c>
      <c r="AP12" s="14">
        <f t="shared" si="2"/>
        <v>0</v>
      </c>
      <c r="AQ12" s="14">
        <f t="shared" si="2"/>
        <v>6.2288073123986439E-2</v>
      </c>
      <c r="AR12" s="14">
        <f t="shared" si="2"/>
        <v>4.8934157318351441E-2</v>
      </c>
      <c r="AS12" s="14">
        <f t="shared" si="2"/>
        <v>0</v>
      </c>
      <c r="AT12" s="14">
        <f t="shared" si="2"/>
        <v>0</v>
      </c>
      <c r="AU12" s="14">
        <f t="shared" si="2"/>
        <v>0</v>
      </c>
      <c r="AV12" s="16">
        <v>0</v>
      </c>
      <c r="AW12" s="14">
        <v>0</v>
      </c>
      <c r="AX12" s="14">
        <v>0</v>
      </c>
      <c r="AY12" s="14">
        <v>0</v>
      </c>
      <c r="AZ12" s="14">
        <v>0</v>
      </c>
      <c r="BA12" s="15">
        <v>0</v>
      </c>
      <c r="BB12" s="16">
        <v>0</v>
      </c>
      <c r="BC12" s="14">
        <v>0</v>
      </c>
      <c r="BD12" s="14">
        <v>0</v>
      </c>
      <c r="BE12" s="14">
        <v>0</v>
      </c>
      <c r="BF12" s="14">
        <v>0</v>
      </c>
      <c r="BG12" s="15">
        <v>0</v>
      </c>
      <c r="BH12" s="16">
        <v>0</v>
      </c>
      <c r="BI12" s="14">
        <v>0</v>
      </c>
      <c r="BJ12" s="14">
        <v>0</v>
      </c>
      <c r="BK12" s="14">
        <v>0</v>
      </c>
      <c r="BL12" s="14">
        <v>0</v>
      </c>
      <c r="BM12" s="17">
        <v>0</v>
      </c>
      <c r="BN12" s="16">
        <v>0</v>
      </c>
      <c r="BO12" s="14">
        <v>0</v>
      </c>
      <c r="BP12" s="14">
        <v>0</v>
      </c>
      <c r="BQ12" s="14">
        <v>0</v>
      </c>
      <c r="BR12" s="14">
        <v>0</v>
      </c>
      <c r="BS12" s="15">
        <v>0</v>
      </c>
      <c r="BT12" s="16">
        <v>0</v>
      </c>
      <c r="BU12" s="14">
        <v>0</v>
      </c>
      <c r="BV12" s="14">
        <v>0</v>
      </c>
      <c r="BW12" s="14">
        <v>0</v>
      </c>
      <c r="BX12" s="14">
        <v>0</v>
      </c>
      <c r="BY12" s="17">
        <v>0</v>
      </c>
      <c r="BZ12" s="16">
        <v>0</v>
      </c>
      <c r="CA12" s="14">
        <v>0</v>
      </c>
      <c r="CB12" s="14">
        <v>0</v>
      </c>
      <c r="CC12" s="14">
        <v>0</v>
      </c>
      <c r="CD12" s="14">
        <v>0</v>
      </c>
      <c r="CE12" s="15">
        <v>0</v>
      </c>
      <c r="CF12" s="16">
        <v>0</v>
      </c>
      <c r="CG12" s="14">
        <v>43.592436974789919</v>
      </c>
      <c r="CH12" s="14">
        <v>31.088082901554404</v>
      </c>
      <c r="CI12" s="14">
        <v>0</v>
      </c>
      <c r="CJ12" s="14">
        <v>0</v>
      </c>
      <c r="CK12" s="15">
        <v>0</v>
      </c>
      <c r="CL12" s="16">
        <v>0</v>
      </c>
      <c r="CM12" s="14">
        <v>17.416664069030677</v>
      </c>
      <c r="CN12" s="14">
        <v>14.458072918493716</v>
      </c>
      <c r="CO12" s="14">
        <v>0</v>
      </c>
      <c r="CP12" s="14">
        <v>0</v>
      </c>
      <c r="CQ12" s="15">
        <v>0</v>
      </c>
      <c r="CR12" s="18">
        <v>0</v>
      </c>
      <c r="CS12" s="19">
        <v>0.38445378151260506</v>
      </c>
      <c r="CT12" s="19">
        <v>0.33359904344360303</v>
      </c>
      <c r="CU12" s="19">
        <v>0</v>
      </c>
      <c r="CV12" s="19">
        <v>0</v>
      </c>
      <c r="CW12" s="20">
        <v>0</v>
      </c>
      <c r="CX12" s="18">
        <v>0</v>
      </c>
      <c r="CY12" s="19">
        <v>0.15360238672928259</v>
      </c>
      <c r="CZ12" s="19">
        <v>0.15514624400999028</v>
      </c>
      <c r="DA12" s="19">
        <v>0</v>
      </c>
      <c r="DB12" s="19">
        <v>0</v>
      </c>
      <c r="DC12" s="20">
        <v>0</v>
      </c>
    </row>
    <row r="13" spans="1:107" x14ac:dyDescent="0.25">
      <c r="A13" s="1" t="s">
        <v>30</v>
      </c>
      <c r="B13" s="12"/>
      <c r="C13" s="12">
        <f>$B$12*X13/(SUM($X$12:$X$15))</f>
        <v>2716.9792701730339</v>
      </c>
      <c r="D13" s="12">
        <v>1549</v>
      </c>
      <c r="E13" s="12">
        <v>3711</v>
      </c>
      <c r="F13" s="12">
        <v>3274</v>
      </c>
      <c r="G13" s="12">
        <v>3514</v>
      </c>
      <c r="H13" s="12">
        <v>3414</v>
      </c>
      <c r="I13" s="1">
        <v>0</v>
      </c>
      <c r="J13" s="1">
        <v>3.96</v>
      </c>
      <c r="K13" s="1">
        <v>3.95</v>
      </c>
      <c r="L13" s="1">
        <v>4.1399999999999997</v>
      </c>
      <c r="M13" s="1">
        <v>4.03</v>
      </c>
      <c r="N13" s="1">
        <v>4.09</v>
      </c>
      <c r="O13" s="1">
        <v>955</v>
      </c>
      <c r="P13" s="1" t="s">
        <v>26</v>
      </c>
      <c r="Q13" s="1">
        <v>72</v>
      </c>
      <c r="R13" s="3">
        <v>65.7</v>
      </c>
      <c r="S13" s="3">
        <v>61.1</v>
      </c>
      <c r="T13" s="3">
        <v>62.9</v>
      </c>
      <c r="U13" s="3">
        <v>66.2</v>
      </c>
      <c r="V13" s="3">
        <v>67.600000000000009</v>
      </c>
      <c r="W13" s="21">
        <v>0</v>
      </c>
      <c r="X13" s="21">
        <v>5987.4143999999997</v>
      </c>
      <c r="Y13" s="21">
        <v>12229.974299999998</v>
      </c>
      <c r="Z13" s="21">
        <v>12011.683149999999</v>
      </c>
      <c r="AA13" s="21">
        <v>12796.9643</v>
      </c>
      <c r="AB13" s="22">
        <v>12167.605399999999</v>
      </c>
      <c r="AC13" s="16">
        <v>0</v>
      </c>
      <c r="AD13" s="14">
        <v>0.15558424790187217</v>
      </c>
      <c r="AE13" s="14">
        <v>7.4912422527620592E-2</v>
      </c>
      <c r="AF13" s="14">
        <v>0</v>
      </c>
      <c r="AG13" s="14">
        <v>0</v>
      </c>
      <c r="AH13" s="14">
        <v>0</v>
      </c>
      <c r="AI13" s="15">
        <f t="shared" si="3"/>
        <v>0.11524833521474638</v>
      </c>
      <c r="AJ13" s="14">
        <v>0</v>
      </c>
      <c r="AK13" s="14">
        <v>4.025109736850685E-2</v>
      </c>
      <c r="AL13" s="14">
        <v>2.2731037137175347E-2</v>
      </c>
      <c r="AM13" s="14">
        <v>0</v>
      </c>
      <c r="AN13" s="14">
        <v>0</v>
      </c>
      <c r="AO13" s="15">
        <v>0</v>
      </c>
      <c r="AP13" s="14"/>
      <c r="AQ13" s="14">
        <f t="shared" ref="AQ13:AU16" si="4">AD13/J13</f>
        <v>3.928895149037176E-2</v>
      </c>
      <c r="AR13" s="14">
        <f t="shared" si="4"/>
        <v>1.8965170260157111E-2</v>
      </c>
      <c r="AS13" s="14">
        <f t="shared" si="4"/>
        <v>0</v>
      </c>
      <c r="AT13" s="14">
        <f t="shared" si="4"/>
        <v>0</v>
      </c>
      <c r="AU13" s="14">
        <f t="shared" si="4"/>
        <v>0</v>
      </c>
      <c r="AV13" s="16">
        <v>0</v>
      </c>
      <c r="AW13" s="14">
        <v>0</v>
      </c>
      <c r="AX13" s="14">
        <v>0</v>
      </c>
      <c r="AY13" s="14">
        <v>0</v>
      </c>
      <c r="AZ13" s="14">
        <v>0</v>
      </c>
      <c r="BA13" s="15">
        <v>0</v>
      </c>
      <c r="BB13" s="16">
        <v>0</v>
      </c>
      <c r="BC13" s="14">
        <v>0</v>
      </c>
      <c r="BD13" s="14">
        <v>0</v>
      </c>
      <c r="BE13" s="14">
        <v>0</v>
      </c>
      <c r="BF13" s="14">
        <v>0</v>
      </c>
      <c r="BG13" s="15">
        <v>0</v>
      </c>
      <c r="BH13" s="16">
        <v>0</v>
      </c>
      <c r="BI13" s="14">
        <v>0</v>
      </c>
      <c r="BJ13" s="14">
        <v>0</v>
      </c>
      <c r="BK13" s="14">
        <v>0</v>
      </c>
      <c r="BL13" s="14">
        <v>0</v>
      </c>
      <c r="BM13" s="17">
        <v>0</v>
      </c>
      <c r="BN13" s="16">
        <v>0</v>
      </c>
      <c r="BO13" s="14">
        <v>0</v>
      </c>
      <c r="BP13" s="14">
        <v>0</v>
      </c>
      <c r="BQ13" s="14">
        <v>0</v>
      </c>
      <c r="BR13" s="14">
        <v>0</v>
      </c>
      <c r="BS13" s="15">
        <v>0</v>
      </c>
      <c r="BT13" s="16">
        <v>0</v>
      </c>
      <c r="BU13" s="14">
        <v>0</v>
      </c>
      <c r="BV13" s="14">
        <v>0</v>
      </c>
      <c r="BW13" s="14">
        <v>0</v>
      </c>
      <c r="BX13" s="14">
        <v>0</v>
      </c>
      <c r="BY13" s="17">
        <v>0</v>
      </c>
      <c r="BZ13" s="16">
        <v>0</v>
      </c>
      <c r="CA13" s="14">
        <v>0</v>
      </c>
      <c r="CB13" s="14">
        <v>0</v>
      </c>
      <c r="CC13" s="14">
        <v>0</v>
      </c>
      <c r="CD13" s="14">
        <v>0</v>
      </c>
      <c r="CE13" s="15">
        <v>0</v>
      </c>
      <c r="CF13" s="16">
        <v>0</v>
      </c>
      <c r="CG13" s="14">
        <v>45.836023240800515</v>
      </c>
      <c r="CH13" s="14">
        <v>21.288062516841823</v>
      </c>
      <c r="CI13" s="14">
        <v>0</v>
      </c>
      <c r="CJ13" s="14">
        <v>0</v>
      </c>
      <c r="CK13" s="15">
        <v>0</v>
      </c>
      <c r="CL13" s="16">
        <v>0</v>
      </c>
      <c r="CM13" s="14">
        <v>13.091758187813754</v>
      </c>
      <c r="CN13" s="14">
        <v>7.3662312109761965</v>
      </c>
      <c r="CO13" s="14">
        <v>0</v>
      </c>
      <c r="CP13" s="14">
        <v>0</v>
      </c>
      <c r="CQ13" s="15">
        <v>0</v>
      </c>
      <c r="CR13" s="18">
        <v>0</v>
      </c>
      <c r="CS13" s="19"/>
      <c r="CT13" s="19">
        <v>0.14093236324440853</v>
      </c>
      <c r="CU13" s="19">
        <v>0</v>
      </c>
      <c r="CV13" s="19">
        <v>0</v>
      </c>
      <c r="CW13" s="20">
        <v>0</v>
      </c>
      <c r="CX13" s="18">
        <v>0</v>
      </c>
      <c r="CY13" s="19">
        <v>3.1346463266596312E-2</v>
      </c>
      <c r="CZ13" s="19">
        <v>4.8766315485323432E-2</v>
      </c>
      <c r="DA13" s="19">
        <v>0</v>
      </c>
      <c r="DB13" s="19">
        <v>0</v>
      </c>
      <c r="DC13" s="20">
        <v>0</v>
      </c>
    </row>
    <row r="14" spans="1:107" x14ac:dyDescent="0.25">
      <c r="A14" s="1" t="s">
        <v>31</v>
      </c>
      <c r="B14" s="12">
        <v>0</v>
      </c>
      <c r="C14" s="12">
        <f>$B$12*X14/(SUM($X$12:$X$15))</f>
        <v>1129.5017988692823</v>
      </c>
      <c r="D14" s="12">
        <v>627</v>
      </c>
      <c r="E14" s="12">
        <v>1950</v>
      </c>
      <c r="F14" s="12">
        <v>2439</v>
      </c>
      <c r="G14" s="12">
        <v>2756</v>
      </c>
      <c r="H14" s="12">
        <v>2349</v>
      </c>
      <c r="I14" s="1">
        <v>0</v>
      </c>
      <c r="J14" s="1">
        <v>4.18</v>
      </c>
      <c r="K14" s="1">
        <v>4.46</v>
      </c>
      <c r="L14" s="1">
        <v>4.16</v>
      </c>
      <c r="M14" s="1">
        <v>4.07</v>
      </c>
      <c r="N14" s="1">
        <v>4.7</v>
      </c>
      <c r="O14" s="1">
        <v>1350</v>
      </c>
      <c r="P14" s="1" t="s">
        <v>26</v>
      </c>
      <c r="Q14" s="1">
        <v>72</v>
      </c>
      <c r="R14" s="3">
        <v>5.100000000000005</v>
      </c>
      <c r="S14" s="3">
        <v>22.499999999999996</v>
      </c>
      <c r="T14" s="3">
        <v>28.800000000000004</v>
      </c>
      <c r="U14" s="3">
        <v>24.9</v>
      </c>
      <c r="V14" s="3">
        <v>23.7</v>
      </c>
      <c r="W14" s="21">
        <v>0</v>
      </c>
      <c r="X14" s="21">
        <v>2489.0861</v>
      </c>
      <c r="Y14" s="21">
        <v>7172.4234999999999</v>
      </c>
      <c r="Z14" s="21">
        <v>9233.4321499999987</v>
      </c>
      <c r="AA14" s="21">
        <v>9740.8881999999994</v>
      </c>
      <c r="AB14" s="22">
        <v>9395.0242999999991</v>
      </c>
      <c r="AC14" s="16">
        <v>0</v>
      </c>
      <c r="AD14" s="14">
        <v>0.49441786283891548</v>
      </c>
      <c r="AE14" s="14">
        <v>0.2153846153846154</v>
      </c>
      <c r="AF14" s="14">
        <v>0</v>
      </c>
      <c r="AG14" s="14">
        <v>0</v>
      </c>
      <c r="AH14" s="14">
        <v>0</v>
      </c>
      <c r="AI14" s="15">
        <f t="shared" si="3"/>
        <v>0.35490123911176541</v>
      </c>
      <c r="AJ14" s="14">
        <v>0</v>
      </c>
      <c r="AK14" s="14">
        <v>0.12454370300810406</v>
      </c>
      <c r="AL14" s="14">
        <v>5.8557613057845792E-2</v>
      </c>
      <c r="AM14" s="14">
        <v>0</v>
      </c>
      <c r="AN14" s="14">
        <v>0</v>
      </c>
      <c r="AO14" s="15">
        <v>0</v>
      </c>
      <c r="AP14" s="14"/>
      <c r="AQ14" s="14">
        <f t="shared" si="4"/>
        <v>0.1182817853681616</v>
      </c>
      <c r="AR14" s="14">
        <f t="shared" si="4"/>
        <v>4.8292514660227666E-2</v>
      </c>
      <c r="AS14" s="14">
        <f t="shared" si="4"/>
        <v>0</v>
      </c>
      <c r="AT14" s="14">
        <f t="shared" si="4"/>
        <v>0</v>
      </c>
      <c r="AU14" s="14">
        <f t="shared" si="4"/>
        <v>0</v>
      </c>
      <c r="AV14" s="16">
        <v>0</v>
      </c>
      <c r="AW14" s="14">
        <v>0</v>
      </c>
      <c r="AX14" s="14">
        <v>0</v>
      </c>
      <c r="AY14" s="14">
        <v>0</v>
      </c>
      <c r="AZ14" s="14">
        <v>0</v>
      </c>
      <c r="BA14" s="15">
        <v>0</v>
      </c>
      <c r="BB14" s="16">
        <v>0</v>
      </c>
      <c r="BC14" s="14">
        <v>0</v>
      </c>
      <c r="BD14" s="14">
        <v>0</v>
      </c>
      <c r="BE14" s="14">
        <v>0</v>
      </c>
      <c r="BF14" s="14">
        <v>0</v>
      </c>
      <c r="BG14" s="15">
        <v>0</v>
      </c>
      <c r="BH14" s="16">
        <v>0</v>
      </c>
      <c r="BI14" s="14">
        <v>0</v>
      </c>
      <c r="BJ14" s="14">
        <v>0</v>
      </c>
      <c r="BK14" s="14">
        <v>0</v>
      </c>
      <c r="BL14" s="14">
        <v>0</v>
      </c>
      <c r="BM14" s="17">
        <v>0</v>
      </c>
      <c r="BN14" s="16">
        <v>0</v>
      </c>
      <c r="BO14" s="14">
        <v>0</v>
      </c>
      <c r="BP14" s="14">
        <v>0</v>
      </c>
      <c r="BQ14" s="14">
        <v>0</v>
      </c>
      <c r="BR14" s="14">
        <v>0</v>
      </c>
      <c r="BS14" s="15">
        <v>0</v>
      </c>
      <c r="BT14" s="16">
        <v>0</v>
      </c>
      <c r="BU14" s="14">
        <v>0</v>
      </c>
      <c r="BV14" s="14">
        <v>0</v>
      </c>
      <c r="BW14" s="14">
        <v>0</v>
      </c>
      <c r="BX14" s="14">
        <v>0</v>
      </c>
      <c r="BY14" s="17">
        <v>0</v>
      </c>
      <c r="BZ14" s="16">
        <v>0</v>
      </c>
      <c r="CA14" s="14">
        <v>0</v>
      </c>
      <c r="CB14" s="14">
        <v>0</v>
      </c>
      <c r="CC14" s="14">
        <v>0</v>
      </c>
      <c r="CD14" s="14">
        <v>0</v>
      </c>
      <c r="CE14" s="15">
        <v>0</v>
      </c>
      <c r="CF14" s="16">
        <v>0</v>
      </c>
      <c r="CG14" s="14">
        <v>146.7304625199362</v>
      </c>
      <c r="CH14" s="14">
        <v>61.025641025641029</v>
      </c>
      <c r="CI14" s="14">
        <v>0</v>
      </c>
      <c r="CJ14" s="14">
        <v>0</v>
      </c>
      <c r="CK14" s="15">
        <v>0</v>
      </c>
      <c r="CL14" s="16">
        <v>0</v>
      </c>
      <c r="CM14" s="14">
        <v>39.575696908664881</v>
      </c>
      <c r="CN14" s="14">
        <v>18.140038444381641</v>
      </c>
      <c r="CO14" s="14">
        <v>0</v>
      </c>
      <c r="CP14" s="14">
        <v>0</v>
      </c>
      <c r="CQ14" s="15">
        <v>0</v>
      </c>
      <c r="CR14" s="18">
        <v>0</v>
      </c>
      <c r="CS14" s="19">
        <v>0.57735247208931417</v>
      </c>
      <c r="CT14" s="19">
        <v>0.67282051282051281</v>
      </c>
      <c r="CU14" s="19">
        <v>0</v>
      </c>
      <c r="CV14" s="19">
        <v>0</v>
      </c>
      <c r="CW14" s="20">
        <v>0</v>
      </c>
      <c r="CX14" s="18">
        <v>0</v>
      </c>
      <c r="CY14" s="19">
        <v>0.15572176392322487</v>
      </c>
      <c r="CZ14" s="19">
        <v>0.19999773478175392</v>
      </c>
      <c r="DA14" s="19">
        <v>0</v>
      </c>
      <c r="DB14" s="19">
        <v>0</v>
      </c>
      <c r="DC14" s="20">
        <v>0</v>
      </c>
    </row>
    <row r="15" spans="1:107" x14ac:dyDescent="0.25">
      <c r="A15" s="1" t="s">
        <v>32</v>
      </c>
      <c r="B15" s="12"/>
      <c r="C15" s="12">
        <f t="shared" ref="C15" si="5">$B$12*X15/(SUM($X$12:$X$15))</f>
        <v>1214.4074010621898</v>
      </c>
      <c r="D15" s="12">
        <v>5151</v>
      </c>
      <c r="E15" s="12">
        <v>5321</v>
      </c>
      <c r="F15" s="12">
        <v>4883</v>
      </c>
      <c r="G15" s="12">
        <v>4982</v>
      </c>
      <c r="H15" s="12">
        <v>5087</v>
      </c>
      <c r="I15" s="1">
        <v>0</v>
      </c>
      <c r="J15" s="1">
        <v>1.33</v>
      </c>
      <c r="K15" s="1">
        <v>1.41</v>
      </c>
      <c r="L15" s="1">
        <v>1.24</v>
      </c>
      <c r="M15" s="1">
        <v>1.23</v>
      </c>
      <c r="N15" s="1">
        <v>1.18</v>
      </c>
      <c r="O15" s="1"/>
      <c r="P15" s="1"/>
      <c r="Q15" s="1">
        <v>72</v>
      </c>
      <c r="R15" s="3">
        <v>0</v>
      </c>
      <c r="S15" s="3">
        <v>0</v>
      </c>
      <c r="T15" s="3">
        <v>0</v>
      </c>
      <c r="U15" s="3">
        <v>100</v>
      </c>
      <c r="V15" s="3">
        <v>0</v>
      </c>
      <c r="W15" s="21">
        <v>0</v>
      </c>
      <c r="X15" s="21">
        <v>2676.1928000000003</v>
      </c>
      <c r="Y15" s="21">
        <v>2701.7073499999997</v>
      </c>
      <c r="Z15" s="21">
        <v>2086.5231999999996</v>
      </c>
      <c r="AA15" s="21">
        <v>1856.8922499999999</v>
      </c>
      <c r="AB15" s="22">
        <v>1851.2223499999998</v>
      </c>
      <c r="AC15" s="16">
        <v>0</v>
      </c>
      <c r="AD15" s="14">
        <v>0</v>
      </c>
      <c r="AE15" s="14">
        <v>0</v>
      </c>
      <c r="AF15" s="14">
        <v>0</v>
      </c>
      <c r="AG15" s="14">
        <v>0</v>
      </c>
      <c r="AH15" s="14">
        <v>0</v>
      </c>
      <c r="AI15" s="15"/>
      <c r="AJ15" s="14">
        <v>0</v>
      </c>
      <c r="AK15" s="14">
        <v>0</v>
      </c>
      <c r="AL15" s="14">
        <v>0</v>
      </c>
      <c r="AM15" s="14">
        <v>0</v>
      </c>
      <c r="AN15" s="14">
        <v>0</v>
      </c>
      <c r="AO15" s="15">
        <v>0</v>
      </c>
      <c r="AP15" s="14"/>
      <c r="AQ15" s="14">
        <f t="shared" si="4"/>
        <v>0</v>
      </c>
      <c r="AR15" s="14">
        <f t="shared" si="4"/>
        <v>0</v>
      </c>
      <c r="AS15" s="14">
        <f t="shared" si="4"/>
        <v>0</v>
      </c>
      <c r="AT15" s="14">
        <f t="shared" si="4"/>
        <v>0</v>
      </c>
      <c r="AU15" s="14">
        <f t="shared" si="4"/>
        <v>0</v>
      </c>
      <c r="AV15" s="16">
        <v>0</v>
      </c>
      <c r="AW15" s="14">
        <v>0</v>
      </c>
      <c r="AX15" s="14">
        <v>0</v>
      </c>
      <c r="AY15" s="14">
        <v>0</v>
      </c>
      <c r="AZ15" s="14">
        <v>0</v>
      </c>
      <c r="BA15" s="15">
        <v>0</v>
      </c>
      <c r="BB15" s="16">
        <v>0</v>
      </c>
      <c r="BC15" s="14">
        <v>0</v>
      </c>
      <c r="BD15" s="14">
        <v>0</v>
      </c>
      <c r="BE15" s="14">
        <v>0</v>
      </c>
      <c r="BF15" s="14">
        <v>0</v>
      </c>
      <c r="BG15" s="15">
        <v>0</v>
      </c>
      <c r="BH15" s="16">
        <v>0</v>
      </c>
      <c r="BI15" s="14">
        <v>0</v>
      </c>
      <c r="BJ15" s="14">
        <v>0</v>
      </c>
      <c r="BK15" s="14">
        <v>0</v>
      </c>
      <c r="BL15" s="14">
        <v>0</v>
      </c>
      <c r="BM15" s="17">
        <v>0</v>
      </c>
      <c r="BN15" s="16">
        <v>0</v>
      </c>
      <c r="BO15" s="14">
        <v>0</v>
      </c>
      <c r="BP15" s="14">
        <v>0</v>
      </c>
      <c r="BQ15" s="14">
        <v>0</v>
      </c>
      <c r="BR15" s="14">
        <v>0</v>
      </c>
      <c r="BS15" s="15">
        <v>0</v>
      </c>
      <c r="BT15" s="16">
        <v>0</v>
      </c>
      <c r="BU15" s="14">
        <v>0</v>
      </c>
      <c r="BV15" s="14">
        <v>0</v>
      </c>
      <c r="BW15" s="14">
        <v>0</v>
      </c>
      <c r="BX15" s="14">
        <v>0</v>
      </c>
      <c r="BY15" s="17">
        <v>0</v>
      </c>
      <c r="BZ15" s="16">
        <v>0</v>
      </c>
      <c r="CA15" s="14">
        <v>0</v>
      </c>
      <c r="CB15" s="14">
        <v>0</v>
      </c>
      <c r="CC15" s="14">
        <v>0</v>
      </c>
      <c r="CD15" s="14">
        <v>0</v>
      </c>
      <c r="CE15" s="15">
        <v>0</v>
      </c>
      <c r="CF15" s="16">
        <v>0</v>
      </c>
      <c r="CG15" s="14">
        <v>0</v>
      </c>
      <c r="CH15" s="14">
        <v>0</v>
      </c>
      <c r="CI15" s="14">
        <v>0</v>
      </c>
      <c r="CJ15" s="14">
        <v>0</v>
      </c>
      <c r="CK15" s="15">
        <v>0</v>
      </c>
      <c r="CL15" s="16">
        <v>0</v>
      </c>
      <c r="CM15" s="14">
        <v>0</v>
      </c>
      <c r="CN15" s="14">
        <v>0</v>
      </c>
      <c r="CO15" s="14">
        <v>0</v>
      </c>
      <c r="CP15" s="14">
        <v>0</v>
      </c>
      <c r="CQ15" s="15">
        <v>0</v>
      </c>
      <c r="CR15" s="18">
        <v>0</v>
      </c>
      <c r="CS15" s="19">
        <v>0</v>
      </c>
      <c r="CT15" s="19">
        <v>0</v>
      </c>
      <c r="CU15" s="19">
        <v>0</v>
      </c>
      <c r="CV15" s="19">
        <v>0</v>
      </c>
      <c r="CW15" s="20">
        <v>0</v>
      </c>
      <c r="CX15" s="18">
        <v>0</v>
      </c>
      <c r="CY15" s="19">
        <v>0</v>
      </c>
      <c r="CZ15" s="19">
        <v>0</v>
      </c>
      <c r="DA15" s="19">
        <v>0</v>
      </c>
      <c r="DB15" s="19">
        <v>0</v>
      </c>
      <c r="DC15" s="20">
        <v>0</v>
      </c>
    </row>
    <row r="16" spans="1:107" x14ac:dyDescent="0.25">
      <c r="A16" s="1" t="s">
        <v>33</v>
      </c>
      <c r="B16" s="12">
        <v>2848</v>
      </c>
      <c r="C16" s="12">
        <f>B16</f>
        <v>2848</v>
      </c>
      <c r="D16" s="12">
        <v>4830</v>
      </c>
      <c r="E16" s="12">
        <v>4624</v>
      </c>
      <c r="F16" s="12">
        <v>3744</v>
      </c>
      <c r="G16" s="12">
        <v>3782</v>
      </c>
      <c r="H16" s="12">
        <v>2154</v>
      </c>
      <c r="I16" s="1">
        <v>2.4300000000000002</v>
      </c>
      <c r="J16" s="1">
        <v>3.53</v>
      </c>
      <c r="K16" s="1">
        <v>3.55</v>
      </c>
      <c r="L16" s="1">
        <v>3.63</v>
      </c>
      <c r="M16" s="1">
        <v>3.75</v>
      </c>
      <c r="N16" s="1">
        <v>3.8</v>
      </c>
      <c r="O16" s="1">
        <v>450</v>
      </c>
      <c r="P16" s="1" t="s">
        <v>26</v>
      </c>
      <c r="Q16" s="1">
        <v>100</v>
      </c>
      <c r="R16" s="3">
        <v>100</v>
      </c>
      <c r="S16" s="3">
        <v>100</v>
      </c>
      <c r="T16" s="3">
        <v>100</v>
      </c>
      <c r="U16" s="3">
        <v>100</v>
      </c>
      <c r="V16" s="3">
        <v>100</v>
      </c>
      <c r="W16" s="21">
        <v>31564.333300000002</v>
      </c>
      <c r="X16" s="21">
        <v>27544.374199999998</v>
      </c>
      <c r="Y16" s="21">
        <v>28956.1793</v>
      </c>
      <c r="Z16" s="21">
        <v>24754.7834</v>
      </c>
      <c r="AA16" s="21">
        <v>25282.084099999996</v>
      </c>
      <c r="AB16" s="22">
        <v>14818.283650000001</v>
      </c>
      <c r="AC16" s="16">
        <v>0.76069285594337266</v>
      </c>
      <c r="AD16" s="14"/>
      <c r="AE16" s="14"/>
      <c r="AF16" s="14"/>
      <c r="AG16" s="14"/>
      <c r="AH16" s="14">
        <v>0</v>
      </c>
      <c r="AI16" s="15"/>
      <c r="AJ16" s="14">
        <v>6.8636116376540907E-2</v>
      </c>
      <c r="AK16" s="14"/>
      <c r="AL16" s="14"/>
      <c r="AM16" s="14"/>
      <c r="AN16" s="14"/>
      <c r="AO16" s="15">
        <v>0</v>
      </c>
      <c r="AP16" s="14">
        <f>AC16/I16</f>
        <v>0.31304232754871303</v>
      </c>
      <c r="AQ16" s="14">
        <f t="shared" si="4"/>
        <v>0</v>
      </c>
      <c r="AR16" s="14">
        <f t="shared" si="4"/>
        <v>0</v>
      </c>
      <c r="AS16" s="14">
        <f t="shared" si="4"/>
        <v>0</v>
      </c>
      <c r="AT16" s="14">
        <f t="shared" si="4"/>
        <v>0</v>
      </c>
      <c r="AU16" s="14">
        <f t="shared" si="4"/>
        <v>0</v>
      </c>
      <c r="AV16" s="16">
        <v>0</v>
      </c>
      <c r="AW16" s="14">
        <v>0</v>
      </c>
      <c r="AX16" s="14"/>
      <c r="AY16" s="14"/>
      <c r="AZ16" s="14"/>
      <c r="BA16" s="15">
        <v>0</v>
      </c>
      <c r="BB16" s="16">
        <v>0</v>
      </c>
      <c r="BC16" s="14">
        <v>0</v>
      </c>
      <c r="BD16" s="14"/>
      <c r="BE16" s="14"/>
      <c r="BF16" s="14"/>
      <c r="BG16" s="15">
        <v>0</v>
      </c>
      <c r="BH16" s="16">
        <v>0</v>
      </c>
      <c r="BI16" s="14">
        <v>0</v>
      </c>
      <c r="BJ16" s="14"/>
      <c r="BK16" s="14"/>
      <c r="BL16" s="14"/>
      <c r="BM16" s="17">
        <v>0</v>
      </c>
      <c r="BN16" s="16">
        <v>0</v>
      </c>
      <c r="BO16" s="14">
        <v>0</v>
      </c>
      <c r="BP16" s="14"/>
      <c r="BQ16" s="14"/>
      <c r="BR16" s="14"/>
      <c r="BS16" s="15">
        <v>0</v>
      </c>
      <c r="BT16" s="16">
        <v>0</v>
      </c>
      <c r="BU16" s="14">
        <v>0</v>
      </c>
      <c r="BV16" s="14"/>
      <c r="BW16" s="14"/>
      <c r="BX16" s="14"/>
      <c r="BY16" s="17">
        <v>0</v>
      </c>
      <c r="BZ16" s="16">
        <v>0</v>
      </c>
      <c r="CA16" s="14">
        <v>0</v>
      </c>
      <c r="CB16" s="14"/>
      <c r="CC16" s="14"/>
      <c r="CD16" s="14"/>
      <c r="CE16" s="15"/>
      <c r="CF16" s="16"/>
      <c r="CG16" s="14"/>
      <c r="CH16" s="14"/>
      <c r="CI16" s="14"/>
      <c r="CJ16" s="14"/>
      <c r="CK16" s="15"/>
      <c r="CL16" s="16"/>
      <c r="CM16" s="14"/>
      <c r="CN16" s="14"/>
      <c r="CO16" s="14"/>
      <c r="CP16" s="14"/>
      <c r="CQ16" s="15"/>
      <c r="CR16" s="18"/>
      <c r="CS16" s="19"/>
      <c r="CT16" s="19"/>
      <c r="CU16" s="19"/>
      <c r="CV16" s="19"/>
      <c r="CW16" s="20"/>
      <c r="CX16" s="18"/>
      <c r="CY16" s="19"/>
      <c r="CZ16" s="19"/>
      <c r="DA16" s="19"/>
      <c r="DB16" s="19"/>
      <c r="DC16" s="20"/>
    </row>
    <row r="17" spans="1:107" x14ac:dyDescent="0.25">
      <c r="A17" s="1" t="s">
        <v>34</v>
      </c>
      <c r="B17" s="12">
        <v>2461</v>
      </c>
      <c r="C17" s="12">
        <f>B17</f>
        <v>2461</v>
      </c>
      <c r="D17" s="12">
        <v>2479</v>
      </c>
      <c r="E17" s="12">
        <v>2301</v>
      </c>
      <c r="F17" s="12">
        <v>2375</v>
      </c>
      <c r="G17" s="12">
        <v>2305</v>
      </c>
      <c r="H17" s="12">
        <v>2407</v>
      </c>
      <c r="I17" s="1">
        <v>4.1100000000000003</v>
      </c>
      <c r="J17" s="1">
        <v>3.53</v>
      </c>
      <c r="K17" s="1">
        <v>3.55</v>
      </c>
      <c r="L17" s="1">
        <v>3.63</v>
      </c>
      <c r="M17" s="1">
        <v>3.75</v>
      </c>
      <c r="N17" s="1">
        <v>3.8</v>
      </c>
      <c r="O17" s="1">
        <v>500</v>
      </c>
      <c r="P17" s="1" t="s">
        <v>26</v>
      </c>
      <c r="Q17" s="1">
        <v>23.778501628664493</v>
      </c>
      <c r="R17" s="3">
        <v>22.784297855119384</v>
      </c>
      <c r="S17" s="3">
        <v>17.999999999999993</v>
      </c>
      <c r="T17" s="3">
        <v>17.827181208053688</v>
      </c>
      <c r="U17" s="3">
        <v>11.295971978984243</v>
      </c>
      <c r="V17" s="3">
        <v>3.2967032967032961</v>
      </c>
      <c r="W17" s="21">
        <v>7026.8572215019767</v>
      </c>
      <c r="X17" s="21">
        <v>6477.1682602371538</v>
      </c>
      <c r="Y17" s="21">
        <v>6922.3179111111112</v>
      </c>
      <c r="Z17" s="21">
        <v>7249.4396416666668</v>
      </c>
      <c r="AA17" s="21">
        <v>8364.8318195000011</v>
      </c>
      <c r="AB17" s="22">
        <v>8954.1045265000012</v>
      </c>
      <c r="AC17" s="16">
        <v>0.54967318061812021</v>
      </c>
      <c r="AD17" s="14">
        <v>0.56178276738944477</v>
      </c>
      <c r="AE17" s="14">
        <v>0.57531886720065739</v>
      </c>
      <c r="AF17" s="14">
        <v>0.58653492499401305</v>
      </c>
      <c r="AG17" s="14">
        <v>0.60846008491902803</v>
      </c>
      <c r="AH17" s="14">
        <v>0</v>
      </c>
      <c r="AI17" s="15">
        <f>AVERAGEA(AC17)</f>
        <v>0.54967318061812021</v>
      </c>
      <c r="AJ17" s="14">
        <v>0.19251077044255741</v>
      </c>
      <c r="AK17" s="14">
        <v>0.21501054541193021</v>
      </c>
      <c r="AL17" s="14">
        <v>0.19123778052779813</v>
      </c>
      <c r="AM17" s="14">
        <v>0.19215560315231781</v>
      </c>
      <c r="AN17" s="14">
        <v>0.16766631129018833</v>
      </c>
      <c r="AO17" s="15">
        <v>0</v>
      </c>
      <c r="AP17" s="14">
        <f>AC17/I17</f>
        <v>0.13374043324041854</v>
      </c>
      <c r="AQ17" s="14">
        <f t="shared" ref="AQ17:AT18" si="6">AD17/J17</f>
        <v>0.15914525988369541</v>
      </c>
      <c r="AR17" s="14">
        <f t="shared" si="6"/>
        <v>0.16206165273257955</v>
      </c>
      <c r="AS17" s="14">
        <f t="shared" si="6"/>
        <v>0.16157986914435621</v>
      </c>
      <c r="AT17" s="14">
        <f t="shared" si="6"/>
        <v>0.16225602264507413</v>
      </c>
      <c r="AU17" s="14"/>
      <c r="AV17" s="16">
        <v>0</v>
      </c>
      <c r="AW17" s="14">
        <v>0</v>
      </c>
      <c r="AX17" s="14">
        <v>0.75880052151238597</v>
      </c>
      <c r="AY17" s="14">
        <v>0.90400000000000003</v>
      </c>
      <c r="AZ17" s="14">
        <v>0.98004338394793922</v>
      </c>
      <c r="BA17" s="15">
        <v>0</v>
      </c>
      <c r="BB17" s="16">
        <v>0</v>
      </c>
      <c r="BC17" s="14">
        <v>0</v>
      </c>
      <c r="BD17" s="14">
        <v>0.25222765299430566</v>
      </c>
      <c r="BE17" s="14">
        <v>0.29616082154267009</v>
      </c>
      <c r="BF17" s="14">
        <v>0.27005922518774911</v>
      </c>
      <c r="BG17" s="15">
        <v>0</v>
      </c>
      <c r="BH17" s="16">
        <v>0</v>
      </c>
      <c r="BI17" s="14">
        <v>0</v>
      </c>
      <c r="BJ17" s="14">
        <v>116.05519339417644</v>
      </c>
      <c r="BK17" s="14">
        <v>124.89726315789474</v>
      </c>
      <c r="BL17" s="14">
        <v>123.98655097613883</v>
      </c>
      <c r="BM17" s="17">
        <v>0</v>
      </c>
      <c r="BN17" s="16">
        <v>0</v>
      </c>
      <c r="BO17" s="14">
        <v>0</v>
      </c>
      <c r="BP17" s="14">
        <v>38.577107181304903</v>
      </c>
      <c r="BQ17" s="14">
        <v>40.917783258045539</v>
      </c>
      <c r="BR17" s="14">
        <v>34.165540463559822</v>
      </c>
      <c r="BS17" s="15">
        <v>0</v>
      </c>
      <c r="BT17" s="16">
        <v>0</v>
      </c>
      <c r="BU17" s="14">
        <v>0</v>
      </c>
      <c r="BV17" s="14">
        <v>116.05519339417644</v>
      </c>
      <c r="BW17" s="14">
        <v>124.89726315789474</v>
      </c>
      <c r="BX17" s="14">
        <v>123.98655097613883</v>
      </c>
      <c r="BY17" s="17">
        <v>0</v>
      </c>
      <c r="BZ17" s="16">
        <v>0</v>
      </c>
      <c r="CA17" s="14">
        <v>0</v>
      </c>
      <c r="CB17" s="14">
        <v>0.14417136179170506</v>
      </c>
      <c r="CC17" s="14">
        <v>1.5631553002894911</v>
      </c>
      <c r="CD17" s="14">
        <v>0.60431579607085961</v>
      </c>
      <c r="CE17" s="15">
        <v>0</v>
      </c>
      <c r="CF17" s="16">
        <v>0</v>
      </c>
      <c r="CG17" s="14">
        <v>0</v>
      </c>
      <c r="CH17" s="14">
        <v>117.24771838331159</v>
      </c>
      <c r="CI17" s="14">
        <v>130.57263157894738</v>
      </c>
      <c r="CJ17" s="14">
        <v>127.15965292841649</v>
      </c>
      <c r="CK17" s="15">
        <v>0</v>
      </c>
      <c r="CL17" s="16">
        <v>0</v>
      </c>
      <c r="CM17" s="14">
        <v>0</v>
      </c>
      <c r="CN17" s="14">
        <v>38.973506196090916</v>
      </c>
      <c r="CO17" s="14">
        <v>42.777099379877697</v>
      </c>
      <c r="CP17" s="14">
        <v>35.03991548481843</v>
      </c>
      <c r="CQ17" s="15">
        <v>0</v>
      </c>
      <c r="CR17" s="18">
        <v>1.0719504266558311</v>
      </c>
      <c r="CS17" s="19">
        <v>0.85788624445340855</v>
      </c>
      <c r="CT17" s="19">
        <v>0.88053020425901773</v>
      </c>
      <c r="CU17" s="19">
        <v>1.3135596069043589</v>
      </c>
      <c r="CV17" s="19">
        <v>0.94789587852494583</v>
      </c>
      <c r="CW17" s="20">
        <v>0</v>
      </c>
      <c r="CX17" s="18">
        <v>0</v>
      </c>
      <c r="CY17" s="19">
        <v>0.33863590730106136</v>
      </c>
      <c r="CZ17" s="19">
        <v>0.30189509688995902</v>
      </c>
      <c r="DA17" s="19">
        <v>0.29837000766427507</v>
      </c>
      <c r="DB17" s="19">
        <v>0.29787519307762272</v>
      </c>
      <c r="DC17" s="20">
        <v>0</v>
      </c>
    </row>
    <row r="18" spans="1:107" x14ac:dyDescent="0.25">
      <c r="A18" s="1" t="s">
        <v>35</v>
      </c>
      <c r="B18" s="12">
        <v>1860.384</v>
      </c>
      <c r="C18" s="12">
        <f t="shared" ref="C18:C44" si="7">B18</f>
        <v>1860.384</v>
      </c>
      <c r="D18" s="12">
        <v>1724.1559999999999</v>
      </c>
      <c r="E18" s="12">
        <v>2115.5010000000002</v>
      </c>
      <c r="F18" s="12">
        <v>1933.6769999999999</v>
      </c>
      <c r="G18" s="12">
        <v>1590.845</v>
      </c>
      <c r="H18" s="12">
        <v>2038.2249999999999</v>
      </c>
      <c r="I18" s="1">
        <v>4.9000000000000004</v>
      </c>
      <c r="J18" s="1">
        <v>5</v>
      </c>
      <c r="K18" s="1">
        <v>4.9000000000000004</v>
      </c>
      <c r="L18" s="1">
        <v>5.0999999999999996</v>
      </c>
      <c r="M18" s="1">
        <v>5.6</v>
      </c>
      <c r="N18" s="1">
        <v>5.2</v>
      </c>
      <c r="O18" s="1">
        <v>2300</v>
      </c>
      <c r="P18" s="1" t="s">
        <v>21</v>
      </c>
      <c r="Q18" s="1">
        <v>57.219316012178133</v>
      </c>
      <c r="R18" s="3">
        <v>53.383800537770362</v>
      </c>
      <c r="S18" s="3">
        <v>54.705244762351811</v>
      </c>
      <c r="T18" s="3">
        <v>54.24985662031456</v>
      </c>
      <c r="U18" s="3">
        <v>49.878523677668156</v>
      </c>
      <c r="V18" s="3">
        <v>50.829373597124949</v>
      </c>
      <c r="W18" s="21">
        <v>8580.5284659077115</v>
      </c>
      <c r="X18" s="21">
        <v>8580.5284659077115</v>
      </c>
      <c r="Y18" s="21">
        <v>9755.8283864999994</v>
      </c>
      <c r="Z18" s="21">
        <v>9096.2489195000016</v>
      </c>
      <c r="AA18" s="21">
        <v>8997.9045040000001</v>
      </c>
      <c r="AB18" s="22">
        <v>11222.9717105</v>
      </c>
      <c r="AC18" s="16">
        <v>1.6533237177169811</v>
      </c>
      <c r="AD18" s="14">
        <v>1.6385173076618602</v>
      </c>
      <c r="AE18" s="14">
        <v>1.3554131885159042</v>
      </c>
      <c r="AF18" s="14">
        <v>1.4981488566036349</v>
      </c>
      <c r="AG18" s="14">
        <v>1.8469307476692882</v>
      </c>
      <c r="AH18" s="14">
        <v>1.532190385344109</v>
      </c>
      <c r="AI18" s="15">
        <f>AVERAGE(AC18:AH18)</f>
        <v>1.5874207005852963</v>
      </c>
      <c r="AJ18" s="14">
        <v>0.35846474998388173</v>
      </c>
      <c r="AK18" s="14">
        <v>0.32924072897533202</v>
      </c>
      <c r="AL18" s="14">
        <v>0.29391434967085195</v>
      </c>
      <c r="AM18" s="14">
        <v>0.31847589179100699</v>
      </c>
      <c r="AN18" s="14">
        <v>0.32654053440662623</v>
      </c>
      <c r="AO18" s="15">
        <v>0.27826397755651694</v>
      </c>
      <c r="AP18" s="14">
        <f>AC18/I18</f>
        <v>0.33741300361571042</v>
      </c>
      <c r="AQ18" s="14">
        <f t="shared" si="6"/>
        <v>0.32770346153237206</v>
      </c>
      <c r="AR18" s="14">
        <f t="shared" si="6"/>
        <v>0.27661493643181717</v>
      </c>
      <c r="AS18" s="14">
        <f t="shared" si="6"/>
        <v>0.29375467776541864</v>
      </c>
      <c r="AT18" s="14">
        <f t="shared" si="6"/>
        <v>0.32980906208380151</v>
      </c>
      <c r="AU18" s="14">
        <f>AH18/N18</f>
        <v>0.29465199718155943</v>
      </c>
      <c r="AV18" s="16">
        <v>15.987559557596711</v>
      </c>
      <c r="AW18" s="14">
        <v>13.601437456935452</v>
      </c>
      <c r="AX18" s="14">
        <v>7.3311239276180906</v>
      </c>
      <c r="AY18" s="14">
        <v>7.9646187031236346</v>
      </c>
      <c r="AZ18" s="14">
        <v>9.0297923430629634</v>
      </c>
      <c r="BA18" s="15">
        <v>8.2405033791656965</v>
      </c>
      <c r="BB18" s="16">
        <v>3.466336615300019</v>
      </c>
      <c r="BC18" s="14">
        <v>2.7330484472111336</v>
      </c>
      <c r="BD18" s="14">
        <v>1.5897163608844505</v>
      </c>
      <c r="BE18" s="14">
        <v>1.6931154958814116</v>
      </c>
      <c r="BF18" s="14">
        <v>1.5964828248192753</v>
      </c>
      <c r="BG18" s="15">
        <v>1.4965733170552307</v>
      </c>
      <c r="BH18" s="16">
        <v>348.8462596969228</v>
      </c>
      <c r="BI18" s="14">
        <v>345.72219683137723</v>
      </c>
      <c r="BJ18" s="14">
        <v>285.98804727579892</v>
      </c>
      <c r="BK18" s="14">
        <v>316.10449935537321</v>
      </c>
      <c r="BL18" s="14">
        <v>389.69667063730282</v>
      </c>
      <c r="BM18" s="17">
        <v>323.28717388904562</v>
      </c>
      <c r="BN18" s="16">
        <v>75.634968472929046</v>
      </c>
      <c r="BO18" s="14">
        <v>69.468798147847224</v>
      </c>
      <c r="BP18" s="14">
        <v>62.015031018504075</v>
      </c>
      <c r="BQ18" s="14">
        <v>67.197369532143213</v>
      </c>
      <c r="BR18" s="14">
        <v>68.899041962981912</v>
      </c>
      <c r="BS18" s="15">
        <v>58.712791673841224</v>
      </c>
      <c r="BT18" s="16">
        <v>348.8462596969228</v>
      </c>
      <c r="BU18" s="14">
        <v>345.72219683137723</v>
      </c>
      <c r="BV18" s="14">
        <v>285.98804727579892</v>
      </c>
      <c r="BW18" s="14">
        <v>316.10449935537321</v>
      </c>
      <c r="BX18" s="14">
        <v>389.69667063730282</v>
      </c>
      <c r="BY18" s="17">
        <v>323.28717388904562</v>
      </c>
      <c r="BZ18" s="16">
        <v>8.6941032007995633E-2</v>
      </c>
      <c r="CA18" s="14">
        <v>6.7594904242141374E-2</v>
      </c>
      <c r="CB18" s="14">
        <v>6.8164380681421083E-2</v>
      </c>
      <c r="CC18" s="14">
        <v>8.9597372192932304E-2</v>
      </c>
      <c r="CD18" s="14">
        <v>0.12102817934063284</v>
      </c>
      <c r="CE18" s="15">
        <v>0.12367490855398071</v>
      </c>
      <c r="CF18" s="16">
        <v>365.2348117377918</v>
      </c>
      <c r="CG18" s="14">
        <v>359.66003076287762</v>
      </c>
      <c r="CH18" s="14">
        <v>293.63351754501645</v>
      </c>
      <c r="CI18" s="14">
        <v>324.49059486149963</v>
      </c>
      <c r="CJ18" s="14">
        <v>399.41100484333799</v>
      </c>
      <c r="CK18" s="15">
        <v>332.20866194850913</v>
      </c>
      <c r="CL18" s="16">
        <v>79.188246120237068</v>
      </c>
      <c r="CM18" s="14">
        <v>72.269441499300498</v>
      </c>
      <c r="CN18" s="14">
        <v>63.672911760069951</v>
      </c>
      <c r="CO18" s="14">
        <v>68.980082400217555</v>
      </c>
      <c r="CP18" s="14">
        <v>70.616552967141814</v>
      </c>
      <c r="CQ18" s="15">
        <v>60.333039899450434</v>
      </c>
      <c r="CR18" s="18">
        <v>1.3373583088222647</v>
      </c>
      <c r="CS18" s="19">
        <v>1.3542858070847419</v>
      </c>
      <c r="CT18" s="19">
        <v>1.2446224322276376</v>
      </c>
      <c r="CU18" s="19">
        <v>1.3135596069043589</v>
      </c>
      <c r="CV18" s="19">
        <v>1.5344046717310611</v>
      </c>
      <c r="CW18" s="20">
        <v>1.2761103411056189</v>
      </c>
      <c r="CX18" s="18">
        <v>0.28837906485672155</v>
      </c>
      <c r="CY18" s="19">
        <v>0.27650462209358728</v>
      </c>
      <c r="CZ18" s="19">
        <v>0.27448183223542927</v>
      </c>
      <c r="DA18" s="19">
        <v>0.2845851298677658</v>
      </c>
      <c r="DB18" s="19">
        <v>0.27690742939236668</v>
      </c>
      <c r="DC18" s="20">
        <v>0.23673513851068004</v>
      </c>
    </row>
    <row r="19" spans="1:107" x14ac:dyDescent="0.25">
      <c r="A19" s="1" t="s">
        <v>36</v>
      </c>
      <c r="B19" s="12">
        <v>1786.375</v>
      </c>
      <c r="C19" s="12">
        <f t="shared" si="7"/>
        <v>1786.375</v>
      </c>
      <c r="D19" s="12">
        <v>1517.1089999999999</v>
      </c>
      <c r="E19" s="12">
        <v>261</v>
      </c>
      <c r="F19" s="12">
        <v>1210</v>
      </c>
      <c r="G19" s="12">
        <v>1340</v>
      </c>
      <c r="H19" s="12">
        <v>150</v>
      </c>
      <c r="I19" s="1">
        <v>2.6</v>
      </c>
      <c r="J19" s="1">
        <v>2.6</v>
      </c>
      <c r="K19" s="1"/>
      <c r="L19" s="1">
        <v>2.82</v>
      </c>
      <c r="M19" s="1">
        <v>2.76</v>
      </c>
      <c r="N19" s="1">
        <v>3.09</v>
      </c>
      <c r="O19" s="1">
        <v>1000</v>
      </c>
      <c r="P19" s="1" t="s">
        <v>26</v>
      </c>
      <c r="Q19" s="1">
        <v>100</v>
      </c>
      <c r="R19" s="3">
        <v>100</v>
      </c>
      <c r="S19" s="3">
        <v>100</v>
      </c>
      <c r="T19" s="3">
        <v>100</v>
      </c>
      <c r="U19" s="3">
        <v>100</v>
      </c>
      <c r="V19" s="3">
        <v>100</v>
      </c>
      <c r="W19" s="21">
        <v>2657.7236250922879</v>
      </c>
      <c r="X19" s="21">
        <v>2657.7236250922879</v>
      </c>
      <c r="Y19" s="21">
        <v>0</v>
      </c>
      <c r="Z19" s="21">
        <v>2497.7893964999998</v>
      </c>
      <c r="AA19" s="21">
        <v>3410.3031025</v>
      </c>
      <c r="AB19" s="22">
        <v>268.2</v>
      </c>
      <c r="AC19" s="16">
        <v>0.27396959274691007</v>
      </c>
      <c r="AD19" s="14"/>
      <c r="AE19" s="14"/>
      <c r="AF19" s="14">
        <v>0.36076047498475472</v>
      </c>
      <c r="AG19" s="14">
        <v>0.2898884867476138</v>
      </c>
      <c r="AH19" s="14">
        <v>0.44211196501500161</v>
      </c>
      <c r="AI19" s="15">
        <f>AVERAGE(AC19)</f>
        <v>0.27396959274691007</v>
      </c>
      <c r="AJ19" s="14">
        <v>0.18414722532568334</v>
      </c>
      <c r="AK19" s="14"/>
      <c r="AL19" s="14"/>
      <c r="AM19" s="14">
        <v>0.17476260222067655</v>
      </c>
      <c r="AN19" s="14">
        <v>0.11390499922339455</v>
      </c>
      <c r="AO19" s="15">
        <v>0.24726619967281971</v>
      </c>
      <c r="AP19" s="14">
        <f>AC19/I19</f>
        <v>0.1053729202872731</v>
      </c>
      <c r="AQ19" s="14"/>
      <c r="AR19" s="14"/>
      <c r="AS19" s="14">
        <f>AF19/L19</f>
        <v>0.1279292464484946</v>
      </c>
      <c r="AT19" s="14">
        <f>AG19/M19</f>
        <v>0.10503206041580211</v>
      </c>
      <c r="AU19" s="14">
        <f>AH19/N19</f>
        <v>0.14307830583009762</v>
      </c>
      <c r="AV19" s="16">
        <v>3.5474074592400813</v>
      </c>
      <c r="AW19" s="14">
        <v>0</v>
      </c>
      <c r="AX19" s="14">
        <v>0</v>
      </c>
      <c r="AY19" s="14">
        <v>0</v>
      </c>
      <c r="AZ19" s="14">
        <v>0</v>
      </c>
      <c r="BA19" s="15">
        <v>0</v>
      </c>
      <c r="BB19" s="16">
        <v>2.3843713244562634</v>
      </c>
      <c r="BC19" s="14">
        <v>0</v>
      </c>
      <c r="BD19" s="14">
        <v>0</v>
      </c>
      <c r="BE19" s="14">
        <v>0</v>
      </c>
      <c r="BF19" s="14">
        <v>0</v>
      </c>
      <c r="BG19" s="15">
        <v>0</v>
      </c>
      <c r="BH19" s="16">
        <v>66.529704009516479</v>
      </c>
      <c r="BI19" s="14">
        <v>0</v>
      </c>
      <c r="BJ19" s="14">
        <v>0</v>
      </c>
      <c r="BK19" s="14">
        <v>0</v>
      </c>
      <c r="BL19" s="14">
        <v>0</v>
      </c>
      <c r="BM19" s="17">
        <v>0</v>
      </c>
      <c r="BN19" s="16">
        <v>44.717591730732764</v>
      </c>
      <c r="BO19" s="14">
        <v>0</v>
      </c>
      <c r="BP19" s="14">
        <v>0</v>
      </c>
      <c r="BQ19" s="14">
        <v>0</v>
      </c>
      <c r="BR19" s="14">
        <v>0</v>
      </c>
      <c r="BS19" s="15">
        <v>0</v>
      </c>
      <c r="BT19" s="16">
        <v>66.529704009516479</v>
      </c>
      <c r="BU19" s="14">
        <v>0</v>
      </c>
      <c r="BV19" s="14">
        <v>0</v>
      </c>
      <c r="BW19" s="14">
        <v>0</v>
      </c>
      <c r="BX19" s="14">
        <v>0</v>
      </c>
      <c r="BY19" s="17">
        <v>0</v>
      </c>
      <c r="BZ19" s="16">
        <v>0</v>
      </c>
      <c r="CA19" s="14">
        <v>0</v>
      </c>
      <c r="CB19" s="14">
        <v>0</v>
      </c>
      <c r="CC19" s="14">
        <v>0</v>
      </c>
      <c r="CD19" s="14">
        <v>0</v>
      </c>
      <c r="CE19" s="15">
        <v>0</v>
      </c>
      <c r="CF19" s="16">
        <v>70.077111468756556</v>
      </c>
      <c r="CG19" s="14">
        <v>0</v>
      </c>
      <c r="CH19" s="14">
        <v>0</v>
      </c>
      <c r="CI19" s="14">
        <v>0</v>
      </c>
      <c r="CJ19" s="14">
        <v>0</v>
      </c>
      <c r="CK19" s="15">
        <v>0</v>
      </c>
      <c r="CL19" s="16">
        <v>47.101963055189024</v>
      </c>
      <c r="CM19" s="14">
        <v>0</v>
      </c>
      <c r="CN19" s="14">
        <v>0</v>
      </c>
      <c r="CO19" s="14">
        <v>0</v>
      </c>
      <c r="CP19" s="14">
        <v>0</v>
      </c>
      <c r="CQ19" s="15">
        <v>0</v>
      </c>
      <c r="CR19" s="18">
        <v>0.31348401091596112</v>
      </c>
      <c r="CS19" s="19">
        <v>0</v>
      </c>
      <c r="CT19" s="19">
        <v>0</v>
      </c>
      <c r="CU19" s="19">
        <v>0</v>
      </c>
      <c r="CV19" s="19">
        <v>0</v>
      </c>
      <c r="CW19" s="20">
        <v>0</v>
      </c>
      <c r="CX19" s="18">
        <v>0.1801751185871642</v>
      </c>
      <c r="CY19" s="19">
        <v>0</v>
      </c>
      <c r="CZ19" s="19">
        <v>0</v>
      </c>
      <c r="DA19" s="19">
        <v>0</v>
      </c>
      <c r="DB19" s="19">
        <v>0</v>
      </c>
      <c r="DC19" s="20">
        <v>0</v>
      </c>
    </row>
    <row r="20" spans="1:107" x14ac:dyDescent="0.25">
      <c r="A20" s="1" t="s">
        <v>37</v>
      </c>
      <c r="B20" s="12">
        <v>0</v>
      </c>
      <c r="C20" s="12">
        <f t="shared" si="7"/>
        <v>0</v>
      </c>
      <c r="D20" s="12">
        <v>0</v>
      </c>
      <c r="E20" s="12">
        <v>0</v>
      </c>
      <c r="F20" s="12">
        <v>1820</v>
      </c>
      <c r="G20" s="12">
        <v>1950</v>
      </c>
      <c r="H20" s="12">
        <v>2230</v>
      </c>
      <c r="I20" s="1">
        <v>0</v>
      </c>
      <c r="J20" s="1">
        <v>0</v>
      </c>
      <c r="K20" s="1">
        <v>0</v>
      </c>
      <c r="L20" s="1">
        <v>2.3199999999999998</v>
      </c>
      <c r="M20" s="1">
        <v>2.34</v>
      </c>
      <c r="N20" s="1">
        <v>2.65</v>
      </c>
      <c r="O20" s="1">
        <v>450</v>
      </c>
      <c r="P20" s="1"/>
      <c r="Q20" s="1">
        <v>0</v>
      </c>
      <c r="R20" s="3">
        <v>0</v>
      </c>
      <c r="S20" s="3">
        <v>100</v>
      </c>
      <c r="T20" s="3">
        <v>100</v>
      </c>
      <c r="U20" s="3">
        <v>100</v>
      </c>
      <c r="V20" s="3">
        <v>100</v>
      </c>
      <c r="W20" s="21">
        <v>0</v>
      </c>
      <c r="X20" s="21">
        <v>0</v>
      </c>
      <c r="Y20" s="21">
        <v>0</v>
      </c>
      <c r="Z20" s="21">
        <v>3682.60005</v>
      </c>
      <c r="AA20" s="21">
        <v>3658.8431690000002</v>
      </c>
      <c r="AB20" s="22">
        <v>4651.5859600000003</v>
      </c>
      <c r="AC20" s="16">
        <v>0</v>
      </c>
      <c r="AD20" s="14"/>
      <c r="AE20" s="14"/>
      <c r="AF20" s="14">
        <v>0.22060075277936408</v>
      </c>
      <c r="AG20" s="14">
        <v>0.21957796189188153</v>
      </c>
      <c r="AH20" s="14">
        <v>0.1752449125868453</v>
      </c>
      <c r="AI20" s="15">
        <f>AVERAGE(AF20:AH20)</f>
        <v>0.20514120908603029</v>
      </c>
      <c r="AJ20" s="14">
        <v>0</v>
      </c>
      <c r="AK20" s="14"/>
      <c r="AL20" s="14"/>
      <c r="AM20" s="14">
        <v>0.10902442964406157</v>
      </c>
      <c r="AN20" s="14">
        <v>0.11702524702806386</v>
      </c>
      <c r="AO20" s="15">
        <v>8.4013529671214546E-2</v>
      </c>
      <c r="AP20" s="14"/>
      <c r="AQ20" s="14"/>
      <c r="AR20" s="14"/>
      <c r="AS20" s="14"/>
      <c r="AT20" s="14"/>
      <c r="AU20" s="14"/>
      <c r="AV20" s="16">
        <v>0</v>
      </c>
      <c r="AW20" s="14">
        <v>0</v>
      </c>
      <c r="AX20" s="14">
        <v>0</v>
      </c>
      <c r="AY20" s="14">
        <v>0</v>
      </c>
      <c r="AZ20" s="14">
        <v>0</v>
      </c>
      <c r="BA20" s="15">
        <v>0</v>
      </c>
      <c r="BB20" s="16">
        <v>0</v>
      </c>
      <c r="BC20" s="14">
        <v>0</v>
      </c>
      <c r="BD20" s="14">
        <v>0</v>
      </c>
      <c r="BE20" s="14">
        <v>0</v>
      </c>
      <c r="BF20" s="14">
        <v>0</v>
      </c>
      <c r="BG20" s="15">
        <v>0</v>
      </c>
      <c r="BH20" s="16">
        <v>0</v>
      </c>
      <c r="BI20" s="14">
        <v>0</v>
      </c>
      <c r="BJ20" s="14">
        <v>0</v>
      </c>
      <c r="BK20" s="14">
        <v>0</v>
      </c>
      <c r="BL20" s="14">
        <v>0</v>
      </c>
      <c r="BM20" s="17">
        <v>0</v>
      </c>
      <c r="BN20" s="16">
        <v>0</v>
      </c>
      <c r="BO20" s="14">
        <v>0</v>
      </c>
      <c r="BP20" s="14">
        <v>0</v>
      </c>
      <c r="BQ20" s="14">
        <v>0</v>
      </c>
      <c r="BR20" s="14">
        <v>0</v>
      </c>
      <c r="BS20" s="15">
        <v>0</v>
      </c>
      <c r="BT20" s="16">
        <v>0</v>
      </c>
      <c r="BU20" s="14">
        <v>0</v>
      </c>
      <c r="BV20" s="14">
        <v>0</v>
      </c>
      <c r="BW20" s="14">
        <v>0</v>
      </c>
      <c r="BX20" s="14">
        <v>0</v>
      </c>
      <c r="BY20" s="17">
        <v>0</v>
      </c>
      <c r="BZ20" s="16">
        <v>0</v>
      </c>
      <c r="CA20" s="14">
        <v>0</v>
      </c>
      <c r="CB20" s="14">
        <v>0</v>
      </c>
      <c r="CC20" s="14">
        <v>0</v>
      </c>
      <c r="CD20" s="14">
        <v>0</v>
      </c>
      <c r="CE20" s="15">
        <v>0</v>
      </c>
      <c r="CF20" s="16">
        <v>0</v>
      </c>
      <c r="CG20" s="14">
        <v>0</v>
      </c>
      <c r="CH20" s="14">
        <v>0</v>
      </c>
      <c r="CI20" s="14">
        <v>0</v>
      </c>
      <c r="CJ20" s="14">
        <v>0</v>
      </c>
      <c r="CK20" s="15">
        <v>0</v>
      </c>
      <c r="CL20" s="16">
        <v>0</v>
      </c>
      <c r="CM20" s="14">
        <v>0</v>
      </c>
      <c r="CN20" s="14">
        <v>0</v>
      </c>
      <c r="CO20" s="14">
        <v>0</v>
      </c>
      <c r="CP20" s="14">
        <v>0</v>
      </c>
      <c r="CQ20" s="15">
        <v>0</v>
      </c>
      <c r="CR20" s="18">
        <v>0</v>
      </c>
      <c r="CS20" s="19">
        <v>0</v>
      </c>
      <c r="CT20" s="19">
        <v>0</v>
      </c>
      <c r="CU20" s="19">
        <v>0</v>
      </c>
      <c r="CV20" s="19">
        <v>0</v>
      </c>
      <c r="CW20" s="20">
        <v>0</v>
      </c>
      <c r="CX20" s="18">
        <v>0</v>
      </c>
      <c r="CY20" s="19">
        <v>0</v>
      </c>
      <c r="CZ20" s="19">
        <v>0</v>
      </c>
      <c r="DA20" s="19">
        <v>0</v>
      </c>
      <c r="DB20" s="19">
        <v>0</v>
      </c>
      <c r="DC20" s="20">
        <v>0</v>
      </c>
    </row>
    <row r="21" spans="1:107" x14ac:dyDescent="0.25">
      <c r="A21" s="1" t="s">
        <v>38</v>
      </c>
      <c r="B21" s="12">
        <v>0</v>
      </c>
      <c r="C21" s="12">
        <f t="shared" si="7"/>
        <v>0</v>
      </c>
      <c r="D21" s="12">
        <v>2400</v>
      </c>
      <c r="E21" s="12">
        <v>3400</v>
      </c>
      <c r="F21" s="12">
        <v>4800</v>
      </c>
      <c r="G21" s="12">
        <v>4400</v>
      </c>
      <c r="H21" s="12">
        <v>7000</v>
      </c>
      <c r="I21" s="1">
        <v>0</v>
      </c>
      <c r="J21" s="1">
        <v>0.61</v>
      </c>
      <c r="K21" s="1">
        <v>0.75</v>
      </c>
      <c r="L21" s="1">
        <v>0.52</v>
      </c>
      <c r="M21" s="1">
        <v>0.68</v>
      </c>
      <c r="N21" s="1">
        <v>0.57999999999999996</v>
      </c>
      <c r="O21" s="1">
        <v>0</v>
      </c>
      <c r="P21" s="1"/>
      <c r="Q21" s="1">
        <v>0</v>
      </c>
      <c r="R21" s="3">
        <v>0</v>
      </c>
      <c r="S21" s="3">
        <v>0</v>
      </c>
      <c r="T21" s="3">
        <v>0</v>
      </c>
      <c r="U21" s="3">
        <v>0</v>
      </c>
      <c r="V21" s="3">
        <v>0</v>
      </c>
      <c r="W21" s="21">
        <v>0</v>
      </c>
      <c r="X21" s="21">
        <v>183.42126499999998</v>
      </c>
      <c r="Y21" s="21">
        <v>412.6836715</v>
      </c>
      <c r="Z21" s="21">
        <v>409.3951295</v>
      </c>
      <c r="AA21" s="21">
        <v>775.4438735</v>
      </c>
      <c r="AB21" s="22">
        <v>646.62374550000004</v>
      </c>
      <c r="AC21" s="16">
        <v>0</v>
      </c>
      <c r="AD21" s="14">
        <v>0</v>
      </c>
      <c r="AE21" s="14">
        <v>0</v>
      </c>
      <c r="AF21" s="14">
        <v>0</v>
      </c>
      <c r="AG21" s="14">
        <v>0</v>
      </c>
      <c r="AH21" s="14">
        <v>0</v>
      </c>
      <c r="AI21" s="15"/>
      <c r="AJ21" s="14">
        <v>0</v>
      </c>
      <c r="AK21" s="14">
        <v>0</v>
      </c>
      <c r="AL21" s="14">
        <v>0</v>
      </c>
      <c r="AM21" s="14">
        <v>0</v>
      </c>
      <c r="AN21" s="14">
        <v>0</v>
      </c>
      <c r="AO21" s="15">
        <v>0</v>
      </c>
      <c r="AP21" s="14"/>
      <c r="AQ21" s="14"/>
      <c r="AR21" s="14"/>
      <c r="AS21" s="14"/>
      <c r="AT21" s="14"/>
      <c r="AU21" s="14"/>
      <c r="AV21" s="16">
        <v>0</v>
      </c>
      <c r="AW21" s="14">
        <v>0</v>
      </c>
      <c r="AX21" s="14">
        <v>0</v>
      </c>
      <c r="AY21" s="14">
        <v>0</v>
      </c>
      <c r="AZ21" s="14">
        <v>0</v>
      </c>
      <c r="BA21" s="15">
        <v>0</v>
      </c>
      <c r="BB21" s="16">
        <v>0</v>
      </c>
      <c r="BC21" s="14">
        <v>0</v>
      </c>
      <c r="BD21" s="14">
        <v>0</v>
      </c>
      <c r="BE21" s="14">
        <v>0</v>
      </c>
      <c r="BF21" s="14">
        <v>0</v>
      </c>
      <c r="BG21" s="15">
        <v>0</v>
      </c>
      <c r="BH21" s="16">
        <v>0</v>
      </c>
      <c r="BI21" s="14">
        <v>0</v>
      </c>
      <c r="BJ21" s="14">
        <v>0</v>
      </c>
      <c r="BK21" s="14">
        <v>0</v>
      </c>
      <c r="BL21" s="14">
        <v>0</v>
      </c>
      <c r="BM21" s="17">
        <v>0</v>
      </c>
      <c r="BN21" s="16">
        <v>0</v>
      </c>
      <c r="BO21" s="14">
        <v>0</v>
      </c>
      <c r="BP21" s="14">
        <v>0</v>
      </c>
      <c r="BQ21" s="14">
        <v>0</v>
      </c>
      <c r="BR21" s="14">
        <v>0</v>
      </c>
      <c r="BS21" s="15">
        <v>0</v>
      </c>
      <c r="BT21" s="16">
        <v>0</v>
      </c>
      <c r="BU21" s="14">
        <v>0</v>
      </c>
      <c r="BV21" s="14">
        <v>0</v>
      </c>
      <c r="BW21" s="14">
        <v>0</v>
      </c>
      <c r="BX21" s="14">
        <v>0</v>
      </c>
      <c r="BY21" s="17">
        <v>0</v>
      </c>
      <c r="BZ21" s="16">
        <v>0</v>
      </c>
      <c r="CA21" s="14">
        <v>0</v>
      </c>
      <c r="CB21" s="14">
        <v>0</v>
      </c>
      <c r="CC21" s="14">
        <v>0</v>
      </c>
      <c r="CD21" s="14">
        <v>0</v>
      </c>
      <c r="CE21" s="15">
        <v>0</v>
      </c>
      <c r="CF21" s="16">
        <v>0</v>
      </c>
      <c r="CG21" s="14">
        <v>0</v>
      </c>
      <c r="CH21" s="14">
        <v>0</v>
      </c>
      <c r="CI21" s="14">
        <v>0</v>
      </c>
      <c r="CJ21" s="14">
        <v>0</v>
      </c>
      <c r="CK21" s="15">
        <v>0</v>
      </c>
      <c r="CL21" s="16">
        <v>0</v>
      </c>
      <c r="CM21" s="14">
        <v>0</v>
      </c>
      <c r="CN21" s="14">
        <v>0</v>
      </c>
      <c r="CO21" s="14">
        <v>0</v>
      </c>
      <c r="CP21" s="14">
        <v>0</v>
      </c>
      <c r="CQ21" s="15">
        <v>0</v>
      </c>
      <c r="CR21" s="18">
        <v>0</v>
      </c>
      <c r="CS21" s="19">
        <v>0</v>
      </c>
      <c r="CT21" s="19">
        <v>0</v>
      </c>
      <c r="CU21" s="19">
        <v>0</v>
      </c>
      <c r="CV21" s="19">
        <v>0</v>
      </c>
      <c r="CW21" s="20">
        <v>0</v>
      </c>
      <c r="CX21" s="18">
        <v>0</v>
      </c>
      <c r="CY21" s="19">
        <v>0</v>
      </c>
      <c r="CZ21" s="19">
        <v>0</v>
      </c>
      <c r="DA21" s="19">
        <v>0</v>
      </c>
      <c r="DB21" s="19">
        <v>0</v>
      </c>
      <c r="DC21" s="20">
        <v>0</v>
      </c>
    </row>
    <row r="22" spans="1:107" x14ac:dyDescent="0.25">
      <c r="A22" s="1" t="s">
        <v>39</v>
      </c>
      <c r="B22" s="12">
        <v>0</v>
      </c>
      <c r="C22" s="12">
        <f t="shared" si="7"/>
        <v>0</v>
      </c>
      <c r="D22" s="12">
        <v>0</v>
      </c>
      <c r="E22" s="12">
        <v>0</v>
      </c>
      <c r="F22" s="12">
        <v>327</v>
      </c>
      <c r="G22" s="12">
        <v>122</v>
      </c>
      <c r="H22" s="12">
        <v>293</v>
      </c>
      <c r="I22" s="1">
        <v>0</v>
      </c>
      <c r="J22" s="1">
        <v>0</v>
      </c>
      <c r="K22" s="1">
        <v>0</v>
      </c>
      <c r="L22" s="1">
        <v>2.9</v>
      </c>
      <c r="M22" s="1">
        <v>2.97</v>
      </c>
      <c r="N22" s="1">
        <v>2.2799999999999998</v>
      </c>
      <c r="O22" s="1">
        <v>0</v>
      </c>
      <c r="P22" s="1"/>
      <c r="Q22" s="1">
        <v>0</v>
      </c>
      <c r="R22" s="3">
        <v>0</v>
      </c>
      <c r="S22" s="3">
        <v>0</v>
      </c>
      <c r="T22" s="3">
        <v>0</v>
      </c>
      <c r="U22" s="3">
        <v>0</v>
      </c>
      <c r="V22" s="3">
        <v>0</v>
      </c>
      <c r="W22" s="21">
        <v>0</v>
      </c>
      <c r="X22" s="21">
        <v>0</v>
      </c>
      <c r="Y22" s="21">
        <v>0</v>
      </c>
      <c r="Z22" s="21">
        <v>147.870992</v>
      </c>
      <c r="AA22" s="21">
        <v>195.80999649999998</v>
      </c>
      <c r="AB22" s="22">
        <v>262.91326299999997</v>
      </c>
      <c r="AC22" s="16">
        <v>0</v>
      </c>
      <c r="AD22" s="14">
        <v>0</v>
      </c>
      <c r="AE22" s="14">
        <v>0</v>
      </c>
      <c r="AF22" s="14">
        <v>0</v>
      </c>
      <c r="AG22" s="14">
        <v>0</v>
      </c>
      <c r="AH22" s="14">
        <v>0</v>
      </c>
      <c r="AI22" s="15"/>
      <c r="AJ22" s="14">
        <v>0</v>
      </c>
      <c r="AK22" s="14">
        <v>0</v>
      </c>
      <c r="AL22" s="14">
        <v>0</v>
      </c>
      <c r="AM22" s="14">
        <v>0</v>
      </c>
      <c r="AN22" s="14">
        <v>0</v>
      </c>
      <c r="AO22" s="15">
        <v>0</v>
      </c>
      <c r="AP22" s="14"/>
      <c r="AQ22" s="14"/>
      <c r="AR22" s="14"/>
      <c r="AS22" s="14"/>
      <c r="AT22" s="14"/>
      <c r="AU22" s="14"/>
      <c r="AV22" s="16">
        <v>0</v>
      </c>
      <c r="AW22" s="14">
        <v>0</v>
      </c>
      <c r="AX22" s="14">
        <v>0</v>
      </c>
      <c r="AY22" s="14">
        <v>0</v>
      </c>
      <c r="AZ22" s="14">
        <v>0</v>
      </c>
      <c r="BA22" s="15">
        <v>0</v>
      </c>
      <c r="BB22" s="16">
        <v>0</v>
      </c>
      <c r="BC22" s="14">
        <v>0</v>
      </c>
      <c r="BD22" s="14">
        <v>0</v>
      </c>
      <c r="BE22" s="14">
        <v>0</v>
      </c>
      <c r="BF22" s="14">
        <v>0</v>
      </c>
      <c r="BG22" s="15">
        <v>0</v>
      </c>
      <c r="BH22" s="16">
        <v>0</v>
      </c>
      <c r="BI22" s="14">
        <v>0</v>
      </c>
      <c r="BJ22" s="14">
        <v>0</v>
      </c>
      <c r="BK22" s="14">
        <v>0</v>
      </c>
      <c r="BL22" s="14">
        <v>0</v>
      </c>
      <c r="BM22" s="17">
        <v>0</v>
      </c>
      <c r="BN22" s="16">
        <v>0</v>
      </c>
      <c r="BO22" s="14">
        <v>0</v>
      </c>
      <c r="BP22" s="14">
        <v>0</v>
      </c>
      <c r="BQ22" s="14">
        <v>0</v>
      </c>
      <c r="BR22" s="14">
        <v>0</v>
      </c>
      <c r="BS22" s="15">
        <v>0</v>
      </c>
      <c r="BT22" s="16">
        <v>0</v>
      </c>
      <c r="BU22" s="14">
        <v>0</v>
      </c>
      <c r="BV22" s="14">
        <v>0</v>
      </c>
      <c r="BW22" s="14">
        <v>0</v>
      </c>
      <c r="BX22" s="14">
        <v>0</v>
      </c>
      <c r="BY22" s="17">
        <v>0</v>
      </c>
      <c r="BZ22" s="16">
        <v>0</v>
      </c>
      <c r="CA22" s="14">
        <v>0</v>
      </c>
      <c r="CB22" s="14">
        <v>0</v>
      </c>
      <c r="CC22" s="14">
        <v>0</v>
      </c>
      <c r="CD22" s="14">
        <v>0</v>
      </c>
      <c r="CE22" s="15">
        <v>0</v>
      </c>
      <c r="CF22" s="16">
        <v>0</v>
      </c>
      <c r="CG22" s="14">
        <v>0</v>
      </c>
      <c r="CH22" s="14">
        <v>0</v>
      </c>
      <c r="CI22" s="14">
        <v>0</v>
      </c>
      <c r="CJ22" s="14">
        <v>0</v>
      </c>
      <c r="CK22" s="15">
        <v>0</v>
      </c>
      <c r="CL22" s="16">
        <v>0</v>
      </c>
      <c r="CM22" s="14">
        <v>0</v>
      </c>
      <c r="CN22" s="14">
        <v>0</v>
      </c>
      <c r="CO22" s="14">
        <v>0</v>
      </c>
      <c r="CP22" s="14">
        <v>0</v>
      </c>
      <c r="CQ22" s="15">
        <v>0</v>
      </c>
      <c r="CR22" s="18">
        <v>0</v>
      </c>
      <c r="CS22" s="19">
        <v>0</v>
      </c>
      <c r="CT22" s="19">
        <v>0</v>
      </c>
      <c r="CU22" s="19">
        <v>0</v>
      </c>
      <c r="CV22" s="19">
        <v>0</v>
      </c>
      <c r="CW22" s="20">
        <v>0</v>
      </c>
      <c r="CX22" s="18">
        <v>0</v>
      </c>
      <c r="CY22" s="19">
        <v>0</v>
      </c>
      <c r="CZ22" s="19">
        <v>0</v>
      </c>
      <c r="DA22" s="19">
        <v>0</v>
      </c>
      <c r="DB22" s="19">
        <v>0</v>
      </c>
      <c r="DC22" s="20">
        <v>0</v>
      </c>
    </row>
    <row r="23" spans="1:107" x14ac:dyDescent="0.25">
      <c r="A23" s="1" t="s">
        <v>40</v>
      </c>
      <c r="B23" s="12">
        <v>0</v>
      </c>
      <c r="C23" s="12">
        <f t="shared" si="7"/>
        <v>0</v>
      </c>
      <c r="D23" s="12">
        <v>0</v>
      </c>
      <c r="E23" s="12">
        <v>242.57740003563791</v>
      </c>
      <c r="F23" s="12">
        <v>814.73800000000006</v>
      </c>
      <c r="G23" s="12">
        <v>903.298</v>
      </c>
      <c r="H23" s="12">
        <v>1265.973</v>
      </c>
      <c r="I23" s="1">
        <v>0</v>
      </c>
      <c r="J23" s="1">
        <v>0</v>
      </c>
      <c r="K23" s="1">
        <v>3.91</v>
      </c>
      <c r="L23" s="1">
        <v>4.0362454555943135</v>
      </c>
      <c r="M23" s="1">
        <v>4</v>
      </c>
      <c r="N23" s="1">
        <v>4.0999999999999996</v>
      </c>
      <c r="O23" s="1">
        <v>500</v>
      </c>
      <c r="P23" s="1"/>
      <c r="Q23" s="1">
        <v>0</v>
      </c>
      <c r="R23" s="3">
        <v>100</v>
      </c>
      <c r="S23" s="3">
        <v>100</v>
      </c>
      <c r="T23" s="3">
        <v>100</v>
      </c>
      <c r="U23" s="3">
        <v>100</v>
      </c>
      <c r="V23" s="3">
        <v>100</v>
      </c>
      <c r="W23" s="21">
        <v>0</v>
      </c>
      <c r="X23" s="21">
        <v>0</v>
      </c>
      <c r="Y23" s="21">
        <v>756.87495100000001</v>
      </c>
      <c r="Z23" s="21">
        <v>2444.4356374999998</v>
      </c>
      <c r="AA23" s="21">
        <v>2628.6790379999998</v>
      </c>
      <c r="AB23" s="22">
        <v>3739.2990500000001</v>
      </c>
      <c r="AC23" s="16">
        <v>0</v>
      </c>
      <c r="AD23" s="14">
        <v>0</v>
      </c>
      <c r="AE23" s="14">
        <v>0</v>
      </c>
      <c r="AF23" s="14">
        <v>0</v>
      </c>
      <c r="AG23" s="14">
        <v>0</v>
      </c>
      <c r="AH23" s="14">
        <v>0</v>
      </c>
      <c r="AI23" s="15"/>
      <c r="AJ23" s="14">
        <v>0</v>
      </c>
      <c r="AK23" s="14">
        <v>0</v>
      </c>
      <c r="AL23" s="14">
        <v>0</v>
      </c>
      <c r="AM23" s="14">
        <v>0</v>
      </c>
      <c r="AN23" s="14">
        <v>0</v>
      </c>
      <c r="AO23" s="15">
        <v>0</v>
      </c>
      <c r="AP23" s="14"/>
      <c r="AQ23" s="14"/>
      <c r="AR23" s="14"/>
      <c r="AS23" s="14"/>
      <c r="AT23" s="14"/>
      <c r="AU23" s="14"/>
      <c r="AV23" s="16">
        <v>0</v>
      </c>
      <c r="AW23" s="14">
        <v>0</v>
      </c>
      <c r="AX23" s="14">
        <v>0</v>
      </c>
      <c r="AY23" s="14">
        <v>0</v>
      </c>
      <c r="AZ23" s="14">
        <v>0</v>
      </c>
      <c r="BA23" s="15">
        <v>0</v>
      </c>
      <c r="BB23" s="16">
        <v>0</v>
      </c>
      <c r="BC23" s="14">
        <v>0</v>
      </c>
      <c r="BD23" s="14">
        <v>0</v>
      </c>
      <c r="BE23" s="14">
        <v>0</v>
      </c>
      <c r="BF23" s="14">
        <v>0</v>
      </c>
      <c r="BG23" s="15">
        <v>0</v>
      </c>
      <c r="BH23" s="16">
        <v>0</v>
      </c>
      <c r="BI23" s="14">
        <v>0</v>
      </c>
      <c r="BJ23" s="14">
        <v>0</v>
      </c>
      <c r="BK23" s="14">
        <v>0</v>
      </c>
      <c r="BL23" s="14">
        <v>0</v>
      </c>
      <c r="BM23" s="17">
        <v>0</v>
      </c>
      <c r="BN23" s="16">
        <v>0</v>
      </c>
      <c r="BO23" s="14">
        <v>0</v>
      </c>
      <c r="BP23" s="14">
        <v>0</v>
      </c>
      <c r="BQ23" s="14">
        <v>0</v>
      </c>
      <c r="BR23" s="14">
        <v>0</v>
      </c>
      <c r="BS23" s="15">
        <v>0</v>
      </c>
      <c r="BT23" s="16">
        <v>0</v>
      </c>
      <c r="BU23" s="14">
        <v>0</v>
      </c>
      <c r="BV23" s="14">
        <v>0</v>
      </c>
      <c r="BW23" s="14">
        <v>0</v>
      </c>
      <c r="BX23" s="14">
        <v>0</v>
      </c>
      <c r="BY23" s="17">
        <v>0</v>
      </c>
      <c r="BZ23" s="16">
        <v>0</v>
      </c>
      <c r="CA23" s="14">
        <v>0</v>
      </c>
      <c r="CB23" s="14">
        <v>0</v>
      </c>
      <c r="CC23" s="14">
        <v>0</v>
      </c>
      <c r="CD23" s="14">
        <v>0</v>
      </c>
      <c r="CE23" s="15">
        <v>0</v>
      </c>
      <c r="CF23" s="16">
        <v>0</v>
      </c>
      <c r="CG23" s="14">
        <v>0</v>
      </c>
      <c r="CH23" s="14">
        <v>0</v>
      </c>
      <c r="CI23" s="14">
        <v>0</v>
      </c>
      <c r="CJ23" s="14">
        <v>0</v>
      </c>
      <c r="CK23" s="15">
        <v>0</v>
      </c>
      <c r="CL23" s="16">
        <v>0</v>
      </c>
      <c r="CM23" s="14">
        <v>0</v>
      </c>
      <c r="CN23" s="14">
        <v>0</v>
      </c>
      <c r="CO23" s="14">
        <v>0</v>
      </c>
      <c r="CP23" s="14">
        <v>0</v>
      </c>
      <c r="CQ23" s="15">
        <v>0</v>
      </c>
      <c r="CR23" s="18">
        <v>0</v>
      </c>
      <c r="CS23" s="19">
        <v>0</v>
      </c>
      <c r="CT23" s="19">
        <v>0</v>
      </c>
      <c r="CU23" s="19">
        <v>0</v>
      </c>
      <c r="CV23" s="19">
        <v>0</v>
      </c>
      <c r="CW23" s="20">
        <v>0</v>
      </c>
      <c r="CX23" s="18">
        <v>0</v>
      </c>
      <c r="CY23" s="19">
        <v>0</v>
      </c>
      <c r="CZ23" s="19">
        <v>0</v>
      </c>
      <c r="DA23" s="19">
        <v>0</v>
      </c>
      <c r="DB23" s="19">
        <v>0</v>
      </c>
      <c r="DC23" s="20">
        <v>0</v>
      </c>
    </row>
    <row r="24" spans="1:107" x14ac:dyDescent="0.25">
      <c r="A24" s="1" t="s">
        <v>41</v>
      </c>
      <c r="B24" s="12">
        <v>0</v>
      </c>
      <c r="C24" s="12">
        <f t="shared" si="7"/>
        <v>0</v>
      </c>
      <c r="D24" s="12">
        <v>0</v>
      </c>
      <c r="E24" s="12">
        <v>0</v>
      </c>
      <c r="F24" s="12">
        <v>704.30399999999997</v>
      </c>
      <c r="G24" s="12">
        <v>1531.0956521739131</v>
      </c>
      <c r="H24" s="12">
        <v>1328.6803160714285</v>
      </c>
      <c r="I24" s="1">
        <v>0</v>
      </c>
      <c r="J24" s="1">
        <v>0</v>
      </c>
      <c r="K24" s="1">
        <v>0</v>
      </c>
      <c r="L24" s="1">
        <v>4.49</v>
      </c>
      <c r="M24" s="1">
        <v>4.42</v>
      </c>
      <c r="N24" s="1">
        <v>4.2</v>
      </c>
      <c r="O24" s="1">
        <v>1200</v>
      </c>
      <c r="P24" s="1"/>
      <c r="Q24" s="1">
        <v>100</v>
      </c>
      <c r="R24" s="3">
        <v>100</v>
      </c>
      <c r="S24" s="3">
        <v>100</v>
      </c>
      <c r="T24" s="3">
        <v>100</v>
      </c>
      <c r="U24" s="3">
        <v>100</v>
      </c>
      <c r="V24" s="3">
        <v>100</v>
      </c>
      <c r="W24" s="21">
        <v>1048.9314999999999</v>
      </c>
      <c r="X24" s="21">
        <v>1167.9591879432624</v>
      </c>
      <c r="Y24" s="21">
        <v>1737.4193571428571</v>
      </c>
      <c r="Z24" s="21">
        <v>0</v>
      </c>
      <c r="AA24" s="21">
        <v>0</v>
      </c>
      <c r="AB24" s="22">
        <v>998.2</v>
      </c>
      <c r="AC24" s="16">
        <v>0</v>
      </c>
      <c r="AD24" s="14">
        <v>0</v>
      </c>
      <c r="AE24" s="14">
        <v>0</v>
      </c>
      <c r="AF24" s="14">
        <v>0</v>
      </c>
      <c r="AG24" s="14">
        <v>0</v>
      </c>
      <c r="AH24" s="14">
        <v>0</v>
      </c>
      <c r="AI24" s="15"/>
      <c r="AJ24" s="14">
        <v>0</v>
      </c>
      <c r="AK24" s="14">
        <v>0</v>
      </c>
      <c r="AL24" s="14">
        <v>0</v>
      </c>
      <c r="AM24" s="14">
        <v>0</v>
      </c>
      <c r="AN24" s="14">
        <v>0</v>
      </c>
      <c r="AO24" s="15">
        <v>0</v>
      </c>
      <c r="AP24" s="14"/>
      <c r="AQ24" s="14"/>
      <c r="AR24" s="14"/>
      <c r="AS24" s="14"/>
      <c r="AT24" s="14"/>
      <c r="AU24" s="14"/>
      <c r="AV24" s="16">
        <v>0</v>
      </c>
      <c r="AW24" s="14">
        <v>0</v>
      </c>
      <c r="AX24" s="14">
        <v>0</v>
      </c>
      <c r="AY24" s="14">
        <v>0</v>
      </c>
      <c r="AZ24" s="14">
        <v>0</v>
      </c>
      <c r="BA24" s="15">
        <v>0</v>
      </c>
      <c r="BB24" s="16">
        <v>0</v>
      </c>
      <c r="BC24" s="14">
        <v>0</v>
      </c>
      <c r="BD24" s="14">
        <v>0</v>
      </c>
      <c r="BE24" s="14">
        <v>0</v>
      </c>
      <c r="BF24" s="14">
        <v>0</v>
      </c>
      <c r="BG24" s="15">
        <v>0</v>
      </c>
      <c r="BH24" s="16">
        <v>0</v>
      </c>
      <c r="BI24" s="14">
        <v>0</v>
      </c>
      <c r="BJ24" s="14">
        <v>0</v>
      </c>
      <c r="BK24" s="14">
        <v>0</v>
      </c>
      <c r="BL24" s="14">
        <v>0</v>
      </c>
      <c r="BM24" s="17">
        <v>0</v>
      </c>
      <c r="BN24" s="16">
        <v>0</v>
      </c>
      <c r="BO24" s="14">
        <v>0</v>
      </c>
      <c r="BP24" s="14">
        <v>0</v>
      </c>
      <c r="BQ24" s="14">
        <v>0</v>
      </c>
      <c r="BR24" s="14">
        <v>0</v>
      </c>
      <c r="BS24" s="15">
        <v>0</v>
      </c>
      <c r="BT24" s="16">
        <v>0</v>
      </c>
      <c r="BU24" s="14">
        <v>0</v>
      </c>
      <c r="BV24" s="14">
        <v>0</v>
      </c>
      <c r="BW24" s="14">
        <v>0</v>
      </c>
      <c r="BX24" s="14">
        <v>0</v>
      </c>
      <c r="BY24" s="17">
        <v>0</v>
      </c>
      <c r="BZ24" s="16">
        <v>0</v>
      </c>
      <c r="CA24" s="14">
        <v>0</v>
      </c>
      <c r="CB24" s="14">
        <v>0</v>
      </c>
      <c r="CC24" s="14">
        <v>0</v>
      </c>
      <c r="CD24" s="14">
        <v>0</v>
      </c>
      <c r="CE24" s="15">
        <v>0</v>
      </c>
      <c r="CF24" s="16">
        <v>0</v>
      </c>
      <c r="CG24" s="14">
        <v>0</v>
      </c>
      <c r="CH24" s="14">
        <v>0</v>
      </c>
      <c r="CI24" s="14">
        <v>0</v>
      </c>
      <c r="CJ24" s="14">
        <v>0</v>
      </c>
      <c r="CK24" s="15">
        <v>0</v>
      </c>
      <c r="CL24" s="16">
        <v>0</v>
      </c>
      <c r="CM24" s="14">
        <v>0</v>
      </c>
      <c r="CN24" s="14">
        <v>0</v>
      </c>
      <c r="CO24" s="14">
        <v>0</v>
      </c>
      <c r="CP24" s="14">
        <v>0</v>
      </c>
      <c r="CQ24" s="15">
        <v>0</v>
      </c>
      <c r="CR24" s="18">
        <v>0</v>
      </c>
      <c r="CS24" s="19">
        <v>0</v>
      </c>
      <c r="CT24" s="19">
        <v>0</v>
      </c>
      <c r="CU24" s="19">
        <v>0</v>
      </c>
      <c r="CV24" s="19">
        <v>0</v>
      </c>
      <c r="CW24" s="20">
        <v>0</v>
      </c>
      <c r="CX24" s="18">
        <v>0</v>
      </c>
      <c r="CY24" s="19">
        <v>0</v>
      </c>
      <c r="CZ24" s="19">
        <v>0</v>
      </c>
      <c r="DA24" s="19">
        <v>0</v>
      </c>
      <c r="DB24" s="19">
        <v>0</v>
      </c>
      <c r="DC24" s="20">
        <v>0</v>
      </c>
    </row>
    <row r="25" spans="1:107" x14ac:dyDescent="0.25">
      <c r="A25" s="1" t="s">
        <v>42</v>
      </c>
      <c r="B25" s="12">
        <v>3565.076</v>
      </c>
      <c r="C25" s="12">
        <f t="shared" si="7"/>
        <v>3565.076</v>
      </c>
      <c r="D25" s="12">
        <v>3364.4720000000002</v>
      </c>
      <c r="E25" s="12">
        <v>3737.1239999999998</v>
      </c>
      <c r="F25" s="12">
        <v>3067.77</v>
      </c>
      <c r="G25" s="12">
        <v>2761.4059999999999</v>
      </c>
      <c r="H25" s="12">
        <v>2905.9119999999998</v>
      </c>
      <c r="I25" s="1">
        <v>1.99</v>
      </c>
      <c r="J25" s="1">
        <v>1.99</v>
      </c>
      <c r="K25" s="1">
        <v>2</v>
      </c>
      <c r="L25" s="1">
        <v>1.85</v>
      </c>
      <c r="M25" s="1">
        <v>1.55</v>
      </c>
      <c r="N25" s="1">
        <v>1.75</v>
      </c>
      <c r="O25" s="1" t="s">
        <v>43</v>
      </c>
      <c r="P25" s="1"/>
      <c r="Q25" s="1">
        <v>0</v>
      </c>
      <c r="R25" s="3">
        <v>0</v>
      </c>
      <c r="S25" s="3">
        <v>0</v>
      </c>
      <c r="T25" s="3">
        <v>0</v>
      </c>
      <c r="U25" s="3">
        <v>0</v>
      </c>
      <c r="V25" s="3">
        <v>0</v>
      </c>
      <c r="W25" s="21">
        <v>4992.4603480000005</v>
      </c>
      <c r="X25" s="21">
        <v>4377.5029940000004</v>
      </c>
      <c r="Y25" s="21">
        <v>4229.5469535000002</v>
      </c>
      <c r="Z25" s="21">
        <v>2993.7355494999997</v>
      </c>
      <c r="AA25" s="21">
        <v>1982.9341269999998</v>
      </c>
      <c r="AB25" s="22">
        <v>1702.8694164999999</v>
      </c>
      <c r="AC25" s="16">
        <v>0</v>
      </c>
      <c r="AD25" s="14">
        <v>0</v>
      </c>
      <c r="AE25" s="14">
        <v>0</v>
      </c>
      <c r="AF25" s="14">
        <v>0</v>
      </c>
      <c r="AG25" s="14">
        <v>0</v>
      </c>
      <c r="AH25" s="14">
        <v>0</v>
      </c>
      <c r="AI25" s="15"/>
      <c r="AJ25" s="14">
        <v>0</v>
      </c>
      <c r="AK25" s="14">
        <v>0</v>
      </c>
      <c r="AL25" s="14">
        <v>0</v>
      </c>
      <c r="AM25" s="14">
        <v>0</v>
      </c>
      <c r="AN25" s="14">
        <v>0</v>
      </c>
      <c r="AO25" s="15">
        <v>0</v>
      </c>
      <c r="AP25" s="14"/>
      <c r="AQ25" s="14"/>
      <c r="AR25" s="14"/>
      <c r="AS25" s="14"/>
      <c r="AT25" s="14"/>
      <c r="AU25" s="14"/>
      <c r="AV25" s="16">
        <v>0</v>
      </c>
      <c r="AW25" s="14">
        <v>0</v>
      </c>
      <c r="AX25" s="14">
        <v>0</v>
      </c>
      <c r="AY25" s="14">
        <v>0</v>
      </c>
      <c r="AZ25" s="14">
        <v>0</v>
      </c>
      <c r="BA25" s="15">
        <v>0</v>
      </c>
      <c r="BB25" s="16">
        <v>0</v>
      </c>
      <c r="BC25" s="14">
        <v>0</v>
      </c>
      <c r="BD25" s="14">
        <v>0</v>
      </c>
      <c r="BE25" s="14">
        <v>0</v>
      </c>
      <c r="BF25" s="14">
        <v>0</v>
      </c>
      <c r="BG25" s="15">
        <v>0</v>
      </c>
      <c r="BH25" s="16">
        <v>0</v>
      </c>
      <c r="BI25" s="14">
        <v>0</v>
      </c>
      <c r="BJ25" s="14">
        <v>0</v>
      </c>
      <c r="BK25" s="14">
        <v>0</v>
      </c>
      <c r="BL25" s="14">
        <v>0</v>
      </c>
      <c r="BM25" s="17">
        <v>0</v>
      </c>
      <c r="BN25" s="16">
        <v>0</v>
      </c>
      <c r="BO25" s="14">
        <v>0</v>
      </c>
      <c r="BP25" s="14">
        <v>0</v>
      </c>
      <c r="BQ25" s="14">
        <v>0</v>
      </c>
      <c r="BR25" s="14">
        <v>0</v>
      </c>
      <c r="BS25" s="15">
        <v>0</v>
      </c>
      <c r="BT25" s="16">
        <v>0</v>
      </c>
      <c r="BU25" s="14">
        <v>0</v>
      </c>
      <c r="BV25" s="14">
        <v>0</v>
      </c>
      <c r="BW25" s="14">
        <v>0</v>
      </c>
      <c r="BX25" s="14">
        <v>0</v>
      </c>
      <c r="BY25" s="17">
        <v>0</v>
      </c>
      <c r="BZ25" s="16">
        <v>0</v>
      </c>
      <c r="CA25" s="14">
        <v>0</v>
      </c>
      <c r="CB25" s="14">
        <v>0</v>
      </c>
      <c r="CC25" s="14">
        <v>0</v>
      </c>
      <c r="CD25" s="14">
        <v>0</v>
      </c>
      <c r="CE25" s="15">
        <v>0</v>
      </c>
      <c r="CF25" s="16">
        <v>0</v>
      </c>
      <c r="CG25" s="14">
        <v>0</v>
      </c>
      <c r="CH25" s="14">
        <v>0</v>
      </c>
      <c r="CI25" s="14">
        <v>0</v>
      </c>
      <c r="CJ25" s="14">
        <v>0</v>
      </c>
      <c r="CK25" s="15">
        <v>0</v>
      </c>
      <c r="CL25" s="16">
        <v>0</v>
      </c>
      <c r="CM25" s="14">
        <v>0</v>
      </c>
      <c r="CN25" s="14">
        <v>0</v>
      </c>
      <c r="CO25" s="14">
        <v>0</v>
      </c>
      <c r="CP25" s="14">
        <v>0</v>
      </c>
      <c r="CQ25" s="15">
        <v>0</v>
      </c>
      <c r="CR25" s="18">
        <v>0</v>
      </c>
      <c r="CS25" s="19">
        <v>0</v>
      </c>
      <c r="CT25" s="19">
        <v>0</v>
      </c>
      <c r="CU25" s="19">
        <v>0</v>
      </c>
      <c r="CV25" s="19">
        <v>0</v>
      </c>
      <c r="CW25" s="20">
        <v>0</v>
      </c>
      <c r="CX25" s="18">
        <v>0</v>
      </c>
      <c r="CY25" s="19">
        <v>0</v>
      </c>
      <c r="CZ25" s="19">
        <v>0</v>
      </c>
      <c r="DA25" s="19">
        <v>0</v>
      </c>
      <c r="DB25" s="19">
        <v>0</v>
      </c>
      <c r="DC25" s="20">
        <v>0</v>
      </c>
    </row>
    <row r="26" spans="1:107" x14ac:dyDescent="0.25">
      <c r="A26" s="1" t="s">
        <v>44</v>
      </c>
      <c r="B26" s="12">
        <v>4400.3999999999996</v>
      </c>
      <c r="C26" s="12">
        <f t="shared" si="7"/>
        <v>4400.3999999999996</v>
      </c>
      <c r="D26" s="12">
        <v>3913</v>
      </c>
      <c r="E26" s="12">
        <v>3866</v>
      </c>
      <c r="F26" s="12">
        <v>1094</v>
      </c>
      <c r="G26" s="12">
        <v>505</v>
      </c>
      <c r="H26" s="12">
        <v>0</v>
      </c>
      <c r="I26" s="1">
        <v>1.62</v>
      </c>
      <c r="J26" s="1">
        <v>0</v>
      </c>
      <c r="K26" s="1">
        <v>0</v>
      </c>
      <c r="L26" s="1">
        <v>0</v>
      </c>
      <c r="M26" s="1">
        <v>0</v>
      </c>
      <c r="N26" s="1">
        <v>0</v>
      </c>
      <c r="O26" s="1">
        <v>200</v>
      </c>
      <c r="P26" s="1"/>
      <c r="Q26" s="1">
        <v>100</v>
      </c>
      <c r="R26" s="3">
        <v>100</v>
      </c>
      <c r="S26" s="3">
        <v>100</v>
      </c>
      <c r="T26" s="3">
        <v>100</v>
      </c>
      <c r="U26" s="3">
        <v>100</v>
      </c>
      <c r="V26" s="3">
        <v>100</v>
      </c>
      <c r="W26" s="21">
        <v>3345.241</v>
      </c>
      <c r="X26" s="21">
        <v>2216.9308999999998</v>
      </c>
      <c r="Y26" s="21">
        <v>1627.2612999999999</v>
      </c>
      <c r="Z26" s="21">
        <v>226.79599999999999</v>
      </c>
      <c r="AA26" s="21">
        <v>0</v>
      </c>
      <c r="AB26" s="22">
        <v>0</v>
      </c>
      <c r="AC26" s="16">
        <v>0</v>
      </c>
      <c r="AD26" s="14">
        <v>0</v>
      </c>
      <c r="AE26" s="14">
        <v>0</v>
      </c>
      <c r="AF26" s="14">
        <v>0</v>
      </c>
      <c r="AG26" s="14">
        <v>0</v>
      </c>
      <c r="AH26" s="14">
        <v>0</v>
      </c>
      <c r="AI26" s="15"/>
      <c r="AJ26" s="14">
        <v>0</v>
      </c>
      <c r="AK26" s="14">
        <v>0</v>
      </c>
      <c r="AL26" s="14">
        <v>0</v>
      </c>
      <c r="AM26" s="14">
        <v>0</v>
      </c>
      <c r="AN26" s="14">
        <v>0</v>
      </c>
      <c r="AO26" s="15">
        <v>0</v>
      </c>
      <c r="AP26" s="14"/>
      <c r="AQ26" s="14"/>
      <c r="AR26" s="14"/>
      <c r="AS26" s="14"/>
      <c r="AT26" s="14"/>
      <c r="AU26" s="14"/>
      <c r="AV26" s="16">
        <v>0</v>
      </c>
      <c r="AW26" s="14">
        <v>0</v>
      </c>
      <c r="AX26" s="14">
        <v>0</v>
      </c>
      <c r="AY26" s="14">
        <v>0</v>
      </c>
      <c r="AZ26" s="14">
        <v>0</v>
      </c>
      <c r="BA26" s="15">
        <v>0</v>
      </c>
      <c r="BB26" s="16">
        <v>0</v>
      </c>
      <c r="BC26" s="14">
        <v>0</v>
      </c>
      <c r="BD26" s="14">
        <v>0</v>
      </c>
      <c r="BE26" s="14">
        <v>0</v>
      </c>
      <c r="BF26" s="14">
        <v>0</v>
      </c>
      <c r="BG26" s="15">
        <v>0</v>
      </c>
      <c r="BH26" s="16">
        <v>0</v>
      </c>
      <c r="BI26" s="14">
        <v>0</v>
      </c>
      <c r="BJ26" s="14">
        <v>0</v>
      </c>
      <c r="BK26" s="14">
        <v>0</v>
      </c>
      <c r="BL26" s="14">
        <v>0</v>
      </c>
      <c r="BM26" s="17">
        <v>0</v>
      </c>
      <c r="BN26" s="16">
        <v>0</v>
      </c>
      <c r="BO26" s="14">
        <v>0</v>
      </c>
      <c r="BP26" s="14">
        <v>0</v>
      </c>
      <c r="BQ26" s="14">
        <v>0</v>
      </c>
      <c r="BR26" s="14">
        <v>0</v>
      </c>
      <c r="BS26" s="15">
        <v>0</v>
      </c>
      <c r="BT26" s="16">
        <v>0</v>
      </c>
      <c r="BU26" s="14">
        <v>0</v>
      </c>
      <c r="BV26" s="14">
        <v>0</v>
      </c>
      <c r="BW26" s="14">
        <v>0</v>
      </c>
      <c r="BX26" s="14">
        <v>0</v>
      </c>
      <c r="BY26" s="17">
        <v>0</v>
      </c>
      <c r="BZ26" s="16">
        <v>0</v>
      </c>
      <c r="CA26" s="14">
        <v>0</v>
      </c>
      <c r="CB26" s="14">
        <v>0</v>
      </c>
      <c r="CC26" s="14">
        <v>0</v>
      </c>
      <c r="CD26" s="14">
        <v>0</v>
      </c>
      <c r="CE26" s="15">
        <v>0</v>
      </c>
      <c r="CF26" s="16">
        <v>0</v>
      </c>
      <c r="CG26" s="14">
        <v>0</v>
      </c>
      <c r="CH26" s="14">
        <v>0</v>
      </c>
      <c r="CI26" s="14">
        <v>0</v>
      </c>
      <c r="CJ26" s="14">
        <v>0</v>
      </c>
      <c r="CK26" s="15">
        <v>0</v>
      </c>
      <c r="CL26" s="16">
        <v>0</v>
      </c>
      <c r="CM26" s="14">
        <v>0</v>
      </c>
      <c r="CN26" s="14">
        <v>0</v>
      </c>
      <c r="CO26" s="14">
        <v>0</v>
      </c>
      <c r="CP26" s="14">
        <v>0</v>
      </c>
      <c r="CQ26" s="15">
        <v>0</v>
      </c>
      <c r="CR26" s="18">
        <v>0</v>
      </c>
      <c r="CS26" s="19">
        <v>0</v>
      </c>
      <c r="CT26" s="19">
        <v>0</v>
      </c>
      <c r="CU26" s="19">
        <v>0</v>
      </c>
      <c r="CV26" s="19">
        <v>0</v>
      </c>
      <c r="CW26" s="20">
        <v>0</v>
      </c>
      <c r="CX26" s="18">
        <v>0</v>
      </c>
      <c r="CY26" s="19">
        <v>0</v>
      </c>
      <c r="CZ26" s="19">
        <v>0</v>
      </c>
      <c r="DA26" s="19">
        <v>0</v>
      </c>
      <c r="DB26" s="19">
        <v>0</v>
      </c>
      <c r="DC26" s="20">
        <v>0</v>
      </c>
    </row>
    <row r="27" spans="1:107" s="29" customFormat="1" x14ac:dyDescent="0.25">
      <c r="A27" s="14" t="s">
        <v>62</v>
      </c>
      <c r="B27" s="25">
        <v>2129.3519999999999</v>
      </c>
      <c r="C27" s="25">
        <f>B27</f>
        <v>2129.3519999999999</v>
      </c>
      <c r="D27" s="25">
        <v>2510.029</v>
      </c>
      <c r="E27" s="25">
        <v>2012.633</v>
      </c>
      <c r="F27" s="25">
        <v>1445.2349999999999</v>
      </c>
      <c r="G27" s="25">
        <v>1410.883</v>
      </c>
      <c r="H27" s="25">
        <v>907.03200000000004</v>
      </c>
      <c r="I27" s="14">
        <v>0</v>
      </c>
      <c r="J27" s="14">
        <v>0</v>
      </c>
      <c r="K27" s="14">
        <v>0</v>
      </c>
      <c r="L27" s="14">
        <v>0</v>
      </c>
      <c r="M27" s="14">
        <v>0</v>
      </c>
      <c r="N27" s="14">
        <v>0</v>
      </c>
      <c r="O27" s="14">
        <v>0</v>
      </c>
      <c r="P27" s="14"/>
      <c r="Q27" s="14">
        <v>0</v>
      </c>
      <c r="R27" s="14">
        <v>0</v>
      </c>
      <c r="S27" s="14">
        <v>0</v>
      </c>
      <c r="T27" s="14">
        <v>0</v>
      </c>
      <c r="U27" s="14">
        <v>0</v>
      </c>
      <c r="V27" s="14">
        <v>0</v>
      </c>
      <c r="W27" s="21">
        <v>1632.5626565</v>
      </c>
      <c r="X27" s="21">
        <v>1525.4298959999999</v>
      </c>
      <c r="Y27" s="21">
        <v>1254.6071225000001</v>
      </c>
      <c r="Z27" s="21">
        <v>1296.5643825</v>
      </c>
      <c r="AA27" s="21">
        <v>1162.6980434999998</v>
      </c>
      <c r="AB27" s="21">
        <v>697.53944749999994</v>
      </c>
      <c r="AC27" s="14"/>
      <c r="AD27" s="14"/>
      <c r="AE27" s="14"/>
      <c r="AF27" s="14"/>
      <c r="AG27" s="14"/>
      <c r="AH27" s="14"/>
      <c r="AI27" s="14"/>
      <c r="AJ27" s="26"/>
      <c r="AK27" s="26"/>
      <c r="AL27" s="26"/>
      <c r="AM27" s="26"/>
      <c r="AN27" s="26"/>
      <c r="AO27" s="26"/>
      <c r="AP27" s="4"/>
      <c r="AQ27" s="4"/>
      <c r="AR27" s="4"/>
      <c r="AS27" s="4"/>
      <c r="AT27" s="4"/>
      <c r="AU27" s="4"/>
      <c r="AV27" s="14"/>
      <c r="AW27" s="14"/>
      <c r="AX27" s="14"/>
      <c r="AY27" s="14"/>
      <c r="AZ27" s="14"/>
      <c r="BA27" s="14"/>
      <c r="BB27" s="14"/>
      <c r="BC27" s="14"/>
      <c r="BD27" s="14"/>
      <c r="BE27" s="14"/>
      <c r="BF27" s="14"/>
      <c r="BG27" s="14"/>
      <c r="BH27" s="14"/>
      <c r="BI27" s="14"/>
      <c r="BJ27" s="14"/>
      <c r="BK27" s="14"/>
      <c r="BL27" s="14"/>
      <c r="BM27" s="14"/>
      <c r="BN27" s="14"/>
      <c r="BO27" s="14"/>
      <c r="BP27" s="14"/>
      <c r="BQ27" s="14"/>
      <c r="BR27" s="14"/>
      <c r="BS27" s="14"/>
      <c r="BT27" s="14"/>
      <c r="BU27" s="14"/>
      <c r="BV27" s="14"/>
      <c r="BW27" s="14"/>
      <c r="BX27" s="14"/>
      <c r="BY27" s="14"/>
      <c r="BZ27" s="14"/>
      <c r="CA27" s="14"/>
      <c r="CB27" s="14"/>
      <c r="CC27" s="14"/>
      <c r="CD27" s="14"/>
      <c r="CE27" s="14"/>
      <c r="CF27" s="14"/>
      <c r="CG27" s="14"/>
      <c r="CH27" s="14"/>
      <c r="CI27" s="14"/>
      <c r="CJ27" s="27"/>
      <c r="CK27" s="28"/>
      <c r="CL27" s="26"/>
      <c r="CM27" s="26"/>
      <c r="CN27" s="26"/>
      <c r="CO27" s="26"/>
      <c r="CP27" s="26"/>
      <c r="CQ27" s="26"/>
      <c r="CX27" s="26"/>
      <c r="CY27" s="26"/>
      <c r="CZ27" s="26"/>
      <c r="DA27" s="26"/>
      <c r="DB27" s="26"/>
      <c r="DC27" s="26"/>
    </row>
    <row r="28" spans="1:107" x14ac:dyDescent="0.25">
      <c r="A28" s="13" t="s">
        <v>45</v>
      </c>
      <c r="B28" s="12">
        <v>0</v>
      </c>
      <c r="C28" s="12">
        <f t="shared" si="7"/>
        <v>0</v>
      </c>
      <c r="D28" s="12">
        <v>0</v>
      </c>
      <c r="E28" s="12">
        <v>0</v>
      </c>
      <c r="F28" s="12">
        <v>0</v>
      </c>
      <c r="G28" s="12">
        <v>0</v>
      </c>
      <c r="H28" s="12">
        <v>0</v>
      </c>
      <c r="I28" s="1">
        <v>0</v>
      </c>
      <c r="J28" s="1">
        <v>0</v>
      </c>
      <c r="K28" s="1">
        <v>0</v>
      </c>
      <c r="L28" s="1">
        <v>0</v>
      </c>
      <c r="M28" s="1">
        <v>0</v>
      </c>
      <c r="N28" s="1">
        <v>0</v>
      </c>
      <c r="O28" s="1">
        <v>0</v>
      </c>
      <c r="P28" s="1"/>
      <c r="Q28" s="1">
        <v>0</v>
      </c>
      <c r="R28" s="3">
        <v>0</v>
      </c>
      <c r="S28" s="3">
        <v>0</v>
      </c>
      <c r="T28" s="3">
        <v>0</v>
      </c>
      <c r="U28" s="3">
        <v>0</v>
      </c>
      <c r="V28" s="3">
        <v>0</v>
      </c>
      <c r="W28" s="21">
        <v>0</v>
      </c>
      <c r="X28" s="21">
        <v>0</v>
      </c>
      <c r="Y28" s="21">
        <v>0</v>
      </c>
      <c r="Z28" s="21">
        <v>0</v>
      </c>
      <c r="AA28" s="21">
        <v>0</v>
      </c>
      <c r="AB28" s="22">
        <v>0</v>
      </c>
      <c r="AC28" s="16">
        <v>0</v>
      </c>
      <c r="AD28" s="14">
        <v>0</v>
      </c>
      <c r="AE28" s="14">
        <v>0</v>
      </c>
      <c r="AF28" s="14">
        <v>0</v>
      </c>
      <c r="AG28" s="14">
        <v>0</v>
      </c>
      <c r="AH28" s="14">
        <v>0</v>
      </c>
      <c r="AI28" s="15"/>
      <c r="AJ28" s="14">
        <v>0</v>
      </c>
      <c r="AK28" s="14">
        <v>0</v>
      </c>
      <c r="AL28" s="14">
        <v>0</v>
      </c>
      <c r="AM28" s="14">
        <v>0</v>
      </c>
      <c r="AN28" s="14">
        <v>0</v>
      </c>
      <c r="AO28" s="15">
        <v>0</v>
      </c>
      <c r="AP28" s="14"/>
      <c r="AQ28" s="14"/>
      <c r="AR28" s="14"/>
      <c r="AS28" s="14"/>
      <c r="AT28" s="14"/>
      <c r="AU28" s="14"/>
      <c r="AV28" s="16">
        <v>0</v>
      </c>
      <c r="AW28" s="14">
        <v>0</v>
      </c>
      <c r="AX28" s="14">
        <v>0</v>
      </c>
      <c r="AY28" s="14">
        <v>0</v>
      </c>
      <c r="AZ28" s="14">
        <v>0</v>
      </c>
      <c r="BA28" s="15">
        <v>0</v>
      </c>
      <c r="BB28" s="16">
        <v>0</v>
      </c>
      <c r="BC28" s="14">
        <v>0</v>
      </c>
      <c r="BD28" s="14">
        <v>0</v>
      </c>
      <c r="BE28" s="14">
        <v>0</v>
      </c>
      <c r="BF28" s="14">
        <v>0</v>
      </c>
      <c r="BG28" s="15">
        <v>0</v>
      </c>
      <c r="BH28" s="16">
        <v>0</v>
      </c>
      <c r="BI28" s="14">
        <v>0</v>
      </c>
      <c r="BJ28" s="14">
        <v>0</v>
      </c>
      <c r="BK28" s="14">
        <v>0</v>
      </c>
      <c r="BL28" s="14">
        <v>0</v>
      </c>
      <c r="BM28" s="17">
        <v>0</v>
      </c>
      <c r="BN28" s="16">
        <v>0</v>
      </c>
      <c r="BO28" s="14">
        <v>0</v>
      </c>
      <c r="BP28" s="14">
        <v>0</v>
      </c>
      <c r="BQ28" s="14">
        <v>0</v>
      </c>
      <c r="BR28" s="14">
        <v>0</v>
      </c>
      <c r="BS28" s="15">
        <v>0</v>
      </c>
      <c r="BT28" s="16">
        <v>0</v>
      </c>
      <c r="BU28" s="14">
        <v>0</v>
      </c>
      <c r="BV28" s="14">
        <v>0</v>
      </c>
      <c r="BW28" s="14">
        <v>0</v>
      </c>
      <c r="BX28" s="14">
        <v>0</v>
      </c>
      <c r="BY28" s="17">
        <v>0</v>
      </c>
      <c r="BZ28" s="16">
        <v>0</v>
      </c>
      <c r="CA28" s="14">
        <v>0</v>
      </c>
      <c r="CB28" s="14">
        <v>0</v>
      </c>
      <c r="CC28" s="14">
        <v>0</v>
      </c>
      <c r="CD28" s="14">
        <v>0</v>
      </c>
      <c r="CE28" s="15">
        <v>0</v>
      </c>
      <c r="CF28" s="16">
        <v>0</v>
      </c>
      <c r="CG28" s="14">
        <v>0</v>
      </c>
      <c r="CH28" s="14">
        <v>0</v>
      </c>
      <c r="CI28" s="14">
        <v>0</v>
      </c>
      <c r="CJ28" s="14">
        <v>0</v>
      </c>
      <c r="CK28" s="15">
        <v>0</v>
      </c>
      <c r="CL28" s="16">
        <v>0</v>
      </c>
      <c r="CM28" s="14">
        <v>0</v>
      </c>
      <c r="CN28" s="14">
        <v>0</v>
      </c>
      <c r="CO28" s="14">
        <v>0</v>
      </c>
      <c r="CP28" s="14">
        <v>0</v>
      </c>
      <c r="CQ28" s="15">
        <v>0</v>
      </c>
      <c r="CR28" s="18">
        <v>0</v>
      </c>
      <c r="CS28" s="19">
        <v>0</v>
      </c>
      <c r="CT28" s="19">
        <v>0</v>
      </c>
      <c r="CU28" s="19">
        <v>0</v>
      </c>
      <c r="CV28" s="19">
        <v>0</v>
      </c>
      <c r="CW28" s="20">
        <v>0</v>
      </c>
      <c r="CX28" s="18">
        <v>0</v>
      </c>
      <c r="CY28" s="19">
        <v>0</v>
      </c>
      <c r="CZ28" s="19">
        <v>0</v>
      </c>
      <c r="DA28" s="19">
        <v>0</v>
      </c>
      <c r="DB28" s="19">
        <v>0</v>
      </c>
      <c r="DC28" s="20">
        <v>0</v>
      </c>
    </row>
    <row r="29" spans="1:107" x14ac:dyDescent="0.25">
      <c r="A29" s="1" t="s">
        <v>46</v>
      </c>
      <c r="B29" s="12">
        <v>1676.694</v>
      </c>
      <c r="C29" s="12">
        <f t="shared" si="7"/>
        <v>1676.694</v>
      </c>
      <c r="D29" s="12">
        <v>1743</v>
      </c>
      <c r="E29" s="12">
        <v>1526</v>
      </c>
      <c r="F29" s="12">
        <v>864</v>
      </c>
      <c r="G29" s="12">
        <v>1046</v>
      </c>
      <c r="H29" s="12">
        <v>1044</v>
      </c>
      <c r="I29" s="1">
        <v>3.5</v>
      </c>
      <c r="J29" s="1">
        <v>3.59</v>
      </c>
      <c r="K29" s="1">
        <v>3.56</v>
      </c>
      <c r="L29" s="1">
        <v>0</v>
      </c>
      <c r="M29" s="1">
        <v>0</v>
      </c>
      <c r="N29" s="1">
        <v>4.12</v>
      </c>
      <c r="O29" s="1">
        <v>500</v>
      </c>
      <c r="P29" s="1"/>
      <c r="Q29" s="1">
        <v>0</v>
      </c>
      <c r="R29" s="3">
        <v>0</v>
      </c>
      <c r="S29" s="3">
        <v>0</v>
      </c>
      <c r="T29" s="3">
        <v>100</v>
      </c>
      <c r="U29" s="3">
        <v>67.304015296367112</v>
      </c>
      <c r="V29" s="3">
        <v>32.18390804597702</v>
      </c>
      <c r="W29" s="21">
        <v>5407.3836300000003</v>
      </c>
      <c r="X29" s="21">
        <v>5500.823582</v>
      </c>
      <c r="Y29" s="21">
        <v>0</v>
      </c>
      <c r="Z29" s="21">
        <v>0</v>
      </c>
      <c r="AA29" s="21">
        <v>0</v>
      </c>
      <c r="AB29" s="22">
        <v>3804.7000000000003</v>
      </c>
      <c r="AC29" s="16">
        <v>0</v>
      </c>
      <c r="AD29" s="14">
        <v>0</v>
      </c>
      <c r="AE29" s="14">
        <v>0</v>
      </c>
      <c r="AF29" s="14">
        <v>0</v>
      </c>
      <c r="AG29" s="14">
        <v>0</v>
      </c>
      <c r="AH29" s="14">
        <v>0</v>
      </c>
      <c r="AI29" s="15"/>
      <c r="AJ29" s="14">
        <v>0</v>
      </c>
      <c r="AK29" s="14">
        <v>0</v>
      </c>
      <c r="AL29" s="14">
        <v>0</v>
      </c>
      <c r="AM29" s="14">
        <v>0</v>
      </c>
      <c r="AN29" s="14">
        <v>0</v>
      </c>
      <c r="AO29" s="15">
        <v>0</v>
      </c>
      <c r="AP29" s="14"/>
      <c r="AQ29" s="14"/>
      <c r="AR29" s="14"/>
      <c r="AS29" s="14"/>
      <c r="AT29" s="14"/>
      <c r="AU29" s="14"/>
      <c r="AV29" s="16">
        <v>0</v>
      </c>
      <c r="AW29" s="14">
        <v>0</v>
      </c>
      <c r="AX29" s="14">
        <v>0</v>
      </c>
      <c r="AY29" s="14">
        <v>0</v>
      </c>
      <c r="AZ29" s="14">
        <v>0</v>
      </c>
      <c r="BA29" s="15">
        <v>0</v>
      </c>
      <c r="BB29" s="16">
        <v>0</v>
      </c>
      <c r="BC29" s="14">
        <v>0</v>
      </c>
      <c r="BD29" s="14">
        <v>0</v>
      </c>
      <c r="BE29" s="14">
        <v>0</v>
      </c>
      <c r="BF29" s="14">
        <v>0</v>
      </c>
      <c r="BG29" s="15">
        <v>0</v>
      </c>
      <c r="BH29" s="16">
        <v>0</v>
      </c>
      <c r="BI29" s="14">
        <v>0</v>
      </c>
      <c r="BJ29" s="14">
        <v>0</v>
      </c>
      <c r="BK29" s="14">
        <v>0</v>
      </c>
      <c r="BL29" s="14">
        <v>0</v>
      </c>
      <c r="BM29" s="17">
        <v>0</v>
      </c>
      <c r="BN29" s="16">
        <v>0</v>
      </c>
      <c r="BO29" s="14">
        <v>0</v>
      </c>
      <c r="BP29" s="14">
        <v>0</v>
      </c>
      <c r="BQ29" s="14">
        <v>0</v>
      </c>
      <c r="BR29" s="14">
        <v>0</v>
      </c>
      <c r="BS29" s="15">
        <v>0</v>
      </c>
      <c r="BT29" s="16">
        <v>0</v>
      </c>
      <c r="BU29" s="14">
        <v>0</v>
      </c>
      <c r="BV29" s="14">
        <v>0</v>
      </c>
      <c r="BW29" s="14">
        <v>0</v>
      </c>
      <c r="BX29" s="14">
        <v>0</v>
      </c>
      <c r="BY29" s="17">
        <v>0</v>
      </c>
      <c r="BZ29" s="16">
        <v>0</v>
      </c>
      <c r="CA29" s="14">
        <v>0</v>
      </c>
      <c r="CB29" s="14">
        <v>0</v>
      </c>
      <c r="CC29" s="14">
        <v>0</v>
      </c>
      <c r="CD29" s="14">
        <v>0</v>
      </c>
      <c r="CE29" s="15">
        <v>0</v>
      </c>
      <c r="CF29" s="16">
        <v>0</v>
      </c>
      <c r="CG29" s="14">
        <v>0</v>
      </c>
      <c r="CH29" s="14">
        <v>0</v>
      </c>
      <c r="CI29" s="14">
        <v>0</v>
      </c>
      <c r="CJ29" s="14">
        <v>0</v>
      </c>
      <c r="CK29" s="15">
        <v>0</v>
      </c>
      <c r="CL29" s="16">
        <v>0</v>
      </c>
      <c r="CM29" s="14">
        <v>0</v>
      </c>
      <c r="CN29" s="14">
        <v>0</v>
      </c>
      <c r="CO29" s="14">
        <v>0</v>
      </c>
      <c r="CP29" s="14">
        <v>0</v>
      </c>
      <c r="CQ29" s="15">
        <v>0</v>
      </c>
      <c r="CR29" s="18">
        <v>0</v>
      </c>
      <c r="CS29" s="19">
        <v>0</v>
      </c>
      <c r="CT29" s="19">
        <v>0</v>
      </c>
      <c r="CU29" s="19">
        <v>0</v>
      </c>
      <c r="CV29" s="19">
        <v>0</v>
      </c>
      <c r="CW29" s="20">
        <v>0</v>
      </c>
      <c r="CX29" s="18">
        <v>0</v>
      </c>
      <c r="CY29" s="19">
        <v>0</v>
      </c>
      <c r="CZ29" s="19">
        <v>0</v>
      </c>
      <c r="DA29" s="19">
        <v>0</v>
      </c>
      <c r="DB29" s="19">
        <v>0</v>
      </c>
      <c r="DC29" s="20">
        <v>0</v>
      </c>
    </row>
    <row r="30" spans="1:107" x14ac:dyDescent="0.25">
      <c r="A30" s="1" t="s">
        <v>47</v>
      </c>
      <c r="B30" s="12">
        <v>1662</v>
      </c>
      <c r="C30" s="12">
        <f t="shared" si="7"/>
        <v>1662</v>
      </c>
      <c r="D30" s="12">
        <v>1794</v>
      </c>
      <c r="E30" s="12">
        <v>1794</v>
      </c>
      <c r="F30" s="12">
        <v>1579</v>
      </c>
      <c r="G30" s="12">
        <v>1542</v>
      </c>
      <c r="H30" s="12">
        <v>1545</v>
      </c>
      <c r="I30" s="1">
        <v>4.1900000000000004</v>
      </c>
      <c r="J30" s="1">
        <v>4.1900000000000004</v>
      </c>
      <c r="K30" s="1">
        <v>4.1900000000000004</v>
      </c>
      <c r="L30" s="1">
        <v>4.1900000000000004</v>
      </c>
      <c r="M30" s="1">
        <v>4.3899999999999997</v>
      </c>
      <c r="N30" s="1">
        <v>4.3600000000000003</v>
      </c>
      <c r="O30" s="1">
        <v>770</v>
      </c>
      <c r="P30" s="1" t="s">
        <v>26</v>
      </c>
      <c r="Q30" s="1">
        <v>100</v>
      </c>
      <c r="R30" s="3">
        <v>100</v>
      </c>
      <c r="S30" s="3">
        <v>100</v>
      </c>
      <c r="T30" s="3">
        <v>100</v>
      </c>
      <c r="U30" s="3">
        <v>100</v>
      </c>
      <c r="V30" s="3">
        <v>100</v>
      </c>
      <c r="W30" s="21">
        <v>5479.9583499999999</v>
      </c>
      <c r="X30" s="21">
        <v>5851.3368</v>
      </c>
      <c r="Y30" s="21">
        <v>5338.2108500000004</v>
      </c>
      <c r="Z30" s="21">
        <v>5165.2788999999993</v>
      </c>
      <c r="AA30" s="21">
        <v>5264.5021499999993</v>
      </c>
      <c r="AB30" s="22">
        <v>5233.3176999999996</v>
      </c>
      <c r="AC30" s="16">
        <v>0.44705174488567989</v>
      </c>
      <c r="AD30" s="14">
        <v>0.4414715719063545</v>
      </c>
      <c r="AE30" s="14">
        <v>0.40635451505016723</v>
      </c>
      <c r="AF30" s="14">
        <v>0.45155161494616847</v>
      </c>
      <c r="AG30" s="14">
        <v>0.45006485084306097</v>
      </c>
      <c r="AH30" s="14">
        <v>0.43624595469255661</v>
      </c>
      <c r="AI30" s="15">
        <f>AVERAGE(AC30:AH30)</f>
        <v>0.43879004205399791</v>
      </c>
      <c r="AJ30" s="14">
        <v>0.13558497210111095</v>
      </c>
      <c r="AK30" s="14">
        <v>0.13535368533221331</v>
      </c>
      <c r="AL30" s="14">
        <v>0.1365626087999128</v>
      </c>
      <c r="AM30" s="14">
        <v>0.13803707675881743</v>
      </c>
      <c r="AN30" s="14">
        <v>0.1318263304346832</v>
      </c>
      <c r="AO30" s="15">
        <v>0.12879019364713901</v>
      </c>
      <c r="AP30" s="14">
        <f t="shared" ref="AP30:AU30" si="8">AC30/I30</f>
        <v>0.10669492718035319</v>
      </c>
      <c r="AQ30" s="14">
        <f t="shared" si="8"/>
        <v>0.10536314365306788</v>
      </c>
      <c r="AR30" s="14">
        <f t="shared" si="8"/>
        <v>9.6981984498846582E-2</v>
      </c>
      <c r="AS30" s="14">
        <f t="shared" si="8"/>
        <v>0.10776888184872754</v>
      </c>
      <c r="AT30" s="14">
        <f t="shared" si="8"/>
        <v>0.10252046716242848</v>
      </c>
      <c r="AU30" s="14">
        <f t="shared" si="8"/>
        <v>0.10005641162673316</v>
      </c>
      <c r="AV30" s="16">
        <v>3.8730445246690732</v>
      </c>
      <c r="AW30" s="14">
        <v>3.9587513935340022</v>
      </c>
      <c r="AX30" s="14">
        <v>3.5289855072463769</v>
      </c>
      <c r="AY30" s="14">
        <v>4.0848638378720707</v>
      </c>
      <c r="AZ30" s="14">
        <v>4.6413748378728927</v>
      </c>
      <c r="BA30" s="15">
        <v>4.5042071197411007</v>
      </c>
      <c r="BB30" s="16">
        <v>1.1746439642191806</v>
      </c>
      <c r="BC30" s="14">
        <v>1.2137397389259836</v>
      </c>
      <c r="BD30" s="14">
        <v>1.1859778824585019</v>
      </c>
      <c r="BE30" s="14">
        <v>1.2487225036386711</v>
      </c>
      <c r="BF30" s="14">
        <v>1.3594827765432675</v>
      </c>
      <c r="BG30" s="15">
        <v>1.329749195238042</v>
      </c>
      <c r="BH30" s="16">
        <v>112.69434416365824</v>
      </c>
      <c r="BI30" s="14">
        <v>115.05685618729098</v>
      </c>
      <c r="BJ30" s="14">
        <v>98.056856187290975</v>
      </c>
      <c r="BK30" s="14">
        <v>108.26979100696643</v>
      </c>
      <c r="BL30" s="14">
        <v>109.5136186770428</v>
      </c>
      <c r="BM30" s="17">
        <v>105.98511326860842</v>
      </c>
      <c r="BN30" s="16">
        <v>34.178726924083286</v>
      </c>
      <c r="BO30" s="14">
        <v>35.276041536354562</v>
      </c>
      <c r="BP30" s="14">
        <v>32.95373767411229</v>
      </c>
      <c r="BQ30" s="14">
        <v>33.097535159234099</v>
      </c>
      <c r="BR30" s="14">
        <v>32.077107234156991</v>
      </c>
      <c r="BS30" s="15">
        <v>31.289329138187046</v>
      </c>
      <c r="BT30" s="16">
        <v>112.69434416365824</v>
      </c>
      <c r="BU30" s="14">
        <v>115.05685618729098</v>
      </c>
      <c r="BV30" s="14">
        <v>98.056856187290975</v>
      </c>
      <c r="BW30" s="14">
        <v>108.26979100696643</v>
      </c>
      <c r="BX30" s="14">
        <v>109.5136186770428</v>
      </c>
      <c r="BY30" s="17">
        <v>105.98511326860842</v>
      </c>
      <c r="BZ30" s="16">
        <v>0</v>
      </c>
      <c r="CA30" s="14">
        <v>0</v>
      </c>
      <c r="CB30" s="14">
        <v>0</v>
      </c>
      <c r="CC30" s="14">
        <v>0</v>
      </c>
      <c r="CD30" s="14">
        <v>0</v>
      </c>
      <c r="CE30" s="15">
        <v>0</v>
      </c>
      <c r="CF30" s="16">
        <v>116.56738868832731</v>
      </c>
      <c r="CG30" s="14">
        <v>119.01560758082498</v>
      </c>
      <c r="CH30" s="14">
        <v>101.58584169453735</v>
      </c>
      <c r="CI30" s="14">
        <v>112.35465484483851</v>
      </c>
      <c r="CJ30" s="14">
        <v>114.15499351491569</v>
      </c>
      <c r="CK30" s="15">
        <v>110.48932038834951</v>
      </c>
      <c r="CL30" s="16">
        <v>35.353370888302464</v>
      </c>
      <c r="CM30" s="14">
        <v>36.489781275280542</v>
      </c>
      <c r="CN30" s="14">
        <v>34.139715556570792</v>
      </c>
      <c r="CO30" s="14">
        <v>34.346257662872773</v>
      </c>
      <c r="CP30" s="14">
        <v>33.436590010700257</v>
      </c>
      <c r="CQ30" s="15">
        <v>32.619078333425087</v>
      </c>
      <c r="CR30" s="18">
        <v>0.91636582430806257</v>
      </c>
      <c r="CS30" s="19">
        <v>0.94202898550724634</v>
      </c>
      <c r="CT30" s="19">
        <v>1.0975473801560758</v>
      </c>
      <c r="CU30" s="19">
        <v>1.2596580113996201</v>
      </c>
      <c r="CV30" s="19">
        <v>1.1783398184176395</v>
      </c>
      <c r="CW30" s="20">
        <v>0.96699029126213587</v>
      </c>
      <c r="CX30" s="18">
        <v>0.32638084976329462</v>
      </c>
      <c r="CY30" s="19">
        <v>0.34250528194064556</v>
      </c>
      <c r="CZ30" s="19">
        <v>0.43300802826352691</v>
      </c>
      <c r="DA30" s="19">
        <v>0.45235311120521299</v>
      </c>
      <c r="DB30" s="19">
        <v>0.40513806032606059</v>
      </c>
      <c r="DC30" s="20">
        <v>0.33481157649347532</v>
      </c>
    </row>
    <row r="31" spans="1:107" x14ac:dyDescent="0.25">
      <c r="A31" s="1" t="s">
        <v>48</v>
      </c>
      <c r="B31" s="12">
        <v>0</v>
      </c>
      <c r="C31" s="12">
        <f t="shared" si="7"/>
        <v>0</v>
      </c>
      <c r="D31" s="12">
        <v>240</v>
      </c>
      <c r="E31" s="12">
        <v>198</v>
      </c>
      <c r="F31" s="12">
        <v>0</v>
      </c>
      <c r="G31" s="12">
        <v>198</v>
      </c>
      <c r="H31" s="12">
        <v>25</v>
      </c>
      <c r="I31" s="1">
        <v>0</v>
      </c>
      <c r="J31" s="1">
        <v>0</v>
      </c>
      <c r="K31" s="1">
        <v>4.0199999999999996</v>
      </c>
      <c r="L31" s="1">
        <v>0</v>
      </c>
      <c r="M31" s="1">
        <v>3.47</v>
      </c>
      <c r="N31" s="1">
        <v>4.2</v>
      </c>
      <c r="O31" s="1">
        <v>650</v>
      </c>
      <c r="P31" s="1"/>
      <c r="Q31" s="1">
        <v>100</v>
      </c>
      <c r="R31" s="3">
        <v>100</v>
      </c>
      <c r="S31" s="3">
        <v>100</v>
      </c>
      <c r="T31" s="3">
        <v>100</v>
      </c>
      <c r="U31" s="3">
        <v>100</v>
      </c>
      <c r="V31" s="3">
        <v>100</v>
      </c>
      <c r="W31" s="21">
        <v>0</v>
      </c>
      <c r="X31" s="21">
        <v>773.94134999999994</v>
      </c>
      <c r="Y31" s="21">
        <v>592.50454999999999</v>
      </c>
      <c r="Z31" s="21">
        <v>0</v>
      </c>
      <c r="AA31" s="21">
        <v>73.708699999999993</v>
      </c>
      <c r="AB31" s="22">
        <v>240.97074999999998</v>
      </c>
      <c r="AC31" s="16">
        <v>0</v>
      </c>
      <c r="AD31" s="14">
        <v>0</v>
      </c>
      <c r="AE31" s="14">
        <v>0</v>
      </c>
      <c r="AF31" s="14">
        <v>0</v>
      </c>
      <c r="AG31" s="14">
        <v>0</v>
      </c>
      <c r="AH31" s="14">
        <v>0</v>
      </c>
      <c r="AI31" s="15"/>
      <c r="AJ31" s="14">
        <v>0</v>
      </c>
      <c r="AK31" s="14">
        <v>0</v>
      </c>
      <c r="AL31" s="14">
        <v>0</v>
      </c>
      <c r="AM31" s="14">
        <v>0</v>
      </c>
      <c r="AN31" s="14">
        <v>0</v>
      </c>
      <c r="AO31" s="15">
        <v>0</v>
      </c>
      <c r="AP31" s="14"/>
      <c r="AQ31" s="14"/>
      <c r="AR31" s="14">
        <f t="shared" ref="AR31:AU32" si="9">AE31/K31</f>
        <v>0</v>
      </c>
      <c r="AS31" s="14" t="e">
        <f t="shared" si="9"/>
        <v>#DIV/0!</v>
      </c>
      <c r="AT31" s="14">
        <f t="shared" si="9"/>
        <v>0</v>
      </c>
      <c r="AU31" s="14">
        <f t="shared" si="9"/>
        <v>0</v>
      </c>
      <c r="AV31" s="16">
        <v>0</v>
      </c>
      <c r="AW31" s="14">
        <v>0</v>
      </c>
      <c r="AX31" s="14">
        <v>0</v>
      </c>
      <c r="AY31" s="14">
        <v>0</v>
      </c>
      <c r="AZ31" s="14">
        <v>0</v>
      </c>
      <c r="BA31" s="15">
        <v>0</v>
      </c>
      <c r="BB31" s="16">
        <v>0</v>
      </c>
      <c r="BC31" s="14">
        <v>0</v>
      </c>
      <c r="BD31" s="14">
        <v>0</v>
      </c>
      <c r="BE31" s="14">
        <v>0</v>
      </c>
      <c r="BF31" s="14">
        <v>0</v>
      </c>
      <c r="BG31" s="15">
        <v>0</v>
      </c>
      <c r="BH31" s="16">
        <v>0</v>
      </c>
      <c r="BI31" s="14">
        <v>0</v>
      </c>
      <c r="BJ31" s="14">
        <v>0</v>
      </c>
      <c r="BK31" s="14">
        <v>0</v>
      </c>
      <c r="BL31" s="14">
        <v>0</v>
      </c>
      <c r="BM31" s="17">
        <v>0</v>
      </c>
      <c r="BN31" s="16">
        <v>0</v>
      </c>
      <c r="BO31" s="14">
        <v>0</v>
      </c>
      <c r="BP31" s="14">
        <v>0</v>
      </c>
      <c r="BQ31" s="14">
        <v>0</v>
      </c>
      <c r="BR31" s="14">
        <v>0</v>
      </c>
      <c r="BS31" s="15">
        <v>0</v>
      </c>
      <c r="BT31" s="16">
        <v>0</v>
      </c>
      <c r="BU31" s="14">
        <v>0</v>
      </c>
      <c r="BV31" s="14">
        <v>0</v>
      </c>
      <c r="BW31" s="14">
        <v>0</v>
      </c>
      <c r="BX31" s="14">
        <v>0</v>
      </c>
      <c r="BY31" s="17">
        <v>0</v>
      </c>
      <c r="BZ31" s="16">
        <v>0</v>
      </c>
      <c r="CA31" s="14">
        <v>0</v>
      </c>
      <c r="CB31" s="14">
        <v>0</v>
      </c>
      <c r="CC31" s="14">
        <v>0</v>
      </c>
      <c r="CD31" s="14">
        <v>0</v>
      </c>
      <c r="CE31" s="15">
        <v>0</v>
      </c>
      <c r="CF31" s="16">
        <v>0</v>
      </c>
      <c r="CG31" s="14">
        <v>0</v>
      </c>
      <c r="CH31" s="14">
        <v>0</v>
      </c>
      <c r="CI31" s="14">
        <v>0</v>
      </c>
      <c r="CJ31" s="14">
        <v>0</v>
      </c>
      <c r="CK31" s="15">
        <v>0</v>
      </c>
      <c r="CL31" s="16">
        <v>0</v>
      </c>
      <c r="CM31" s="14">
        <v>0</v>
      </c>
      <c r="CN31" s="14">
        <v>0</v>
      </c>
      <c r="CO31" s="14">
        <v>0</v>
      </c>
      <c r="CP31" s="14">
        <v>0</v>
      </c>
      <c r="CQ31" s="15">
        <v>0</v>
      </c>
      <c r="CR31" s="18">
        <v>0</v>
      </c>
      <c r="CS31" s="19">
        <v>0</v>
      </c>
      <c r="CT31" s="19">
        <v>0</v>
      </c>
      <c r="CU31" s="19">
        <v>0</v>
      </c>
      <c r="CV31" s="19">
        <v>0</v>
      </c>
      <c r="CW31" s="20">
        <v>0</v>
      </c>
      <c r="CX31" s="18">
        <v>0</v>
      </c>
      <c r="CY31" s="19">
        <v>0</v>
      </c>
      <c r="CZ31" s="19">
        <v>0</v>
      </c>
      <c r="DA31" s="19">
        <v>0</v>
      </c>
      <c r="DB31" s="19">
        <v>0</v>
      </c>
      <c r="DC31" s="20">
        <v>0</v>
      </c>
    </row>
    <row r="32" spans="1:107" x14ac:dyDescent="0.25">
      <c r="A32" s="1" t="s">
        <v>49</v>
      </c>
      <c r="B32" s="12">
        <v>1735.36</v>
      </c>
      <c r="C32" s="12">
        <f t="shared" si="7"/>
        <v>1735.36</v>
      </c>
      <c r="D32" s="12">
        <v>1972</v>
      </c>
      <c r="E32" s="12">
        <v>2166</v>
      </c>
      <c r="F32" s="12">
        <v>2224</v>
      </c>
      <c r="G32" s="12">
        <v>2284</v>
      </c>
      <c r="H32" s="12">
        <v>2288</v>
      </c>
      <c r="I32" s="1">
        <v>4.42</v>
      </c>
      <c r="J32" s="1">
        <v>4.28</v>
      </c>
      <c r="K32" s="1">
        <v>4.4800000000000004</v>
      </c>
      <c r="L32" s="1">
        <v>4.51</v>
      </c>
      <c r="M32" s="1">
        <v>4.5599999999999996</v>
      </c>
      <c r="N32" s="1">
        <v>4.7300000000000004</v>
      </c>
      <c r="O32" s="1">
        <v>450</v>
      </c>
      <c r="P32" s="1"/>
      <c r="Q32" s="1">
        <v>100</v>
      </c>
      <c r="R32" s="3">
        <v>93.100000000000009</v>
      </c>
      <c r="S32" s="3">
        <v>100</v>
      </c>
      <c r="T32" s="3">
        <v>100</v>
      </c>
      <c r="U32" s="3">
        <v>100</v>
      </c>
      <c r="V32" s="3">
        <v>100</v>
      </c>
      <c r="W32" s="21">
        <v>15354.0892</v>
      </c>
      <c r="X32" s="21">
        <v>13483.022199999999</v>
      </c>
      <c r="Y32" s="21">
        <v>17690.088</v>
      </c>
      <c r="Z32" s="21">
        <v>17389.583299999998</v>
      </c>
      <c r="AA32" s="21">
        <v>17678.748200000002</v>
      </c>
      <c r="AB32" s="22">
        <v>18597.272000000001</v>
      </c>
      <c r="AC32" s="16">
        <v>0.5233835238797715</v>
      </c>
      <c r="AD32" s="14">
        <v>0.473002028397566</v>
      </c>
      <c r="AE32" s="14">
        <v>0.40653739612188367</v>
      </c>
      <c r="AF32" s="14">
        <v>0.37100719424460438</v>
      </c>
      <c r="AG32" s="14">
        <v>0.36567425569176887</v>
      </c>
      <c r="AH32" s="14">
        <v>0.37971031468531469</v>
      </c>
      <c r="AI32" s="15">
        <f>AVERAGE(AC32:AH32)</f>
        <v>0.41988578550348493</v>
      </c>
      <c r="AJ32" s="14">
        <v>0.11830839591579294</v>
      </c>
      <c r="AK32" s="14">
        <v>0.13836067109642528</v>
      </c>
      <c r="AL32" s="14">
        <v>9.9554055355744991E-2</v>
      </c>
      <c r="AM32" s="14">
        <v>9.4898191148720654E-2</v>
      </c>
      <c r="AN32" s="14">
        <v>9.4486327940345907E-2</v>
      </c>
      <c r="AO32" s="15">
        <v>9.3430606381409056E-2</v>
      </c>
      <c r="AP32" s="14">
        <f>AC32/I32</f>
        <v>0.1184125619637492</v>
      </c>
      <c r="AQ32" s="14">
        <f>AD32/J32</f>
        <v>0.11051449261625373</v>
      </c>
      <c r="AR32" s="14">
        <f t="shared" si="9"/>
        <v>9.0744954491491878E-2</v>
      </c>
      <c r="AS32" s="14">
        <f t="shared" si="9"/>
        <v>8.2263235974413387E-2</v>
      </c>
      <c r="AT32" s="14">
        <f t="shared" si="9"/>
        <v>8.0191722739423002E-2</v>
      </c>
      <c r="AU32" s="14">
        <f t="shared" si="9"/>
        <v>8.0277022132201836E-2</v>
      </c>
      <c r="AV32" s="16">
        <v>0</v>
      </c>
      <c r="AW32" s="14">
        <v>0</v>
      </c>
      <c r="AX32" s="14">
        <v>0</v>
      </c>
      <c r="AY32" s="14">
        <v>0</v>
      </c>
      <c r="AZ32" s="14">
        <v>0</v>
      </c>
      <c r="BA32" s="15">
        <v>0</v>
      </c>
      <c r="BB32" s="16">
        <v>0</v>
      </c>
      <c r="BC32" s="14">
        <v>0</v>
      </c>
      <c r="BD32" s="14">
        <v>0</v>
      </c>
      <c r="BE32" s="14">
        <v>0</v>
      </c>
      <c r="BF32" s="14">
        <v>0</v>
      </c>
      <c r="BG32" s="15">
        <v>0</v>
      </c>
      <c r="BH32" s="16">
        <v>0</v>
      </c>
      <c r="BI32" s="14">
        <v>0</v>
      </c>
      <c r="BJ32" s="14">
        <v>0</v>
      </c>
      <c r="BK32" s="14">
        <v>0</v>
      </c>
      <c r="BL32" s="14">
        <v>0</v>
      </c>
      <c r="BM32" s="17">
        <v>0</v>
      </c>
      <c r="BN32" s="16">
        <v>0</v>
      </c>
      <c r="BO32" s="14">
        <v>0</v>
      </c>
      <c r="BP32" s="14">
        <v>0</v>
      </c>
      <c r="BQ32" s="14">
        <v>0</v>
      </c>
      <c r="BR32" s="14">
        <v>0</v>
      </c>
      <c r="BS32" s="15">
        <v>0</v>
      </c>
      <c r="BT32" s="16">
        <v>0</v>
      </c>
      <c r="BU32" s="14">
        <v>0</v>
      </c>
      <c r="BV32" s="14">
        <v>0</v>
      </c>
      <c r="BW32" s="14">
        <v>0</v>
      </c>
      <c r="BX32" s="14">
        <v>0</v>
      </c>
      <c r="BY32" s="17">
        <v>0</v>
      </c>
      <c r="BZ32" s="16">
        <v>0</v>
      </c>
      <c r="CA32" s="14">
        <v>0</v>
      </c>
      <c r="CB32" s="14">
        <v>0</v>
      </c>
      <c r="CC32" s="14">
        <v>0</v>
      </c>
      <c r="CD32" s="14">
        <v>0</v>
      </c>
      <c r="CE32" s="15">
        <v>0</v>
      </c>
      <c r="CF32" s="16">
        <v>89</v>
      </c>
      <c r="CG32" s="14">
        <v>77</v>
      </c>
      <c r="CH32" s="14">
        <v>79</v>
      </c>
      <c r="CI32" s="14">
        <v>82</v>
      </c>
      <c r="CJ32" s="14">
        <v>77</v>
      </c>
      <c r="CK32" s="15">
        <v>78</v>
      </c>
      <c r="CL32" s="16">
        <v>22.833040470015135</v>
      </c>
      <c r="CM32" s="14">
        <v>25.950309337859345</v>
      </c>
      <c r="CN32" s="14">
        <v>22.264380850480379</v>
      </c>
      <c r="CO32" s="14">
        <v>23.719937832452811</v>
      </c>
      <c r="CP32" s="14">
        <v>22.78210136049243</v>
      </c>
      <c r="CQ32" s="15">
        <v>22.003276757703048</v>
      </c>
      <c r="CR32" s="18">
        <v>0.7381753641895632</v>
      </c>
      <c r="CS32" s="19">
        <v>0.9634888438133874</v>
      </c>
      <c r="CT32" s="19">
        <v>0.8771929824561403</v>
      </c>
      <c r="CU32" s="19">
        <v>0.98920863309352514</v>
      </c>
      <c r="CV32" s="19">
        <v>0.99526751313485107</v>
      </c>
      <c r="CW32" s="20">
        <v>1.6765734265734267</v>
      </c>
      <c r="CX32" s="18">
        <v>8.3430543050381681E-2</v>
      </c>
      <c r="CY32" s="18">
        <v>0.14091796125649042</v>
      </c>
      <c r="CZ32" s="18">
        <v>0.10740477944485072</v>
      </c>
      <c r="DA32" s="18">
        <v>0.1265125197105787</v>
      </c>
      <c r="DB32" s="18">
        <v>0.1285832556854902</v>
      </c>
      <c r="DC32" s="18">
        <v>0.20535897467476028</v>
      </c>
    </row>
    <row r="33" spans="1:107" x14ac:dyDescent="0.25">
      <c r="A33" s="1" t="s">
        <v>50</v>
      </c>
      <c r="B33" s="12">
        <v>234</v>
      </c>
      <c r="C33" s="12">
        <f t="shared" si="7"/>
        <v>234</v>
      </c>
      <c r="D33" s="12">
        <v>0</v>
      </c>
      <c r="E33" s="12">
        <v>0</v>
      </c>
      <c r="F33" s="12">
        <v>330.59</v>
      </c>
      <c r="G33" s="12">
        <v>241.54</v>
      </c>
      <c r="H33" s="12">
        <v>397.87599999999998</v>
      </c>
      <c r="I33" s="1">
        <v>3.1</v>
      </c>
      <c r="J33" s="1">
        <v>0</v>
      </c>
      <c r="K33" s="1">
        <v>0</v>
      </c>
      <c r="L33" s="1">
        <v>3.6599855096464355</v>
      </c>
      <c r="M33" s="1">
        <v>3.5520817326597904</v>
      </c>
      <c r="N33" s="1">
        <v>3.58</v>
      </c>
      <c r="O33" s="1">
        <v>0</v>
      </c>
      <c r="P33" s="1"/>
      <c r="Q33" s="1">
        <v>100</v>
      </c>
      <c r="R33" s="3">
        <v>100</v>
      </c>
      <c r="S33" s="3">
        <v>100</v>
      </c>
      <c r="T33" s="3">
        <v>100</v>
      </c>
      <c r="U33" s="3">
        <v>100</v>
      </c>
      <c r="V33" s="3">
        <v>100</v>
      </c>
      <c r="W33" s="21">
        <v>464.39315949999997</v>
      </c>
      <c r="X33" s="21">
        <v>0</v>
      </c>
      <c r="Y33" s="21">
        <v>0</v>
      </c>
      <c r="Z33" s="21">
        <v>561.88708999999994</v>
      </c>
      <c r="AA33" s="21">
        <v>907.18399999999997</v>
      </c>
      <c r="AB33" s="22">
        <v>998.2</v>
      </c>
      <c r="AC33" s="16">
        <v>0</v>
      </c>
      <c r="AD33" s="14">
        <v>0</v>
      </c>
      <c r="AE33" s="14">
        <v>0</v>
      </c>
      <c r="AF33" s="14">
        <v>0</v>
      </c>
      <c r="AG33" s="14">
        <v>0</v>
      </c>
      <c r="AH33" s="14">
        <v>0</v>
      </c>
      <c r="AI33" s="15"/>
      <c r="AJ33" s="14">
        <v>0</v>
      </c>
      <c r="AK33" s="14">
        <v>0</v>
      </c>
      <c r="AL33" s="14">
        <v>0</v>
      </c>
      <c r="AM33" s="14">
        <v>0</v>
      </c>
      <c r="AN33" s="14">
        <v>0</v>
      </c>
      <c r="AO33" s="15">
        <v>0</v>
      </c>
      <c r="AP33" s="14"/>
      <c r="AQ33" s="14"/>
      <c r="AR33" s="14"/>
      <c r="AS33" s="14"/>
      <c r="AT33" s="14"/>
      <c r="AU33" s="14"/>
      <c r="AV33" s="16">
        <v>0</v>
      </c>
      <c r="AW33" s="14">
        <v>0</v>
      </c>
      <c r="AX33" s="14">
        <v>0</v>
      </c>
      <c r="AY33" s="14">
        <v>0</v>
      </c>
      <c r="AZ33" s="14">
        <v>0</v>
      </c>
      <c r="BA33" s="15">
        <v>0</v>
      </c>
      <c r="BB33" s="16">
        <v>0</v>
      </c>
      <c r="BC33" s="14">
        <v>0</v>
      </c>
      <c r="BD33" s="14">
        <v>0</v>
      </c>
      <c r="BE33" s="14">
        <v>0</v>
      </c>
      <c r="BF33" s="14">
        <v>0</v>
      </c>
      <c r="BG33" s="15">
        <v>0</v>
      </c>
      <c r="BH33" s="16">
        <v>0</v>
      </c>
      <c r="BI33" s="14">
        <v>0</v>
      </c>
      <c r="BJ33" s="14">
        <v>0</v>
      </c>
      <c r="BK33" s="14">
        <v>0</v>
      </c>
      <c r="BL33" s="14">
        <v>0</v>
      </c>
      <c r="BM33" s="17">
        <v>0</v>
      </c>
      <c r="BN33" s="16">
        <v>0</v>
      </c>
      <c r="BO33" s="14">
        <v>0</v>
      </c>
      <c r="BP33" s="14">
        <v>0</v>
      </c>
      <c r="BQ33" s="14">
        <v>0</v>
      </c>
      <c r="BR33" s="14">
        <v>0</v>
      </c>
      <c r="BS33" s="15">
        <v>0</v>
      </c>
      <c r="BT33" s="16">
        <v>0</v>
      </c>
      <c r="BU33" s="14">
        <v>0</v>
      </c>
      <c r="BV33" s="14">
        <v>0</v>
      </c>
      <c r="BW33" s="14">
        <v>0</v>
      </c>
      <c r="BX33" s="14">
        <v>0</v>
      </c>
      <c r="BY33" s="17">
        <v>0</v>
      </c>
      <c r="BZ33" s="16">
        <v>0</v>
      </c>
      <c r="CA33" s="14">
        <v>0</v>
      </c>
      <c r="CB33" s="14">
        <v>0</v>
      </c>
      <c r="CC33" s="14">
        <v>0</v>
      </c>
      <c r="CD33" s="14">
        <v>0</v>
      </c>
      <c r="CE33" s="15">
        <v>0</v>
      </c>
      <c r="CF33" s="16">
        <v>0</v>
      </c>
      <c r="CG33" s="14">
        <v>0</v>
      </c>
      <c r="CH33" s="14">
        <v>0</v>
      </c>
      <c r="CI33" s="14">
        <v>0</v>
      </c>
      <c r="CJ33" s="14">
        <v>0</v>
      </c>
      <c r="CK33" s="15">
        <v>0</v>
      </c>
      <c r="CL33" s="16">
        <v>0</v>
      </c>
      <c r="CM33" s="14">
        <v>0</v>
      </c>
      <c r="CN33" s="14">
        <v>0</v>
      </c>
      <c r="CO33" s="14">
        <v>0</v>
      </c>
      <c r="CP33" s="14">
        <v>0</v>
      </c>
      <c r="CQ33" s="15">
        <v>0</v>
      </c>
      <c r="CR33" s="18">
        <v>0</v>
      </c>
      <c r="CS33" s="19">
        <v>0</v>
      </c>
      <c r="CT33" s="19">
        <v>0</v>
      </c>
      <c r="CU33" s="19">
        <v>0</v>
      </c>
      <c r="CV33" s="19">
        <v>0</v>
      </c>
      <c r="CW33" s="20">
        <v>0</v>
      </c>
      <c r="CX33" s="18">
        <v>0</v>
      </c>
      <c r="CY33" s="19">
        <v>0</v>
      </c>
      <c r="CZ33" s="19">
        <v>0</v>
      </c>
      <c r="DA33" s="19">
        <v>0</v>
      </c>
      <c r="DB33" s="19">
        <v>0</v>
      </c>
      <c r="DC33" s="20">
        <v>0</v>
      </c>
    </row>
    <row r="34" spans="1:107" x14ac:dyDescent="0.25">
      <c r="A34" s="13" t="s">
        <v>51</v>
      </c>
      <c r="B34" s="12">
        <v>0</v>
      </c>
      <c r="C34" s="12">
        <f t="shared" si="7"/>
        <v>0</v>
      </c>
      <c r="D34" s="12">
        <v>0</v>
      </c>
      <c r="E34" s="12">
        <v>0</v>
      </c>
      <c r="F34" s="12">
        <v>0</v>
      </c>
      <c r="G34" s="12">
        <v>0</v>
      </c>
      <c r="H34" s="12">
        <v>0</v>
      </c>
      <c r="I34" s="1">
        <v>0</v>
      </c>
      <c r="J34" s="1">
        <v>0</v>
      </c>
      <c r="K34" s="1">
        <v>0</v>
      </c>
      <c r="L34" s="1">
        <v>0</v>
      </c>
      <c r="M34" s="1">
        <v>0</v>
      </c>
      <c r="N34" s="1">
        <v>0</v>
      </c>
      <c r="O34" s="1">
        <v>0</v>
      </c>
      <c r="P34" s="1"/>
      <c r="Q34" s="1">
        <v>0</v>
      </c>
      <c r="R34" s="3">
        <v>0</v>
      </c>
      <c r="S34" s="3">
        <v>0</v>
      </c>
      <c r="T34" s="3">
        <v>0</v>
      </c>
      <c r="U34" s="3">
        <v>0</v>
      </c>
      <c r="V34" s="3">
        <v>0</v>
      </c>
      <c r="W34" s="21">
        <v>0</v>
      </c>
      <c r="X34" s="21">
        <v>0</v>
      </c>
      <c r="Y34" s="21">
        <v>0</v>
      </c>
      <c r="Z34" s="21">
        <v>0</v>
      </c>
      <c r="AA34" s="21">
        <v>0</v>
      </c>
      <c r="AB34" s="22">
        <v>0</v>
      </c>
      <c r="AC34" s="16">
        <v>0</v>
      </c>
      <c r="AD34" s="14">
        <v>0</v>
      </c>
      <c r="AE34" s="14">
        <v>0</v>
      </c>
      <c r="AF34" s="14">
        <v>0</v>
      </c>
      <c r="AG34" s="14">
        <v>0</v>
      </c>
      <c r="AH34" s="14">
        <v>0</v>
      </c>
      <c r="AI34" s="15"/>
      <c r="AJ34" s="14">
        <v>0</v>
      </c>
      <c r="AK34" s="14">
        <v>0</v>
      </c>
      <c r="AL34" s="14">
        <v>0</v>
      </c>
      <c r="AM34" s="14">
        <v>0</v>
      </c>
      <c r="AN34" s="14">
        <v>0</v>
      </c>
      <c r="AO34" s="15">
        <v>0</v>
      </c>
      <c r="AP34" s="14"/>
      <c r="AQ34" s="14"/>
      <c r="AR34" s="14"/>
      <c r="AS34" s="14"/>
      <c r="AT34" s="14"/>
      <c r="AU34" s="14"/>
      <c r="AV34" s="16">
        <v>0</v>
      </c>
      <c r="AW34" s="14">
        <v>0</v>
      </c>
      <c r="AX34" s="14">
        <v>0</v>
      </c>
      <c r="AY34" s="14">
        <v>0</v>
      </c>
      <c r="AZ34" s="14">
        <v>0</v>
      </c>
      <c r="BA34" s="15">
        <v>0</v>
      </c>
      <c r="BB34" s="16">
        <v>0</v>
      </c>
      <c r="BC34" s="14">
        <v>0</v>
      </c>
      <c r="BD34" s="14">
        <v>0</v>
      </c>
      <c r="BE34" s="14">
        <v>0</v>
      </c>
      <c r="BF34" s="14">
        <v>0</v>
      </c>
      <c r="BG34" s="15">
        <v>0</v>
      </c>
      <c r="BH34" s="16">
        <v>0</v>
      </c>
      <c r="BI34" s="14">
        <v>0</v>
      </c>
      <c r="BJ34" s="14">
        <v>0</v>
      </c>
      <c r="BK34" s="14">
        <v>0</v>
      </c>
      <c r="BL34" s="14">
        <v>0</v>
      </c>
      <c r="BM34" s="17">
        <v>0</v>
      </c>
      <c r="BN34" s="16">
        <v>0</v>
      </c>
      <c r="BO34" s="14">
        <v>0</v>
      </c>
      <c r="BP34" s="14">
        <v>0</v>
      </c>
      <c r="BQ34" s="14">
        <v>0</v>
      </c>
      <c r="BR34" s="14">
        <v>0</v>
      </c>
      <c r="BS34" s="15">
        <v>0</v>
      </c>
      <c r="BT34" s="16">
        <v>0</v>
      </c>
      <c r="BU34" s="14">
        <v>0</v>
      </c>
      <c r="BV34" s="14">
        <v>0</v>
      </c>
      <c r="BW34" s="14">
        <v>0</v>
      </c>
      <c r="BX34" s="14">
        <v>0</v>
      </c>
      <c r="BY34" s="17">
        <v>0</v>
      </c>
      <c r="BZ34" s="16">
        <v>0</v>
      </c>
      <c r="CA34" s="14">
        <v>0</v>
      </c>
      <c r="CB34" s="14">
        <v>0</v>
      </c>
      <c r="CC34" s="14">
        <v>0</v>
      </c>
      <c r="CD34" s="14">
        <v>0</v>
      </c>
      <c r="CE34" s="15">
        <v>0</v>
      </c>
      <c r="CF34" s="16">
        <v>0</v>
      </c>
      <c r="CG34" s="14">
        <v>0</v>
      </c>
      <c r="CH34" s="14">
        <v>0</v>
      </c>
      <c r="CI34" s="14">
        <v>0</v>
      </c>
      <c r="CJ34" s="14">
        <v>0</v>
      </c>
      <c r="CK34" s="15">
        <v>0</v>
      </c>
      <c r="CL34" s="16">
        <v>0</v>
      </c>
      <c r="CM34" s="14">
        <v>0</v>
      </c>
      <c r="CN34" s="14">
        <v>0</v>
      </c>
      <c r="CO34" s="14">
        <v>0</v>
      </c>
      <c r="CP34" s="14">
        <v>0</v>
      </c>
      <c r="CQ34" s="15">
        <v>0</v>
      </c>
      <c r="CR34" s="18">
        <v>0</v>
      </c>
      <c r="CS34" s="19">
        <v>0</v>
      </c>
      <c r="CT34" s="19">
        <v>0</v>
      </c>
      <c r="CU34" s="19">
        <v>0</v>
      </c>
      <c r="CV34" s="19">
        <v>0</v>
      </c>
      <c r="CW34" s="20">
        <v>0</v>
      </c>
      <c r="CX34" s="18">
        <v>0</v>
      </c>
      <c r="CY34" s="19">
        <v>0</v>
      </c>
      <c r="CZ34" s="19">
        <v>0</v>
      </c>
      <c r="DA34" s="19">
        <v>0</v>
      </c>
      <c r="DB34" s="19">
        <v>0</v>
      </c>
      <c r="DC34" s="20">
        <v>0</v>
      </c>
    </row>
    <row r="35" spans="1:107" x14ac:dyDescent="0.25">
      <c r="A35" s="1" t="s">
        <v>52</v>
      </c>
      <c r="B35" s="12">
        <v>3362</v>
      </c>
      <c r="C35" s="12">
        <f t="shared" si="7"/>
        <v>3362</v>
      </c>
      <c r="D35" s="12">
        <v>3279</v>
      </c>
      <c r="E35" s="12">
        <v>3172</v>
      </c>
      <c r="F35" s="12">
        <v>3103</v>
      </c>
      <c r="G35" s="12">
        <v>2950</v>
      </c>
      <c r="H35" s="12">
        <v>2918</v>
      </c>
      <c r="I35" s="1">
        <v>3.98</v>
      </c>
      <c r="J35" s="1">
        <v>4.01</v>
      </c>
      <c r="K35" s="1">
        <v>4.0199999999999996</v>
      </c>
      <c r="L35" s="1">
        <v>3.86</v>
      </c>
      <c r="M35" s="1">
        <v>3.94</v>
      </c>
      <c r="N35" s="1">
        <v>3.95</v>
      </c>
      <c r="O35" s="1">
        <v>935</v>
      </c>
      <c r="P35" s="1"/>
      <c r="Q35" s="1">
        <v>100</v>
      </c>
      <c r="R35" s="3">
        <v>100</v>
      </c>
      <c r="S35" s="3">
        <v>100</v>
      </c>
      <c r="T35" s="3">
        <v>100</v>
      </c>
      <c r="U35" s="3">
        <v>100</v>
      </c>
      <c r="V35" s="3">
        <v>100</v>
      </c>
      <c r="W35" s="21">
        <v>10563.0237</v>
      </c>
      <c r="X35" s="21">
        <v>10622.557649999999</v>
      </c>
      <c r="Y35" s="21">
        <v>9933.6647999999986</v>
      </c>
      <c r="Z35" s="21">
        <v>9074.6749500000005</v>
      </c>
      <c r="AA35" s="21">
        <v>8708.9663999999993</v>
      </c>
      <c r="AB35" s="22">
        <v>8414.1316000000006</v>
      </c>
      <c r="AC35" s="16">
        <v>0.22512860202260557</v>
      </c>
      <c r="AD35" s="14">
        <v>0.22243366880146387</v>
      </c>
      <c r="AE35" s="14">
        <v>0.21438839848675914</v>
      </c>
      <c r="AF35" s="14">
        <v>0.21196261682242989</v>
      </c>
      <c r="AG35" s="14">
        <v>0.2111186440677966</v>
      </c>
      <c r="AH35" s="14">
        <v>0.20921453050034269</v>
      </c>
      <c r="AI35" s="15">
        <f>AVERAGE(AC35:AH35)</f>
        <v>0.215707743450233</v>
      </c>
      <c r="AJ35" s="14">
        <v>7.1653948859359273E-2</v>
      </c>
      <c r="AK35" s="14">
        <v>6.8661430140602733E-2</v>
      </c>
      <c r="AL35" s="14">
        <v>6.8458118296884751E-2</v>
      </c>
      <c r="AM35" s="14">
        <v>7.2478629110566642E-2</v>
      </c>
      <c r="AN35" s="14">
        <v>7.1512504629711288E-2</v>
      </c>
      <c r="AO35" s="15">
        <v>7.2555081025830387E-2</v>
      </c>
      <c r="AP35" s="14">
        <f t="shared" ref="AP35:AU35" si="10">AC35/I35</f>
        <v>5.6564975382564213E-2</v>
      </c>
      <c r="AQ35" s="14">
        <f t="shared" si="10"/>
        <v>5.5469742843257827E-2</v>
      </c>
      <c r="AR35" s="14">
        <f t="shared" si="10"/>
        <v>5.3330447384765958E-2</v>
      </c>
      <c r="AS35" s="14">
        <f t="shared" si="10"/>
        <v>5.4912595031717588E-2</v>
      </c>
      <c r="AT35" s="14">
        <f t="shared" si="10"/>
        <v>5.3583412199948374E-2</v>
      </c>
      <c r="AU35" s="14">
        <f t="shared" si="10"/>
        <v>5.2965703924137388E-2</v>
      </c>
      <c r="AV35" s="16">
        <v>0</v>
      </c>
      <c r="AW35" s="14">
        <v>0</v>
      </c>
      <c r="AX35" s="14">
        <v>0</v>
      </c>
      <c r="AY35" s="14">
        <v>0</v>
      </c>
      <c r="AZ35" s="14">
        <v>0</v>
      </c>
      <c r="BA35" s="15">
        <v>0</v>
      </c>
      <c r="BB35" s="16">
        <v>0</v>
      </c>
      <c r="BC35" s="14">
        <v>0</v>
      </c>
      <c r="BD35" s="14">
        <v>0</v>
      </c>
      <c r="BE35" s="14">
        <v>0</v>
      </c>
      <c r="BF35" s="14">
        <v>0</v>
      </c>
      <c r="BG35" s="15">
        <v>0</v>
      </c>
      <c r="BH35" s="16">
        <v>0</v>
      </c>
      <c r="BI35" s="14">
        <v>0</v>
      </c>
      <c r="BJ35" s="14">
        <v>0</v>
      </c>
      <c r="BK35" s="14">
        <v>0</v>
      </c>
      <c r="BL35" s="14">
        <v>0</v>
      </c>
      <c r="BM35" s="17">
        <v>0</v>
      </c>
      <c r="BN35" s="16">
        <v>0</v>
      </c>
      <c r="BO35" s="14">
        <v>0</v>
      </c>
      <c r="BP35" s="14">
        <v>0</v>
      </c>
      <c r="BQ35" s="14">
        <v>0</v>
      </c>
      <c r="BR35" s="14">
        <v>0</v>
      </c>
      <c r="BS35" s="15">
        <v>0</v>
      </c>
      <c r="BT35" s="16">
        <v>0</v>
      </c>
      <c r="BU35" s="14">
        <v>0</v>
      </c>
      <c r="BV35" s="14">
        <v>0</v>
      </c>
      <c r="BW35" s="14">
        <v>0</v>
      </c>
      <c r="BX35" s="14">
        <v>0</v>
      </c>
      <c r="BY35" s="17">
        <v>0</v>
      </c>
      <c r="BZ35" s="16">
        <v>0</v>
      </c>
      <c r="CA35" s="14">
        <v>0</v>
      </c>
      <c r="CB35" s="14">
        <v>0</v>
      </c>
      <c r="CC35" s="14">
        <v>0</v>
      </c>
      <c r="CD35" s="14">
        <v>0</v>
      </c>
      <c r="CE35" s="15">
        <v>0</v>
      </c>
      <c r="CF35" s="16">
        <v>89</v>
      </c>
      <c r="CG35" s="16">
        <v>77</v>
      </c>
      <c r="CH35" s="16">
        <v>79</v>
      </c>
      <c r="CI35" s="16">
        <v>82</v>
      </c>
      <c r="CJ35" s="16">
        <v>77</v>
      </c>
      <c r="CK35" s="16">
        <v>78</v>
      </c>
      <c r="CL35" s="16">
        <v>34.480930924981358</v>
      </c>
      <c r="CM35" s="14">
        <v>28.840942356542005</v>
      </c>
      <c r="CN35" s="14">
        <v>30.532776467289118</v>
      </c>
      <c r="CO35" s="14">
        <v>28.039131032456428</v>
      </c>
      <c r="CP35" s="14">
        <v>31.545224380771344</v>
      </c>
      <c r="CQ35" s="15">
        <v>32.622923138984703</v>
      </c>
      <c r="CR35" s="18">
        <v>0.43545508625817964</v>
      </c>
      <c r="CS35" s="19">
        <v>0.39646233607807257</v>
      </c>
      <c r="CT35" s="19">
        <v>0.34678436317780581</v>
      </c>
      <c r="CU35" s="19">
        <v>0.51563003544956498</v>
      </c>
      <c r="CV35" s="19">
        <v>0.3856149152542373</v>
      </c>
      <c r="CW35" s="20">
        <v>0.44337114461960248</v>
      </c>
      <c r="CX35" s="18">
        <v>6.9298339262459499E-2</v>
      </c>
      <c r="CY35" s="18">
        <v>6.1190536348842507E-2</v>
      </c>
      <c r="CZ35" s="18">
        <v>5.5367279958953325E-2</v>
      </c>
      <c r="DA35" s="18">
        <v>8.8157427611222597E-2</v>
      </c>
      <c r="DB35" s="18">
        <v>6.5309931612550498E-2</v>
      </c>
      <c r="DC35" s="18">
        <v>7.6880007438913836E-2</v>
      </c>
    </row>
    <row r="36" spans="1:107" x14ac:dyDescent="0.25">
      <c r="A36" s="1" t="s">
        <v>53</v>
      </c>
      <c r="B36" s="12">
        <v>0</v>
      </c>
      <c r="C36" s="12">
        <f t="shared" si="7"/>
        <v>0</v>
      </c>
      <c r="D36" s="12">
        <v>2632</v>
      </c>
      <c r="E36" s="12">
        <v>2568</v>
      </c>
      <c r="F36" s="12">
        <v>2466</v>
      </c>
      <c r="G36" s="12">
        <v>1151</v>
      </c>
      <c r="H36" s="12">
        <v>2262</v>
      </c>
      <c r="I36" s="1">
        <v>0</v>
      </c>
      <c r="J36" s="1">
        <v>3.17</v>
      </c>
      <c r="K36" s="1">
        <v>3.3</v>
      </c>
      <c r="L36" s="1">
        <v>3.33</v>
      </c>
      <c r="M36" s="1">
        <v>3.27</v>
      </c>
      <c r="N36" s="1">
        <v>3.33</v>
      </c>
      <c r="O36" s="1">
        <v>450</v>
      </c>
      <c r="P36" s="1"/>
      <c r="Q36" s="1">
        <v>100</v>
      </c>
      <c r="R36" s="3">
        <v>100</v>
      </c>
      <c r="S36" s="3">
        <v>100</v>
      </c>
      <c r="T36" s="3">
        <v>100</v>
      </c>
      <c r="U36" s="3">
        <v>100</v>
      </c>
      <c r="V36" s="3">
        <v>100</v>
      </c>
      <c r="W36" s="21">
        <v>14435.565399999999</v>
      </c>
      <c r="X36" s="21">
        <v>14174.75</v>
      </c>
      <c r="Y36" s="21">
        <v>14872.1477</v>
      </c>
      <c r="Z36" s="21">
        <v>14322.167399999998</v>
      </c>
      <c r="AA36" s="21">
        <v>13318.5951</v>
      </c>
      <c r="AB36" s="22">
        <v>13148.498100000001</v>
      </c>
      <c r="AC36" s="16">
        <v>0</v>
      </c>
      <c r="AD36" s="14">
        <v>0</v>
      </c>
      <c r="AE36" s="14">
        <v>0</v>
      </c>
      <c r="AF36" s="14">
        <v>0</v>
      </c>
      <c r="AG36" s="14">
        <v>0</v>
      </c>
      <c r="AH36" s="14">
        <v>0</v>
      </c>
      <c r="AI36" s="15"/>
      <c r="AJ36" s="14">
        <v>0</v>
      </c>
      <c r="AK36" s="14">
        <v>0</v>
      </c>
      <c r="AL36" s="14">
        <v>0</v>
      </c>
      <c r="AM36" s="14">
        <v>0</v>
      </c>
      <c r="AN36" s="14">
        <v>0</v>
      </c>
      <c r="AO36" s="15">
        <v>0</v>
      </c>
      <c r="AP36" s="14"/>
      <c r="AQ36" s="14"/>
      <c r="AR36" s="14"/>
      <c r="AS36" s="14"/>
      <c r="AT36" s="14">
        <f>AG36/M36</f>
        <v>0</v>
      </c>
      <c r="AU36" s="14">
        <f>AH36/N36</f>
        <v>0</v>
      </c>
      <c r="AV36" s="16">
        <v>0</v>
      </c>
      <c r="AW36" s="14">
        <v>0</v>
      </c>
      <c r="AX36" s="14">
        <v>0</v>
      </c>
      <c r="AY36" s="14">
        <v>0</v>
      </c>
      <c r="AZ36" s="14">
        <v>0</v>
      </c>
      <c r="BA36" s="15">
        <v>0</v>
      </c>
      <c r="BB36" s="16">
        <v>0</v>
      </c>
      <c r="BC36" s="14">
        <v>0</v>
      </c>
      <c r="BD36" s="14">
        <v>0</v>
      </c>
      <c r="BE36" s="14">
        <v>0</v>
      </c>
      <c r="BF36" s="14">
        <v>0</v>
      </c>
      <c r="BG36" s="15">
        <v>0</v>
      </c>
      <c r="BH36" s="16">
        <v>0</v>
      </c>
      <c r="BI36" s="14">
        <v>0</v>
      </c>
      <c r="BJ36" s="14">
        <v>0</v>
      </c>
      <c r="BK36" s="14">
        <v>0</v>
      </c>
      <c r="BL36" s="14">
        <v>0</v>
      </c>
      <c r="BM36" s="17">
        <v>0</v>
      </c>
      <c r="BN36" s="16">
        <v>0</v>
      </c>
      <c r="BO36" s="14">
        <v>0</v>
      </c>
      <c r="BP36" s="14">
        <v>0</v>
      </c>
      <c r="BQ36" s="14">
        <v>0</v>
      </c>
      <c r="BR36" s="14">
        <v>0</v>
      </c>
      <c r="BS36" s="15">
        <v>0</v>
      </c>
      <c r="BT36" s="16">
        <v>0</v>
      </c>
      <c r="BU36" s="14">
        <v>0</v>
      </c>
      <c r="BV36" s="14">
        <v>0</v>
      </c>
      <c r="BW36" s="14">
        <v>0</v>
      </c>
      <c r="BX36" s="14">
        <v>0</v>
      </c>
      <c r="BY36" s="17">
        <v>0</v>
      </c>
      <c r="BZ36" s="16">
        <v>0</v>
      </c>
      <c r="CA36" s="14">
        <v>0</v>
      </c>
      <c r="CB36" s="14">
        <v>0</v>
      </c>
      <c r="CC36" s="14">
        <v>0</v>
      </c>
      <c r="CD36" s="14">
        <v>0</v>
      </c>
      <c r="CE36" s="15">
        <v>0</v>
      </c>
      <c r="CF36" s="16">
        <v>0</v>
      </c>
      <c r="CG36" s="14">
        <v>0</v>
      </c>
      <c r="CH36" s="14">
        <v>0</v>
      </c>
      <c r="CI36" s="14">
        <v>0</v>
      </c>
      <c r="CJ36" s="14">
        <v>0</v>
      </c>
      <c r="CK36" s="15">
        <v>0</v>
      </c>
      <c r="CL36" s="16">
        <v>0</v>
      </c>
      <c r="CM36" s="14">
        <v>0</v>
      </c>
      <c r="CN36" s="14">
        <v>0</v>
      </c>
      <c r="CO36" s="14">
        <v>0</v>
      </c>
      <c r="CP36" s="14">
        <v>0</v>
      </c>
      <c r="CQ36" s="15">
        <v>0</v>
      </c>
      <c r="CR36" s="18">
        <v>0</v>
      </c>
      <c r="CS36" s="19">
        <v>0</v>
      </c>
      <c r="CT36" s="19">
        <v>0</v>
      </c>
      <c r="CU36" s="19">
        <v>0</v>
      </c>
      <c r="CV36" s="19">
        <v>0</v>
      </c>
      <c r="CW36" s="20">
        <v>0</v>
      </c>
      <c r="CX36" s="18">
        <v>0</v>
      </c>
      <c r="CY36" s="19">
        <v>0</v>
      </c>
      <c r="CZ36" s="19">
        <v>0</v>
      </c>
      <c r="DA36" s="19">
        <v>0</v>
      </c>
      <c r="DB36" s="19">
        <v>0</v>
      </c>
      <c r="DC36" s="20">
        <v>0</v>
      </c>
    </row>
    <row r="37" spans="1:107" x14ac:dyDescent="0.25">
      <c r="A37" s="1" t="s">
        <v>54</v>
      </c>
      <c r="B37" s="12">
        <v>0</v>
      </c>
      <c r="C37" s="12">
        <f t="shared" si="7"/>
        <v>0</v>
      </c>
      <c r="D37" s="12">
        <v>0</v>
      </c>
      <c r="E37" s="12">
        <v>0</v>
      </c>
      <c r="F37" s="12">
        <v>0</v>
      </c>
      <c r="G37" s="12">
        <v>327</v>
      </c>
      <c r="H37" s="12">
        <v>1082</v>
      </c>
      <c r="I37" s="1">
        <v>0</v>
      </c>
      <c r="J37" s="1">
        <v>0</v>
      </c>
      <c r="K37" s="1">
        <v>0</v>
      </c>
      <c r="L37" s="1">
        <v>0</v>
      </c>
      <c r="M37" s="1">
        <v>2.2999999999999998</v>
      </c>
      <c r="N37" s="1">
        <v>2.36</v>
      </c>
      <c r="O37" s="1" t="s">
        <v>43</v>
      </c>
      <c r="P37" s="1"/>
      <c r="Q37" s="1">
        <v>100</v>
      </c>
      <c r="R37" s="3">
        <v>100</v>
      </c>
      <c r="S37" s="3">
        <v>100</v>
      </c>
      <c r="T37" s="3">
        <v>100</v>
      </c>
      <c r="U37" s="3">
        <v>100</v>
      </c>
      <c r="V37" s="3">
        <v>100</v>
      </c>
      <c r="W37" s="21">
        <v>0</v>
      </c>
      <c r="X37" s="21">
        <v>0</v>
      </c>
      <c r="Y37" s="21">
        <v>0</v>
      </c>
      <c r="Z37" s="21">
        <v>0</v>
      </c>
      <c r="AA37" s="21">
        <v>611.24356949999992</v>
      </c>
      <c r="AB37" s="22">
        <v>2006.2374159999999</v>
      </c>
      <c r="AC37" s="16">
        <v>0</v>
      </c>
      <c r="AD37" s="14">
        <v>0</v>
      </c>
      <c r="AE37" s="14">
        <v>0</v>
      </c>
      <c r="AF37" s="14">
        <v>0</v>
      </c>
      <c r="AG37" s="14">
        <v>0</v>
      </c>
      <c r="AH37" s="14">
        <v>0</v>
      </c>
      <c r="AI37" s="15"/>
      <c r="AJ37" s="14">
        <v>0</v>
      </c>
      <c r="AK37" s="14">
        <v>0</v>
      </c>
      <c r="AL37" s="14">
        <v>0</v>
      </c>
      <c r="AM37" s="14">
        <v>0</v>
      </c>
      <c r="AN37" s="14">
        <v>0</v>
      </c>
      <c r="AO37" s="15">
        <v>0</v>
      </c>
      <c r="AP37" s="14"/>
      <c r="AQ37" s="14"/>
      <c r="AR37" s="14"/>
      <c r="AS37" s="14"/>
      <c r="AT37" s="14">
        <f>AG37/M37</f>
        <v>0</v>
      </c>
      <c r="AU37" s="14">
        <f>AH37/N37</f>
        <v>0</v>
      </c>
      <c r="AV37" s="16">
        <v>0</v>
      </c>
      <c r="AW37" s="14">
        <v>0</v>
      </c>
      <c r="AX37" s="14">
        <v>0</v>
      </c>
      <c r="AY37" s="14">
        <v>0</v>
      </c>
      <c r="AZ37" s="14">
        <v>0</v>
      </c>
      <c r="BA37" s="15">
        <v>0</v>
      </c>
      <c r="BB37" s="16">
        <v>0</v>
      </c>
      <c r="BC37" s="14">
        <v>0</v>
      </c>
      <c r="BD37" s="14">
        <v>0</v>
      </c>
      <c r="BE37" s="14">
        <v>0</v>
      </c>
      <c r="BF37" s="14">
        <v>0</v>
      </c>
      <c r="BG37" s="15">
        <v>0</v>
      </c>
      <c r="BH37" s="16">
        <v>0</v>
      </c>
      <c r="BI37" s="14">
        <v>0</v>
      </c>
      <c r="BJ37" s="14">
        <v>0</v>
      </c>
      <c r="BK37" s="14">
        <v>0</v>
      </c>
      <c r="BL37" s="14">
        <v>0</v>
      </c>
      <c r="BM37" s="17">
        <v>0</v>
      </c>
      <c r="BN37" s="16">
        <v>0</v>
      </c>
      <c r="BO37" s="14">
        <v>0</v>
      </c>
      <c r="BP37" s="14">
        <v>0</v>
      </c>
      <c r="BQ37" s="14">
        <v>0</v>
      </c>
      <c r="BR37" s="14">
        <v>0</v>
      </c>
      <c r="BS37" s="15">
        <v>0</v>
      </c>
      <c r="BT37" s="16">
        <v>0</v>
      </c>
      <c r="BU37" s="14">
        <v>0</v>
      </c>
      <c r="BV37" s="14">
        <v>0</v>
      </c>
      <c r="BW37" s="14">
        <v>0</v>
      </c>
      <c r="BX37" s="14">
        <v>0</v>
      </c>
      <c r="BY37" s="17">
        <v>0</v>
      </c>
      <c r="BZ37" s="16">
        <v>0</v>
      </c>
      <c r="CA37" s="14">
        <v>0</v>
      </c>
      <c r="CB37" s="14">
        <v>0</v>
      </c>
      <c r="CC37" s="14">
        <v>0</v>
      </c>
      <c r="CD37" s="14">
        <v>0</v>
      </c>
      <c r="CE37" s="15">
        <v>0</v>
      </c>
      <c r="CF37" s="16">
        <v>0</v>
      </c>
      <c r="CG37" s="14">
        <v>0</v>
      </c>
      <c r="CH37" s="14">
        <v>0</v>
      </c>
      <c r="CI37" s="14">
        <v>0</v>
      </c>
      <c r="CJ37" s="14">
        <v>0</v>
      </c>
      <c r="CK37" s="15">
        <v>0</v>
      </c>
      <c r="CL37" s="16">
        <v>0</v>
      </c>
      <c r="CM37" s="14">
        <v>0</v>
      </c>
      <c r="CN37" s="14">
        <v>0</v>
      </c>
      <c r="CO37" s="14">
        <v>0</v>
      </c>
      <c r="CP37" s="14">
        <v>0</v>
      </c>
      <c r="CQ37" s="15">
        <v>0</v>
      </c>
      <c r="CR37" s="18">
        <v>0</v>
      </c>
      <c r="CS37" s="19">
        <v>0</v>
      </c>
      <c r="CT37" s="19">
        <v>0</v>
      </c>
      <c r="CU37" s="19">
        <v>0</v>
      </c>
      <c r="CV37" s="19">
        <v>0</v>
      </c>
      <c r="CW37" s="20">
        <v>1.8243992606284658</v>
      </c>
      <c r="CX37" s="18">
        <v>0</v>
      </c>
      <c r="CY37" s="19">
        <v>0</v>
      </c>
      <c r="CZ37" s="19">
        <v>0</v>
      </c>
      <c r="DA37" s="19">
        <v>0</v>
      </c>
      <c r="DB37" s="19">
        <v>0</v>
      </c>
      <c r="DC37" s="18">
        <v>0.48998203975177107</v>
      </c>
    </row>
    <row r="38" spans="1:107" x14ac:dyDescent="0.25">
      <c r="A38" s="1" t="s">
        <v>55</v>
      </c>
      <c r="B38" s="12">
        <v>8028</v>
      </c>
      <c r="C38" s="12">
        <f t="shared" si="7"/>
        <v>8028</v>
      </c>
      <c r="D38" s="12">
        <v>7930</v>
      </c>
      <c r="E38" s="12">
        <v>7558</v>
      </c>
      <c r="F38" s="12">
        <v>6388</v>
      </c>
      <c r="G38" s="12">
        <v>5259</v>
      </c>
      <c r="H38" s="12">
        <v>3308</v>
      </c>
      <c r="I38" s="1">
        <v>0</v>
      </c>
      <c r="J38" s="1">
        <v>0</v>
      </c>
      <c r="K38" s="1">
        <v>0</v>
      </c>
      <c r="L38" s="1">
        <v>0</v>
      </c>
      <c r="M38" s="1">
        <v>3.95</v>
      </c>
      <c r="N38" s="1">
        <v>0</v>
      </c>
      <c r="O38" s="1">
        <v>240</v>
      </c>
      <c r="P38" s="1"/>
      <c r="Q38" s="1">
        <v>100</v>
      </c>
      <c r="R38" s="3">
        <v>100</v>
      </c>
      <c r="S38" s="3">
        <v>100</v>
      </c>
      <c r="T38" s="3">
        <v>100</v>
      </c>
      <c r="U38" s="3">
        <v>100</v>
      </c>
      <c r="V38" s="3">
        <v>100</v>
      </c>
      <c r="W38" s="21">
        <v>4092.7606159999996</v>
      </c>
      <c r="X38" s="21">
        <v>5250.157302999999</v>
      </c>
      <c r="Y38" s="21">
        <v>3152.0391574999999</v>
      </c>
      <c r="Z38" s="21">
        <v>1190.6789999999999</v>
      </c>
      <c r="AA38" s="21">
        <v>1519.816695</v>
      </c>
      <c r="AB38" s="22">
        <v>1490.3899140000001</v>
      </c>
      <c r="AC38" s="16">
        <v>0.160276533632287</v>
      </c>
      <c r="AD38" s="14">
        <v>0.15825472887767969</v>
      </c>
      <c r="AE38" s="14">
        <v>0.16280497486107437</v>
      </c>
      <c r="AF38" s="14">
        <v>0.1759987476518472</v>
      </c>
      <c r="AG38" s="14">
        <v>0.17729606389047348</v>
      </c>
      <c r="AH38" s="14">
        <v>0.19492345828295043</v>
      </c>
      <c r="AI38" s="15">
        <f>AVERAGE(AC38:AH38)</f>
        <v>0.17159241786605203</v>
      </c>
      <c r="AJ38" s="14">
        <v>0.31438438079418818</v>
      </c>
      <c r="AK38" s="14">
        <v>0</v>
      </c>
      <c r="AL38" s="14">
        <v>0.39037586099531191</v>
      </c>
      <c r="AM38" s="14">
        <v>0</v>
      </c>
      <c r="AN38" s="14">
        <v>0</v>
      </c>
      <c r="AO38" s="15">
        <v>0</v>
      </c>
      <c r="AP38" s="14"/>
      <c r="AQ38" s="14"/>
      <c r="AR38" s="14"/>
      <c r="AS38" s="14"/>
      <c r="AT38" s="14">
        <f>AG38/M38</f>
        <v>4.4885079465942647E-2</v>
      </c>
      <c r="AU38" s="14"/>
      <c r="AV38" s="16">
        <v>0</v>
      </c>
      <c r="AW38" s="14">
        <v>0</v>
      </c>
      <c r="AX38" s="14">
        <v>0</v>
      </c>
      <c r="AY38" s="14">
        <v>0</v>
      </c>
      <c r="AZ38" s="14">
        <v>0</v>
      </c>
      <c r="BA38" s="15">
        <v>0</v>
      </c>
      <c r="BB38" s="16">
        <v>0</v>
      </c>
      <c r="BC38" s="14">
        <v>0</v>
      </c>
      <c r="BD38" s="14">
        <v>0</v>
      </c>
      <c r="BE38" s="14">
        <v>0</v>
      </c>
      <c r="BF38" s="14">
        <v>0</v>
      </c>
      <c r="BG38" s="15">
        <v>0</v>
      </c>
      <c r="BH38" s="16">
        <v>0</v>
      </c>
      <c r="BI38" s="14">
        <v>0</v>
      </c>
      <c r="BJ38" s="14">
        <v>0</v>
      </c>
      <c r="BK38" s="14">
        <v>0</v>
      </c>
      <c r="BL38" s="14">
        <v>0</v>
      </c>
      <c r="BM38" s="17">
        <v>0</v>
      </c>
      <c r="BN38" s="16">
        <v>0</v>
      </c>
      <c r="BO38" s="14">
        <v>0</v>
      </c>
      <c r="BP38" s="14">
        <v>0</v>
      </c>
      <c r="BQ38" s="14">
        <v>0</v>
      </c>
      <c r="BR38" s="14">
        <v>0</v>
      </c>
      <c r="BS38" s="15">
        <v>0</v>
      </c>
      <c r="BT38" s="16">
        <v>0</v>
      </c>
      <c r="BU38" s="14">
        <v>0</v>
      </c>
      <c r="BV38" s="14">
        <v>0</v>
      </c>
      <c r="BW38" s="14">
        <v>0</v>
      </c>
      <c r="BX38" s="14">
        <v>0</v>
      </c>
      <c r="BY38" s="17">
        <v>0</v>
      </c>
      <c r="BZ38" s="16">
        <v>0</v>
      </c>
      <c r="CA38" s="14">
        <v>0</v>
      </c>
      <c r="CB38" s="14">
        <v>0</v>
      </c>
      <c r="CC38" s="14">
        <v>0</v>
      </c>
      <c r="CD38" s="14">
        <v>0</v>
      </c>
      <c r="CE38" s="15">
        <v>0</v>
      </c>
      <c r="CF38" s="16">
        <v>0</v>
      </c>
      <c r="CG38" s="14">
        <v>0</v>
      </c>
      <c r="CH38" s="14">
        <v>0</v>
      </c>
      <c r="CI38" s="14">
        <v>0</v>
      </c>
      <c r="CJ38" s="14">
        <v>0</v>
      </c>
      <c r="CK38" s="15">
        <v>0</v>
      </c>
      <c r="CL38" s="16">
        <v>0</v>
      </c>
      <c r="CM38" s="14">
        <v>0</v>
      </c>
      <c r="CN38" s="14">
        <v>0</v>
      </c>
      <c r="CO38" s="14">
        <v>0</v>
      </c>
      <c r="CP38" s="14">
        <v>0</v>
      </c>
      <c r="CQ38" s="15">
        <v>0</v>
      </c>
      <c r="CR38" s="18">
        <v>0.45590433482810166</v>
      </c>
      <c r="CS38" s="19">
        <v>0.42875157629255989</v>
      </c>
      <c r="CT38" s="19">
        <v>0.38369939137337922</v>
      </c>
      <c r="CU38" s="19">
        <v>0.40701314965560426</v>
      </c>
      <c r="CV38" s="19">
        <v>0.51968054763262983</v>
      </c>
      <c r="CW38" s="20">
        <v>0.22128174123337363</v>
      </c>
      <c r="CX38" s="18">
        <v>0.89426192816941441</v>
      </c>
      <c r="CY38" s="19"/>
      <c r="CZ38" s="19"/>
      <c r="DA38" s="19"/>
      <c r="DB38" s="19"/>
      <c r="DC38" s="20">
        <v>0</v>
      </c>
    </row>
    <row r="39" spans="1:107" x14ac:dyDescent="0.25">
      <c r="A39" s="13" t="s">
        <v>56</v>
      </c>
      <c r="B39" s="12">
        <v>0</v>
      </c>
      <c r="C39" s="12">
        <f t="shared" si="7"/>
        <v>0</v>
      </c>
      <c r="D39" s="12">
        <v>0</v>
      </c>
      <c r="E39" s="12">
        <v>0</v>
      </c>
      <c r="F39" s="12">
        <v>0</v>
      </c>
      <c r="G39" s="12">
        <v>0</v>
      </c>
      <c r="H39" s="12">
        <v>0</v>
      </c>
      <c r="I39" s="1">
        <v>0</v>
      </c>
      <c r="J39" s="1">
        <v>0</v>
      </c>
      <c r="K39" s="1">
        <v>0</v>
      </c>
      <c r="L39" s="1">
        <v>0</v>
      </c>
      <c r="M39" s="1">
        <v>0</v>
      </c>
      <c r="N39" s="1">
        <v>0</v>
      </c>
      <c r="O39" s="1">
        <v>0</v>
      </c>
      <c r="P39" s="1"/>
      <c r="Q39" s="1">
        <v>0</v>
      </c>
      <c r="R39" s="1">
        <v>0</v>
      </c>
      <c r="S39" s="1">
        <v>0</v>
      </c>
      <c r="T39" s="1">
        <v>0</v>
      </c>
      <c r="U39" s="1">
        <v>0</v>
      </c>
      <c r="V39" s="1">
        <v>0</v>
      </c>
      <c r="W39" s="21">
        <v>0</v>
      </c>
      <c r="X39" s="21">
        <v>0</v>
      </c>
      <c r="Y39" s="21">
        <v>0</v>
      </c>
      <c r="Z39" s="21">
        <v>0</v>
      </c>
      <c r="AA39" s="21">
        <v>0</v>
      </c>
      <c r="AB39" s="22">
        <v>0</v>
      </c>
      <c r="AC39" s="16">
        <v>0</v>
      </c>
      <c r="AD39" s="14">
        <v>0</v>
      </c>
      <c r="AE39" s="14">
        <v>0</v>
      </c>
      <c r="AF39" s="14">
        <v>0</v>
      </c>
      <c r="AG39" s="14">
        <v>0</v>
      </c>
      <c r="AH39" s="14">
        <v>0</v>
      </c>
      <c r="AI39" s="15"/>
      <c r="AJ39" s="14">
        <v>0</v>
      </c>
      <c r="AK39" s="14">
        <v>0</v>
      </c>
      <c r="AL39" s="14">
        <v>0</v>
      </c>
      <c r="AM39" s="14">
        <v>0</v>
      </c>
      <c r="AN39" s="14">
        <v>0</v>
      </c>
      <c r="AO39" s="15">
        <v>0</v>
      </c>
      <c r="AP39" s="14"/>
      <c r="AQ39" s="14"/>
      <c r="AR39" s="14"/>
      <c r="AS39" s="14"/>
      <c r="AT39" s="14"/>
      <c r="AU39" s="14"/>
      <c r="AV39" s="16">
        <v>0</v>
      </c>
      <c r="AW39" s="14">
        <v>0</v>
      </c>
      <c r="AX39" s="14">
        <v>0</v>
      </c>
      <c r="AY39" s="14">
        <v>0</v>
      </c>
      <c r="AZ39" s="14">
        <v>0</v>
      </c>
      <c r="BA39" s="15">
        <v>0</v>
      </c>
      <c r="BB39" s="16">
        <v>0</v>
      </c>
      <c r="BC39" s="14">
        <v>0</v>
      </c>
      <c r="BD39" s="14">
        <v>0</v>
      </c>
      <c r="BE39" s="14">
        <v>0</v>
      </c>
      <c r="BF39" s="14">
        <v>0</v>
      </c>
      <c r="BG39" s="15">
        <v>0</v>
      </c>
      <c r="BH39" s="16">
        <v>0</v>
      </c>
      <c r="BI39" s="14">
        <v>0</v>
      </c>
      <c r="BJ39" s="14">
        <v>0</v>
      </c>
      <c r="BK39" s="14">
        <v>0</v>
      </c>
      <c r="BL39" s="14">
        <v>0</v>
      </c>
      <c r="BM39" s="17">
        <v>0</v>
      </c>
      <c r="BN39" s="16">
        <v>0</v>
      </c>
      <c r="BO39" s="14">
        <v>0</v>
      </c>
      <c r="BP39" s="14">
        <v>0</v>
      </c>
      <c r="BQ39" s="14">
        <v>0</v>
      </c>
      <c r="BR39" s="14">
        <v>0</v>
      </c>
      <c r="BS39" s="15">
        <v>0</v>
      </c>
      <c r="BT39" s="16">
        <v>0</v>
      </c>
      <c r="BU39" s="14">
        <v>0</v>
      </c>
      <c r="BV39" s="14">
        <v>0</v>
      </c>
      <c r="BW39" s="14">
        <v>0</v>
      </c>
      <c r="BX39" s="14">
        <v>0</v>
      </c>
      <c r="BY39" s="17">
        <v>0</v>
      </c>
      <c r="BZ39" s="16">
        <v>0</v>
      </c>
      <c r="CA39" s="14">
        <v>0</v>
      </c>
      <c r="CB39" s="14">
        <v>0</v>
      </c>
      <c r="CC39" s="14">
        <v>0</v>
      </c>
      <c r="CD39" s="14">
        <v>0</v>
      </c>
      <c r="CE39" s="15">
        <v>0</v>
      </c>
      <c r="CF39" s="16">
        <v>0</v>
      </c>
      <c r="CG39" s="14">
        <v>0</v>
      </c>
      <c r="CH39" s="14">
        <v>0</v>
      </c>
      <c r="CI39" s="14">
        <v>0</v>
      </c>
      <c r="CJ39" s="14">
        <v>0</v>
      </c>
      <c r="CK39" s="15">
        <v>0</v>
      </c>
      <c r="CL39" s="16">
        <v>0</v>
      </c>
      <c r="CM39" s="14">
        <v>0</v>
      </c>
      <c r="CN39" s="14">
        <v>0</v>
      </c>
      <c r="CO39" s="14">
        <v>0</v>
      </c>
      <c r="CP39" s="14">
        <v>0</v>
      </c>
      <c r="CQ39" s="15">
        <v>0</v>
      </c>
      <c r="CR39" s="18">
        <v>0</v>
      </c>
      <c r="CS39" s="19">
        <v>0</v>
      </c>
      <c r="CT39" s="19">
        <v>0</v>
      </c>
      <c r="CU39" s="19">
        <v>0</v>
      </c>
      <c r="CV39" s="19">
        <v>0</v>
      </c>
      <c r="CW39" s="20">
        <v>0</v>
      </c>
      <c r="CX39" s="18">
        <v>0</v>
      </c>
      <c r="CY39" s="19">
        <v>0</v>
      </c>
      <c r="CZ39" s="19">
        <v>0</v>
      </c>
      <c r="DA39" s="19">
        <v>0</v>
      </c>
      <c r="DB39" s="19">
        <v>0</v>
      </c>
      <c r="DC39" s="20">
        <v>0</v>
      </c>
    </row>
    <row r="40" spans="1:107" x14ac:dyDescent="0.25">
      <c r="A40" s="1" t="s">
        <v>57</v>
      </c>
      <c r="B40" s="12">
        <v>11725</v>
      </c>
      <c r="C40" s="12">
        <f t="shared" si="7"/>
        <v>11725</v>
      </c>
      <c r="D40" s="12">
        <v>11731</v>
      </c>
      <c r="E40" s="12">
        <v>11031</v>
      </c>
      <c r="F40" s="12">
        <v>10480</v>
      </c>
      <c r="G40" s="12">
        <v>10835</v>
      </c>
      <c r="H40" s="12">
        <v>10380</v>
      </c>
      <c r="I40" s="1">
        <v>3.09</v>
      </c>
      <c r="J40" s="1">
        <v>3.03</v>
      </c>
      <c r="K40" s="1">
        <v>2.9</v>
      </c>
      <c r="L40" s="1">
        <v>2.81</v>
      </c>
      <c r="M40" s="1">
        <v>2.91</v>
      </c>
      <c r="N40" s="1">
        <v>2.6</v>
      </c>
      <c r="O40" s="1">
        <v>250</v>
      </c>
      <c r="P40" s="1" t="s">
        <v>26</v>
      </c>
      <c r="Q40" s="1">
        <v>0</v>
      </c>
      <c r="R40" s="1">
        <v>0</v>
      </c>
      <c r="S40" s="1">
        <v>0</v>
      </c>
      <c r="T40" s="1">
        <v>0</v>
      </c>
      <c r="U40" s="1">
        <v>0</v>
      </c>
      <c r="V40" s="1">
        <v>0</v>
      </c>
      <c r="W40" s="21">
        <v>26685.384349999997</v>
      </c>
      <c r="X40" s="21">
        <v>22254.357499999998</v>
      </c>
      <c r="Y40" s="21">
        <v>20834.047549999999</v>
      </c>
      <c r="Z40" s="21">
        <v>19164.261999999999</v>
      </c>
      <c r="AA40" s="21">
        <v>19175.6018</v>
      </c>
      <c r="AB40" s="22">
        <v>16700.690450000002</v>
      </c>
      <c r="AC40" s="16">
        <v>0</v>
      </c>
      <c r="AD40" s="14">
        <v>0.19299292472934959</v>
      </c>
      <c r="AE40" s="14">
        <v>0.18248572205602392</v>
      </c>
      <c r="AF40" s="14">
        <v>0</v>
      </c>
      <c r="AG40" s="14">
        <v>0</v>
      </c>
      <c r="AH40" s="14">
        <v>0</v>
      </c>
      <c r="AI40" s="15">
        <f>AVERAGE(AD40:AE40)</f>
        <v>0.18773932339268676</v>
      </c>
      <c r="AJ40" s="14">
        <v>0</v>
      </c>
      <c r="AK40" s="14">
        <v>0.10173288534616198</v>
      </c>
      <c r="AL40" s="14">
        <v>9.6620687610939046E-2</v>
      </c>
      <c r="AM40" s="14">
        <v>0</v>
      </c>
      <c r="AN40" s="14">
        <v>0</v>
      </c>
      <c r="AO40" s="15">
        <v>0</v>
      </c>
      <c r="AP40" s="14">
        <f t="shared" ref="AP40:AU40" si="11">AC40/I40</f>
        <v>0</v>
      </c>
      <c r="AQ40" s="14">
        <f t="shared" si="11"/>
        <v>6.3694034564141785E-2</v>
      </c>
      <c r="AR40" s="14">
        <f t="shared" si="11"/>
        <v>6.2926111053801359E-2</v>
      </c>
      <c r="AS40" s="14">
        <f t="shared" si="11"/>
        <v>0</v>
      </c>
      <c r="AT40" s="14">
        <f t="shared" si="11"/>
        <v>0</v>
      </c>
      <c r="AU40" s="14">
        <f t="shared" si="11"/>
        <v>0</v>
      </c>
      <c r="AV40" s="16">
        <v>0</v>
      </c>
      <c r="AW40" s="14">
        <v>0</v>
      </c>
      <c r="AX40" s="14">
        <v>0</v>
      </c>
      <c r="AY40" s="14">
        <v>0</v>
      </c>
      <c r="AZ40" s="14">
        <v>0</v>
      </c>
      <c r="BA40" s="15">
        <v>0</v>
      </c>
      <c r="BB40" s="16">
        <v>0</v>
      </c>
      <c r="BC40" s="14">
        <v>0</v>
      </c>
      <c r="BD40" s="14">
        <v>0</v>
      </c>
      <c r="BE40" s="14">
        <v>0</v>
      </c>
      <c r="BF40" s="14">
        <v>0</v>
      </c>
      <c r="BG40" s="15">
        <v>0</v>
      </c>
      <c r="BH40" s="16">
        <v>0</v>
      </c>
      <c r="BI40" s="14">
        <v>0</v>
      </c>
      <c r="BJ40" s="14">
        <v>0</v>
      </c>
      <c r="BK40" s="14">
        <v>0</v>
      </c>
      <c r="BL40" s="14">
        <v>0</v>
      </c>
      <c r="BM40" s="17">
        <v>0</v>
      </c>
      <c r="BN40" s="16">
        <v>0</v>
      </c>
      <c r="BO40" s="14">
        <v>0</v>
      </c>
      <c r="BP40" s="14">
        <v>0</v>
      </c>
      <c r="BQ40" s="14">
        <v>0</v>
      </c>
      <c r="BR40" s="14">
        <v>0</v>
      </c>
      <c r="BS40" s="15">
        <v>0</v>
      </c>
      <c r="BT40" s="16">
        <v>0</v>
      </c>
      <c r="BU40" s="14">
        <v>0</v>
      </c>
      <c r="BV40" s="14">
        <v>0</v>
      </c>
      <c r="BW40" s="14">
        <v>0</v>
      </c>
      <c r="BX40" s="14">
        <v>0</v>
      </c>
      <c r="BY40" s="17">
        <v>0</v>
      </c>
      <c r="BZ40" s="16">
        <v>0</v>
      </c>
      <c r="CA40" s="14">
        <v>0</v>
      </c>
      <c r="CB40" s="14">
        <v>0</v>
      </c>
      <c r="CC40" s="14">
        <v>0</v>
      </c>
      <c r="CD40" s="14">
        <v>0</v>
      </c>
      <c r="CE40" s="15">
        <v>0</v>
      </c>
      <c r="CF40" s="16">
        <v>0</v>
      </c>
      <c r="CG40" s="14">
        <v>20.11763703009121</v>
      </c>
      <c r="CH40" s="14">
        <v>19.581180310035354</v>
      </c>
      <c r="CI40" s="14">
        <v>0</v>
      </c>
      <c r="CJ40" s="14">
        <v>0</v>
      </c>
      <c r="CK40" s="15">
        <v>0</v>
      </c>
      <c r="CL40" s="16">
        <v>0</v>
      </c>
      <c r="CM40" s="14">
        <v>10.983852501139916</v>
      </c>
      <c r="CN40" s="14">
        <v>10.698093226839559</v>
      </c>
      <c r="CO40" s="14">
        <v>0</v>
      </c>
      <c r="CP40" s="14">
        <v>0</v>
      </c>
      <c r="CQ40" s="15">
        <v>0</v>
      </c>
      <c r="CR40" s="18">
        <v>0</v>
      </c>
      <c r="CS40" s="19">
        <v>5.7113630551530138E-3</v>
      </c>
      <c r="CT40" s="19">
        <v>7.9775179040884776E-3</v>
      </c>
      <c r="CU40" s="19">
        <v>0</v>
      </c>
      <c r="CV40" s="19">
        <v>0</v>
      </c>
      <c r="CW40" s="20">
        <v>0</v>
      </c>
      <c r="CX40" s="18">
        <v>0</v>
      </c>
      <c r="CY40" s="19">
        <v>3.1182971083744682E-3</v>
      </c>
      <c r="CZ40" s="19">
        <v>4.3584824257494499E-3</v>
      </c>
      <c r="DA40" s="19">
        <v>0</v>
      </c>
      <c r="DB40" s="19">
        <v>0</v>
      </c>
      <c r="DC40" s="20">
        <v>0</v>
      </c>
    </row>
    <row r="41" spans="1:107" x14ac:dyDescent="0.25">
      <c r="A41" s="13" t="s">
        <v>58</v>
      </c>
      <c r="B41" s="12">
        <v>0</v>
      </c>
      <c r="C41" s="12">
        <f t="shared" si="7"/>
        <v>0</v>
      </c>
      <c r="D41" s="12">
        <v>0</v>
      </c>
      <c r="E41" s="12">
        <v>0</v>
      </c>
      <c r="F41" s="12">
        <v>0</v>
      </c>
      <c r="G41" s="12">
        <v>0</v>
      </c>
      <c r="H41" s="12">
        <v>0</v>
      </c>
      <c r="I41" s="1">
        <v>0</v>
      </c>
      <c r="J41" s="1">
        <v>0</v>
      </c>
      <c r="K41" s="1">
        <v>0</v>
      </c>
      <c r="L41" s="1">
        <v>0</v>
      </c>
      <c r="M41" s="1">
        <v>0</v>
      </c>
      <c r="N41" s="1">
        <v>0</v>
      </c>
      <c r="O41" s="1">
        <v>0</v>
      </c>
      <c r="P41" s="1"/>
      <c r="Q41" s="1">
        <v>0</v>
      </c>
      <c r="R41" s="1">
        <v>0</v>
      </c>
      <c r="S41" s="1">
        <v>0</v>
      </c>
      <c r="T41" s="1">
        <v>0</v>
      </c>
      <c r="U41" s="1">
        <v>0</v>
      </c>
      <c r="V41" s="1">
        <v>0</v>
      </c>
      <c r="W41" s="21">
        <v>0</v>
      </c>
      <c r="X41" s="21">
        <v>0</v>
      </c>
      <c r="Y41" s="21">
        <v>0</v>
      </c>
      <c r="Z41" s="21">
        <v>0</v>
      </c>
      <c r="AA41" s="21">
        <v>0</v>
      </c>
      <c r="AB41" s="22">
        <v>0</v>
      </c>
      <c r="AC41" s="16">
        <v>0</v>
      </c>
      <c r="AD41" s="14">
        <v>0</v>
      </c>
      <c r="AE41" s="14">
        <v>0</v>
      </c>
      <c r="AF41" s="14">
        <v>0</v>
      </c>
      <c r="AG41" s="14">
        <v>0</v>
      </c>
      <c r="AH41" s="14">
        <v>0</v>
      </c>
      <c r="AI41" s="15"/>
      <c r="AJ41" s="14">
        <v>0</v>
      </c>
      <c r="AK41" s="14">
        <v>0</v>
      </c>
      <c r="AL41" s="14">
        <v>0</v>
      </c>
      <c r="AM41" s="14">
        <v>0</v>
      </c>
      <c r="AN41" s="14">
        <v>0</v>
      </c>
      <c r="AO41" s="15">
        <v>0</v>
      </c>
      <c r="AP41" s="14"/>
      <c r="AQ41" s="14"/>
      <c r="AR41" s="14"/>
      <c r="AS41" s="14"/>
      <c r="AT41" s="14"/>
      <c r="AU41" s="14"/>
      <c r="AV41" s="16">
        <v>0</v>
      </c>
      <c r="AW41" s="14">
        <v>0</v>
      </c>
      <c r="AX41" s="14">
        <v>0</v>
      </c>
      <c r="AY41" s="14">
        <v>0</v>
      </c>
      <c r="AZ41" s="14">
        <v>0</v>
      </c>
      <c r="BA41" s="15">
        <v>0</v>
      </c>
      <c r="BB41" s="16">
        <v>0</v>
      </c>
      <c r="BC41" s="14">
        <v>0</v>
      </c>
      <c r="BD41" s="14">
        <v>0</v>
      </c>
      <c r="BE41" s="14">
        <v>0</v>
      </c>
      <c r="BF41" s="14">
        <v>0</v>
      </c>
      <c r="BG41" s="15">
        <v>0</v>
      </c>
      <c r="BH41" s="16">
        <v>0</v>
      </c>
      <c r="BI41" s="14">
        <v>0</v>
      </c>
      <c r="BJ41" s="14">
        <v>0</v>
      </c>
      <c r="BK41" s="14">
        <v>0</v>
      </c>
      <c r="BL41" s="14">
        <v>0</v>
      </c>
      <c r="BM41" s="17">
        <v>0</v>
      </c>
      <c r="BN41" s="16">
        <v>0</v>
      </c>
      <c r="BO41" s="14">
        <v>0</v>
      </c>
      <c r="BP41" s="14">
        <v>0</v>
      </c>
      <c r="BQ41" s="14">
        <v>0</v>
      </c>
      <c r="BR41" s="14">
        <v>0</v>
      </c>
      <c r="BS41" s="15">
        <v>0</v>
      </c>
      <c r="BT41" s="16">
        <v>0</v>
      </c>
      <c r="BU41" s="14">
        <v>0</v>
      </c>
      <c r="BV41" s="14">
        <v>0</v>
      </c>
      <c r="BW41" s="14">
        <v>0</v>
      </c>
      <c r="BX41" s="14">
        <v>0</v>
      </c>
      <c r="BY41" s="17">
        <v>0</v>
      </c>
      <c r="BZ41" s="16">
        <v>0</v>
      </c>
      <c r="CA41" s="14">
        <v>0</v>
      </c>
      <c r="CB41" s="14">
        <v>0</v>
      </c>
      <c r="CC41" s="14">
        <v>0</v>
      </c>
      <c r="CD41" s="14">
        <v>0</v>
      </c>
      <c r="CE41" s="15">
        <v>0</v>
      </c>
      <c r="CF41" s="16">
        <v>0</v>
      </c>
      <c r="CG41" s="14">
        <v>0</v>
      </c>
      <c r="CH41" s="14">
        <v>0</v>
      </c>
      <c r="CI41" s="14">
        <v>0</v>
      </c>
      <c r="CJ41" s="14">
        <v>0</v>
      </c>
      <c r="CK41" s="15">
        <v>0</v>
      </c>
      <c r="CL41" s="16">
        <v>0</v>
      </c>
      <c r="CM41" s="14">
        <v>0</v>
      </c>
      <c r="CN41" s="14">
        <v>0</v>
      </c>
      <c r="CO41" s="14">
        <v>0</v>
      </c>
      <c r="CP41" s="14">
        <v>0</v>
      </c>
      <c r="CQ41" s="15">
        <v>0</v>
      </c>
      <c r="CR41" s="18">
        <v>0</v>
      </c>
      <c r="CS41" s="19">
        <v>0</v>
      </c>
      <c r="CT41" s="19">
        <v>0</v>
      </c>
      <c r="CU41" s="19">
        <v>0</v>
      </c>
      <c r="CV41" s="19">
        <v>0</v>
      </c>
      <c r="CW41" s="20">
        <v>0</v>
      </c>
      <c r="CX41" s="18">
        <v>0</v>
      </c>
      <c r="CY41" s="19">
        <v>0</v>
      </c>
      <c r="CZ41" s="19">
        <v>0</v>
      </c>
      <c r="DA41" s="19">
        <v>0</v>
      </c>
      <c r="DB41" s="19">
        <v>0</v>
      </c>
      <c r="DC41" s="20">
        <v>0</v>
      </c>
    </row>
    <row r="42" spans="1:107" x14ac:dyDescent="0.25">
      <c r="A42" s="1" t="s">
        <v>59</v>
      </c>
      <c r="B42" s="12">
        <v>5164</v>
      </c>
      <c r="C42" s="12">
        <f t="shared" si="7"/>
        <v>5164</v>
      </c>
      <c r="D42" s="12">
        <v>5939</v>
      </c>
      <c r="E42" s="12">
        <v>4683</v>
      </c>
      <c r="F42" s="12">
        <v>4393</v>
      </c>
      <c r="G42" s="12">
        <v>4223</v>
      </c>
      <c r="H42" s="12">
        <v>4095</v>
      </c>
      <c r="I42" s="1">
        <v>3.47</v>
      </c>
      <c r="J42" s="1">
        <v>3.47</v>
      </c>
      <c r="K42" s="1">
        <v>3.53</v>
      </c>
      <c r="L42" s="1">
        <v>3.53</v>
      </c>
      <c r="M42" s="1">
        <v>3.56</v>
      </c>
      <c r="N42" s="1">
        <v>3.56</v>
      </c>
      <c r="O42" s="1">
        <v>240</v>
      </c>
      <c r="P42" s="1" t="s">
        <v>21</v>
      </c>
      <c r="Q42" s="1">
        <v>0</v>
      </c>
      <c r="R42" s="1">
        <v>0</v>
      </c>
      <c r="S42" s="1">
        <v>0</v>
      </c>
      <c r="T42" s="1">
        <v>0</v>
      </c>
      <c r="U42" s="1">
        <v>0</v>
      </c>
      <c r="V42" s="1">
        <v>0</v>
      </c>
      <c r="W42" s="21">
        <v>11509.896999999999</v>
      </c>
      <c r="X42" s="21">
        <v>14622.672099999998</v>
      </c>
      <c r="Y42" s="21">
        <v>11799.061899999999</v>
      </c>
      <c r="Z42" s="21">
        <v>11237.7418</v>
      </c>
      <c r="AA42" s="21">
        <v>10458.13055</v>
      </c>
      <c r="AB42" s="22">
        <v>10458.13055</v>
      </c>
      <c r="AC42" s="16">
        <v>0.42583268783888456</v>
      </c>
      <c r="AD42" s="14">
        <v>0.4024246506145816</v>
      </c>
      <c r="AE42" s="14">
        <v>0.41426436045270126</v>
      </c>
      <c r="AF42" s="14">
        <v>0.47803323469155473</v>
      </c>
      <c r="AG42" s="14">
        <v>0.44162917357328912</v>
      </c>
      <c r="AH42" s="14">
        <v>0.44590964590964594</v>
      </c>
      <c r="AI42" s="15">
        <f>AVERAGE(AC42:AH42)</f>
        <v>0.43468229218010962</v>
      </c>
      <c r="AJ42" s="14">
        <v>0.19105296945750255</v>
      </c>
      <c r="AK42" s="14">
        <v>0.16344481936376049</v>
      </c>
      <c r="AL42" s="14">
        <v>0.16441985103917459</v>
      </c>
      <c r="AM42" s="14">
        <v>0.18687028385008811</v>
      </c>
      <c r="AN42" s="14">
        <v>0.17833015098477614</v>
      </c>
      <c r="AO42" s="15">
        <v>0.17460099501244034</v>
      </c>
      <c r="AP42" s="14">
        <f t="shared" ref="AP42:AU43" si="12">AC42/I42</f>
        <v>0.12271835384405895</v>
      </c>
      <c r="AQ42" s="14">
        <f t="shared" si="12"/>
        <v>0.11597252179094571</v>
      </c>
      <c r="AR42" s="14">
        <f t="shared" si="12"/>
        <v>0.11735534290444796</v>
      </c>
      <c r="AS42" s="14">
        <f t="shared" si="12"/>
        <v>0.13542017979930729</v>
      </c>
      <c r="AT42" s="14">
        <f t="shared" si="12"/>
        <v>0.12405313864418234</v>
      </c>
      <c r="AU42" s="14">
        <f t="shared" si="12"/>
        <v>0.12525551851394548</v>
      </c>
      <c r="AV42" s="16">
        <v>8.8201006971340039</v>
      </c>
      <c r="AW42" s="14">
        <v>8.6305775383061114</v>
      </c>
      <c r="AX42" s="14">
        <v>9.3666453128336542</v>
      </c>
      <c r="AY42" s="14">
        <v>12.223309811063055</v>
      </c>
      <c r="AZ42" s="14">
        <v>9.7537295761307128</v>
      </c>
      <c r="BA42" s="15">
        <v>10.347008547008548</v>
      </c>
      <c r="BB42" s="16">
        <v>3.9572030922605124</v>
      </c>
      <c r="BC42" s="14">
        <v>3.5053100862461384</v>
      </c>
      <c r="BD42" s="14">
        <v>3.7175836834960587</v>
      </c>
      <c r="BE42" s="14">
        <v>4.778273158046753</v>
      </c>
      <c r="BF42" s="14">
        <v>3.9385624230900427</v>
      </c>
      <c r="BG42" s="15">
        <v>4.0514889154830831</v>
      </c>
      <c r="BH42" s="16">
        <v>56.325135553834237</v>
      </c>
      <c r="BI42" s="14">
        <v>52.594207779087391</v>
      </c>
      <c r="BJ42" s="14">
        <v>78.260089686098652</v>
      </c>
      <c r="BK42" s="14">
        <v>56.75961757341225</v>
      </c>
      <c r="BL42" s="14">
        <v>52.795406109400901</v>
      </c>
      <c r="BM42" s="17">
        <v>55.705494505494507</v>
      </c>
      <c r="BN42" s="16">
        <v>25.270686609967058</v>
      </c>
      <c r="BO42" s="14">
        <v>21.361143699584158</v>
      </c>
      <c r="BP42" s="14">
        <v>31.061113426314005</v>
      </c>
      <c r="BQ42" s="14">
        <v>22.188176631714391</v>
      </c>
      <c r="BR42" s="14">
        <v>21.318819738772529</v>
      </c>
      <c r="BS42" s="15">
        <v>21.812120140343822</v>
      </c>
      <c r="BT42" s="16">
        <v>56.325135553834237</v>
      </c>
      <c r="BU42" s="14">
        <v>52.594207779087391</v>
      </c>
      <c r="BV42" s="14">
        <v>78.260089686098652</v>
      </c>
      <c r="BW42" s="14">
        <v>56.75961757341225</v>
      </c>
      <c r="BX42" s="14">
        <v>52.795406109400901</v>
      </c>
      <c r="BY42" s="17">
        <v>55.705494505494507</v>
      </c>
      <c r="BZ42" s="16">
        <v>0</v>
      </c>
      <c r="CA42" s="14">
        <v>0</v>
      </c>
      <c r="CB42" s="14">
        <v>0</v>
      </c>
      <c r="CC42" s="14">
        <v>0</v>
      </c>
      <c r="CD42" s="14">
        <v>0</v>
      </c>
      <c r="CE42" s="15">
        <v>0</v>
      </c>
      <c r="CF42" s="16">
        <v>65.145236250968239</v>
      </c>
      <c r="CG42" s="14">
        <v>61.224785317393504</v>
      </c>
      <c r="CH42" s="14">
        <v>87.626734998932307</v>
      </c>
      <c r="CI42" s="14">
        <v>68.982927384475303</v>
      </c>
      <c r="CJ42" s="14">
        <v>62.54913568553161</v>
      </c>
      <c r="CK42" s="15">
        <v>66.052503052503056</v>
      </c>
      <c r="CL42" s="16">
        <v>29.227889702227571</v>
      </c>
      <c r="CM42" s="14">
        <v>24.866453785830295</v>
      </c>
      <c r="CN42" s="14">
        <v>34.778697109810061</v>
      </c>
      <c r="CO42" s="14">
        <v>26.966449789761143</v>
      </c>
      <c r="CP42" s="14">
        <v>25.257382161862573</v>
      </c>
      <c r="CQ42" s="15">
        <v>25.863609055826906</v>
      </c>
      <c r="CR42" s="18">
        <v>1.2484508133230054</v>
      </c>
      <c r="CS42" s="19">
        <v>1.0757703317056744</v>
      </c>
      <c r="CT42" s="19">
        <v>1.2331838565022422</v>
      </c>
      <c r="CU42" s="19">
        <v>1.0034145231049396</v>
      </c>
      <c r="CV42" s="19">
        <v>0.94885152735022493</v>
      </c>
      <c r="CW42" s="20">
        <v>1.1548229548229547</v>
      </c>
      <c r="CX42" s="18">
        <v>0.62786145276310612</v>
      </c>
      <c r="CY42" s="19">
        <v>0.49035145067203328</v>
      </c>
      <c r="CZ42" s="19">
        <v>0.54730600866464552</v>
      </c>
      <c r="DA42" s="19">
        <v>0.44047521559977754</v>
      </c>
      <c r="DB42" s="19">
        <v>0.4288315559066212</v>
      </c>
      <c r="DC42" s="20">
        <v>0.50610043121597492</v>
      </c>
    </row>
    <row r="43" spans="1:107" x14ac:dyDescent="0.25">
      <c r="A43" s="1" t="s">
        <v>60</v>
      </c>
      <c r="B43" s="12">
        <v>2586</v>
      </c>
      <c r="C43" s="12">
        <f t="shared" si="7"/>
        <v>2586</v>
      </c>
      <c r="D43" s="12">
        <v>2453</v>
      </c>
      <c r="E43" s="12">
        <v>2381</v>
      </c>
      <c r="F43" s="12">
        <v>2324</v>
      </c>
      <c r="G43" s="12">
        <v>2311</v>
      </c>
      <c r="H43" s="12">
        <v>2277</v>
      </c>
      <c r="I43" s="1">
        <v>3.93</v>
      </c>
      <c r="J43" s="1">
        <v>3.92</v>
      </c>
      <c r="K43" s="1">
        <v>3.95</v>
      </c>
      <c r="L43" s="1">
        <v>3.93</v>
      </c>
      <c r="M43" s="1">
        <v>3.91</v>
      </c>
      <c r="N43" s="1">
        <v>3.86</v>
      </c>
      <c r="O43" s="1">
        <v>200</v>
      </c>
      <c r="P43" s="1" t="s">
        <v>26</v>
      </c>
      <c r="Q43" s="1">
        <v>0</v>
      </c>
      <c r="R43" s="1">
        <v>0</v>
      </c>
      <c r="S43" s="1">
        <v>0</v>
      </c>
      <c r="T43" s="1">
        <v>0</v>
      </c>
      <c r="U43" s="1">
        <v>0</v>
      </c>
      <c r="V43" s="1">
        <v>0</v>
      </c>
      <c r="W43" s="21">
        <v>7090.2099499999995</v>
      </c>
      <c r="X43" s="21">
        <v>6650.7927</v>
      </c>
      <c r="Y43" s="21">
        <v>6089.4726000000001</v>
      </c>
      <c r="Z43" s="21">
        <v>6316.2686000000003</v>
      </c>
      <c r="AA43" s="21">
        <v>6228.3851499999992</v>
      </c>
      <c r="AB43" s="22">
        <v>5961.8998499999998</v>
      </c>
      <c r="AC43" s="16">
        <v>0.27300850734725446</v>
      </c>
      <c r="AD43" s="14">
        <v>0.29311047696697923</v>
      </c>
      <c r="AE43" s="14">
        <v>0.30449391012179755</v>
      </c>
      <c r="AF43" s="14">
        <v>0.30163511187607572</v>
      </c>
      <c r="AG43" s="14">
        <v>0.32323669407183037</v>
      </c>
      <c r="AH43" s="14">
        <v>0.32806324110671936</v>
      </c>
      <c r="AI43" s="15">
        <f>AVERAGE(AC43:AH43)</f>
        <v>0.30392465691510945</v>
      </c>
      <c r="AJ43" s="14">
        <v>9.9573920233490418E-2</v>
      </c>
      <c r="AK43" s="14">
        <v>0.10810741402299308</v>
      </c>
      <c r="AL43" s="14">
        <v>0.11905792958161927</v>
      </c>
      <c r="AM43" s="14">
        <v>0.11098324729255497</v>
      </c>
      <c r="AN43" s="14">
        <v>0.11993477956320669</v>
      </c>
      <c r="AO43" s="15">
        <v>0.12529563038533767</v>
      </c>
      <c r="AP43" s="14">
        <f t="shared" si="12"/>
        <v>6.9467813574365003E-2</v>
      </c>
      <c r="AQ43" s="14">
        <f t="shared" si="12"/>
        <v>7.4773080858923271E-2</v>
      </c>
      <c r="AR43" s="14">
        <f t="shared" si="12"/>
        <v>7.708706585361963E-2</v>
      </c>
      <c r="AS43" s="14">
        <f t="shared" si="12"/>
        <v>7.6751936864141404E-2</v>
      </c>
      <c r="AT43" s="14">
        <f t="shared" si="12"/>
        <v>8.2669231220416972E-2</v>
      </c>
      <c r="AU43" s="14">
        <f t="shared" si="12"/>
        <v>8.4990476970652692E-2</v>
      </c>
      <c r="AV43" s="16">
        <v>3.7919566898685226</v>
      </c>
      <c r="AW43" s="14">
        <v>4.0089686098654704</v>
      </c>
      <c r="AX43" s="14">
        <v>4.1222175556488869</v>
      </c>
      <c r="AY43" s="14">
        <v>4.4586919104991392</v>
      </c>
      <c r="AZ43" s="14">
        <v>5.4210298572046733</v>
      </c>
      <c r="BA43" s="15">
        <v>4.2481335090030745</v>
      </c>
      <c r="BB43" s="16">
        <v>1.383033798597177</v>
      </c>
      <c r="BC43" s="14">
        <v>1.4786207364424391</v>
      </c>
      <c r="BD43" s="14">
        <v>1.6117980397842664</v>
      </c>
      <c r="BE43" s="14">
        <v>1.6405255469977955</v>
      </c>
      <c r="BF43" s="14">
        <v>2.0114363030359486</v>
      </c>
      <c r="BG43" s="15">
        <v>1.6224693878411931</v>
      </c>
      <c r="BH43" s="16">
        <v>40.532869296210364</v>
      </c>
      <c r="BI43" s="14">
        <v>43.668976763147164</v>
      </c>
      <c r="BJ43" s="14">
        <v>44.731625367492647</v>
      </c>
      <c r="BK43" s="14">
        <v>43.627796901893291</v>
      </c>
      <c r="BL43" s="14">
        <v>81.831674599740367</v>
      </c>
      <c r="BM43" s="17">
        <v>44.126921387790951</v>
      </c>
      <c r="BN43" s="16">
        <v>14.783483245090649</v>
      </c>
      <c r="BO43" s="14">
        <v>16.106350751242029</v>
      </c>
      <c r="BP43" s="14">
        <v>17.490184617958541</v>
      </c>
      <c r="BQ43" s="14">
        <v>16.052357241425739</v>
      </c>
      <c r="BR43" s="14">
        <v>30.363086971267347</v>
      </c>
      <c r="BS43" s="15">
        <v>16.853184811549628</v>
      </c>
      <c r="BT43" s="16">
        <v>40.532869296210364</v>
      </c>
      <c r="BU43" s="14">
        <v>43.668976763147164</v>
      </c>
      <c r="BV43" s="14">
        <v>44.731625367492647</v>
      </c>
      <c r="BW43" s="14">
        <v>43.627796901893291</v>
      </c>
      <c r="BX43" s="14">
        <v>81.831674599740367</v>
      </c>
      <c r="BY43" s="17">
        <v>44.126921387790951</v>
      </c>
      <c r="BZ43" s="16">
        <v>0</v>
      </c>
      <c r="CA43" s="14">
        <v>0</v>
      </c>
      <c r="CB43" s="14">
        <v>0</v>
      </c>
      <c r="CC43" s="14">
        <v>0</v>
      </c>
      <c r="CD43" s="14">
        <v>0</v>
      </c>
      <c r="CE43" s="15">
        <v>0</v>
      </c>
      <c r="CF43" s="16">
        <v>44.324825986078885</v>
      </c>
      <c r="CG43" s="14">
        <v>47.677945373012633</v>
      </c>
      <c r="CH43" s="14">
        <v>48.853842923141535</v>
      </c>
      <c r="CI43" s="14">
        <v>48.086488812392432</v>
      </c>
      <c r="CJ43" s="14">
        <v>87.25270445694504</v>
      </c>
      <c r="CK43" s="15">
        <v>48.375054896794026</v>
      </c>
      <c r="CL43" s="16">
        <v>16.166517043687826</v>
      </c>
      <c r="CM43" s="14">
        <v>17.58497148768447</v>
      </c>
      <c r="CN43" s="14">
        <v>19.101982657742806</v>
      </c>
      <c r="CO43" s="14">
        <v>20.03035714055266</v>
      </c>
      <c r="CP43" s="14">
        <v>32.374523274303293</v>
      </c>
      <c r="CQ43" s="15">
        <v>18.475654199390821</v>
      </c>
      <c r="CR43" s="18">
        <v>0.83720030935808198</v>
      </c>
      <c r="CS43" s="19">
        <v>0.88666938442723198</v>
      </c>
      <c r="CT43" s="19">
        <v>0.98446031079378415</v>
      </c>
      <c r="CU43" s="19">
        <v>0.95266781411359724</v>
      </c>
      <c r="CV43" s="19">
        <v>1.011250540891389</v>
      </c>
      <c r="CW43" s="20">
        <v>1.0263504611330698</v>
      </c>
      <c r="CX43" s="18">
        <v>0.34665542403616006</v>
      </c>
      <c r="CY43" s="19">
        <v>0.37152992650070443</v>
      </c>
      <c r="CZ43" s="19">
        <v>0.43863254246457506</v>
      </c>
      <c r="DA43" s="19">
        <v>0.39683239563307998</v>
      </c>
      <c r="DB43" s="19">
        <v>0.42558242808214664</v>
      </c>
      <c r="DC43" s="20">
        <v>0.44343903345622271</v>
      </c>
    </row>
    <row r="44" spans="1:107" x14ac:dyDescent="0.25">
      <c r="A44" s="1" t="s">
        <v>61</v>
      </c>
      <c r="B44" s="12">
        <v>1656</v>
      </c>
      <c r="C44" s="12">
        <f t="shared" si="7"/>
        <v>1656</v>
      </c>
      <c r="D44" s="12">
        <v>1598</v>
      </c>
      <c r="E44" s="12">
        <v>1570</v>
      </c>
      <c r="F44" s="12">
        <v>1535</v>
      </c>
      <c r="G44" s="12">
        <v>1284</v>
      </c>
      <c r="H44" s="12">
        <v>0</v>
      </c>
      <c r="I44" s="1">
        <v>3.22</v>
      </c>
      <c r="J44" s="1">
        <v>3.1</v>
      </c>
      <c r="K44" s="1">
        <v>3.4</v>
      </c>
      <c r="L44" s="1">
        <v>3.43</v>
      </c>
      <c r="M44" s="1">
        <v>3.64</v>
      </c>
      <c r="N44" s="1">
        <v>0</v>
      </c>
      <c r="O44" s="1">
        <v>1500</v>
      </c>
      <c r="P44" s="1" t="s">
        <v>26</v>
      </c>
      <c r="Q44" s="1">
        <v>0</v>
      </c>
      <c r="R44" s="1">
        <v>0</v>
      </c>
      <c r="S44" s="1">
        <v>0</v>
      </c>
      <c r="T44" s="1">
        <v>0</v>
      </c>
      <c r="U44" s="1">
        <v>0</v>
      </c>
      <c r="V44" s="1">
        <v>0</v>
      </c>
      <c r="W44" s="21">
        <v>5332.3214024001609</v>
      </c>
      <c r="X44" s="21">
        <v>3382.0953499999996</v>
      </c>
      <c r="Y44" s="21">
        <v>3535.1826499999997</v>
      </c>
      <c r="Z44" s="21">
        <v>3433.1244499999998</v>
      </c>
      <c r="AA44" s="21">
        <v>2554.2899499999999</v>
      </c>
      <c r="AB44" s="22">
        <v>0</v>
      </c>
      <c r="AC44" s="16">
        <v>0</v>
      </c>
      <c r="AD44" s="23">
        <v>0.12265331664580725</v>
      </c>
      <c r="AE44" s="23">
        <v>0.12038216560509554</v>
      </c>
      <c r="AF44" s="14">
        <v>0</v>
      </c>
      <c r="AG44" s="14">
        <v>0</v>
      </c>
      <c r="AH44" s="14">
        <v>0</v>
      </c>
      <c r="AI44" s="24">
        <f>AVERAGE(AD44:AE44)</f>
        <v>0.1215177411254514</v>
      </c>
      <c r="AJ44" s="14">
        <v>0</v>
      </c>
      <c r="AK44" s="14">
        <v>5.7952239578343057E-2</v>
      </c>
      <c r="AL44" s="14">
        <v>5.3462584175106201E-2</v>
      </c>
      <c r="AM44" s="14">
        <v>0</v>
      </c>
      <c r="AN44" s="14">
        <v>0</v>
      </c>
      <c r="AO44" s="15">
        <v>0</v>
      </c>
      <c r="AP44" s="14">
        <f>AC44/I44</f>
        <v>0</v>
      </c>
      <c r="AQ44" s="14">
        <f>AD44/J44</f>
        <v>3.9565586014776534E-2</v>
      </c>
      <c r="AR44" s="14">
        <f>AE44/K44</f>
        <v>3.5406519295616334E-2</v>
      </c>
      <c r="AS44" s="14">
        <f>AF44/L44</f>
        <v>0</v>
      </c>
      <c r="AT44" s="14">
        <f>AG44/M44</f>
        <v>0</v>
      </c>
      <c r="AU44" s="14"/>
      <c r="AV44" s="16">
        <v>0</v>
      </c>
      <c r="AW44" s="14">
        <v>0</v>
      </c>
      <c r="AX44" s="14">
        <v>0</v>
      </c>
      <c r="AY44" s="14">
        <v>0</v>
      </c>
      <c r="AZ44" s="14">
        <v>0</v>
      </c>
      <c r="BA44" s="15">
        <v>0</v>
      </c>
      <c r="BB44" s="16">
        <v>0</v>
      </c>
      <c r="BC44" s="14">
        <v>0</v>
      </c>
      <c r="BD44" s="14">
        <v>0</v>
      </c>
      <c r="BE44" s="14">
        <v>0</v>
      </c>
      <c r="BF44" s="14">
        <v>0</v>
      </c>
      <c r="BG44" s="15">
        <v>0</v>
      </c>
      <c r="BH44" s="16">
        <v>0</v>
      </c>
      <c r="BI44" s="14">
        <v>0</v>
      </c>
      <c r="BJ44" s="14">
        <v>0</v>
      </c>
      <c r="BK44" s="14">
        <v>0</v>
      </c>
      <c r="BL44" s="14">
        <v>0</v>
      </c>
      <c r="BM44" s="17">
        <v>0</v>
      </c>
      <c r="BN44" s="16">
        <v>0</v>
      </c>
      <c r="BO44" s="14">
        <v>0</v>
      </c>
      <c r="BP44" s="14">
        <v>0</v>
      </c>
      <c r="BQ44" s="14">
        <v>0</v>
      </c>
      <c r="BR44" s="14">
        <v>0</v>
      </c>
      <c r="BS44" s="15">
        <v>0</v>
      </c>
      <c r="BT44" s="16">
        <v>0</v>
      </c>
      <c r="BU44" s="14">
        <v>0</v>
      </c>
      <c r="BV44" s="14">
        <v>0</v>
      </c>
      <c r="BW44" s="14">
        <v>0</v>
      </c>
      <c r="BX44" s="14">
        <v>0</v>
      </c>
      <c r="BY44" s="17">
        <v>0</v>
      </c>
      <c r="BZ44" s="16">
        <v>0</v>
      </c>
      <c r="CA44" s="14">
        <v>0</v>
      </c>
      <c r="CB44" s="14">
        <v>0</v>
      </c>
      <c r="CC44" s="14">
        <v>0</v>
      </c>
      <c r="CD44" s="14">
        <v>0</v>
      </c>
      <c r="CE44" s="15">
        <v>0</v>
      </c>
      <c r="CF44" s="16">
        <v>0</v>
      </c>
      <c r="CG44" s="14">
        <v>15.018773466833542</v>
      </c>
      <c r="CH44" s="14">
        <v>14.64968152866242</v>
      </c>
      <c r="CI44" s="14">
        <v>0</v>
      </c>
      <c r="CJ44" s="14">
        <v>0</v>
      </c>
      <c r="CK44" s="15">
        <v>0</v>
      </c>
      <c r="CL44" s="16">
        <v>0</v>
      </c>
      <c r="CM44" s="14">
        <v>7.5722341444594878</v>
      </c>
      <c r="CN44" s="14">
        <v>6.875438869725679</v>
      </c>
      <c r="CO44" s="14">
        <v>0</v>
      </c>
      <c r="CP44" s="14">
        <v>0</v>
      </c>
      <c r="CQ44" s="15">
        <v>0</v>
      </c>
      <c r="CR44" s="18">
        <v>0</v>
      </c>
      <c r="CS44" s="19">
        <v>0.22215269086357947</v>
      </c>
      <c r="CT44" s="19">
        <v>0.26687898089171974</v>
      </c>
      <c r="CU44" s="19">
        <v>0</v>
      </c>
      <c r="CV44" s="19">
        <v>0</v>
      </c>
      <c r="CW44" s="20">
        <v>0</v>
      </c>
      <c r="CX44" s="18">
        <v>0</v>
      </c>
      <c r="CY44" s="19">
        <v>0.11200596338679658</v>
      </c>
      <c r="CZ44" s="19">
        <v>0.12525256027891563</v>
      </c>
      <c r="DA44" s="19">
        <v>0</v>
      </c>
      <c r="DB44" s="19">
        <v>0</v>
      </c>
      <c r="DC44" s="20">
        <v>0</v>
      </c>
    </row>
  </sheetData>
  <mergeCells count="25">
    <mergeCell ref="C1:H2"/>
    <mergeCell ref="I1:N2"/>
    <mergeCell ref="Q1:V1"/>
    <mergeCell ref="W1:AB1"/>
    <mergeCell ref="AC1:AO1"/>
    <mergeCell ref="Q2:V2"/>
    <mergeCell ref="X2:AB2"/>
    <mergeCell ref="AC2:AH2"/>
    <mergeCell ref="AJ2:AO2"/>
    <mergeCell ref="AP2:AU2"/>
    <mergeCell ref="CR2:CW2"/>
    <mergeCell ref="CX2:DC2"/>
    <mergeCell ref="AP1:AU1"/>
    <mergeCell ref="BH2:BM2"/>
    <mergeCell ref="BN2:BS2"/>
    <mergeCell ref="BT2:BY2"/>
    <mergeCell ref="BZ2:CE2"/>
    <mergeCell ref="CF2:CK2"/>
    <mergeCell ref="CL2:CQ2"/>
    <mergeCell ref="CR1:DC1"/>
    <mergeCell ref="AV2:BA2"/>
    <mergeCell ref="BB2:BG2"/>
    <mergeCell ref="BH1:BS1"/>
    <mergeCell ref="BT1:CE1"/>
    <mergeCell ref="CF1:CQ1"/>
  </mergeCells>
  <pageMargins left="0.7" right="0.7" top="0.78740157499999996" bottom="0.78740157499999996" header="0.3" footer="0.3"/>
  <pageSetup paperSize="9" orientation="portrait" r:id="rId1"/>
  <legacyDrawing r:id="rId2"/>
  <extLst>
    <ext xmlns:x14="http://schemas.microsoft.com/office/spreadsheetml/2009/9/main" uri="{78C0D931-6437-407d-A8EE-F0AAD7539E65}">
      <x14:conditionalFormattings>
        <x14:conditionalFormatting xmlns:xm="http://schemas.microsoft.com/office/excel/2006/main">
          <x14:cfRule type="containsText" priority="1" operator="containsText" id="{09254062-23B2-4DF2-B49A-2D3119B72C06}">
            <xm:f>NOT(ISERROR(SEARCH("=",AC5)))</xm:f>
            <xm:f>"="</xm:f>
            <x14:dxf>
              <fill>
                <patternFill>
                  <bgColor rgb="FF92D050"/>
                </patternFill>
              </fill>
            </x14:dxf>
          </x14:cfRule>
          <xm:sqref>AC5:DC26 AC28:DC44</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N233"/>
  <sheetViews>
    <sheetView zoomScale="55" zoomScaleNormal="55" workbookViewId="0">
      <selection activeCell="T14" sqref="T14"/>
    </sheetView>
  </sheetViews>
  <sheetFormatPr baseColWidth="10" defaultRowHeight="15" x14ac:dyDescent="0.25"/>
  <cols>
    <col min="2" max="2" width="17.28515625" bestFit="1" customWidth="1"/>
    <col min="3" max="3" width="52" bestFit="1" customWidth="1"/>
    <col min="4" max="4" width="103.28515625" bestFit="1" customWidth="1"/>
    <col min="5" max="5" width="54.42578125" customWidth="1"/>
    <col min="6" max="6" width="16" bestFit="1" customWidth="1"/>
    <col min="8" max="8" width="13.85546875" bestFit="1" customWidth="1"/>
    <col min="11" max="11" width="13.140625" customWidth="1"/>
    <col min="12" max="12" width="18.5703125" bestFit="1" customWidth="1"/>
  </cols>
  <sheetData>
    <row r="3" spans="2:14" x14ac:dyDescent="0.25">
      <c r="B3" s="30" t="s">
        <v>63</v>
      </c>
      <c r="C3" s="30"/>
      <c r="D3" s="30"/>
      <c r="E3" s="30"/>
      <c r="F3" s="30">
        <v>2015</v>
      </c>
      <c r="G3" s="30">
        <v>2014</v>
      </c>
      <c r="H3" s="30">
        <v>2013</v>
      </c>
      <c r="I3" s="30">
        <v>2012</v>
      </c>
      <c r="J3" s="30">
        <v>2011</v>
      </c>
      <c r="K3" s="30">
        <v>2010</v>
      </c>
    </row>
    <row r="4" spans="2:14" x14ac:dyDescent="0.25">
      <c r="D4" t="s">
        <v>64</v>
      </c>
      <c r="E4" t="s">
        <v>65</v>
      </c>
      <c r="F4">
        <v>349000</v>
      </c>
      <c r="G4">
        <v>323000</v>
      </c>
      <c r="H4">
        <v>401000</v>
      </c>
      <c r="I4">
        <v>418000</v>
      </c>
      <c r="J4">
        <v>436000</v>
      </c>
      <c r="K4">
        <v>395000</v>
      </c>
    </row>
    <row r="5" spans="2:14" x14ac:dyDescent="0.25">
      <c r="D5" t="s">
        <v>66</v>
      </c>
      <c r="E5" t="s">
        <v>65</v>
      </c>
      <c r="F5">
        <v>3002000</v>
      </c>
      <c r="G5">
        <v>2714000</v>
      </c>
      <c r="H5">
        <v>3387000</v>
      </c>
      <c r="I5">
        <v>3289000</v>
      </c>
      <c r="J5">
        <v>3587000</v>
      </c>
      <c r="K5">
        <v>3559000</v>
      </c>
    </row>
    <row r="9" spans="2:14" x14ac:dyDescent="0.25">
      <c r="F9" s="31">
        <f>SUM(F40:F42)</f>
        <v>7361000</v>
      </c>
      <c r="G9" s="31">
        <f>F41</f>
        <v>5316000</v>
      </c>
      <c r="H9" s="32">
        <f>F42</f>
        <v>1484000</v>
      </c>
      <c r="K9" s="31"/>
    </row>
    <row r="10" spans="2:14" x14ac:dyDescent="0.25">
      <c r="F10" s="32">
        <f>F25+F20+F19</f>
        <v>1757691.1</v>
      </c>
      <c r="G10" s="32">
        <f>F20</f>
        <v>1669489</v>
      </c>
      <c r="H10" s="33">
        <f>F25</f>
        <v>3900</v>
      </c>
      <c r="K10" s="32"/>
    </row>
    <row r="11" spans="2:14" x14ac:dyDescent="0.25">
      <c r="F11">
        <f>F9/F10</f>
        <v>4.187880339156294</v>
      </c>
      <c r="G11">
        <f>G9/G10</f>
        <v>3.1842078624058021</v>
      </c>
      <c r="H11">
        <f>H9/H10</f>
        <v>380.5128205128205</v>
      </c>
    </row>
    <row r="14" spans="2:14" x14ac:dyDescent="0.25">
      <c r="B14" s="34" t="s">
        <v>67</v>
      </c>
      <c r="C14" s="35"/>
      <c r="D14" s="35"/>
      <c r="E14" s="34" t="s">
        <v>68</v>
      </c>
      <c r="F14" s="36">
        <v>2015</v>
      </c>
      <c r="G14" s="36">
        <v>2014</v>
      </c>
      <c r="H14" s="36">
        <v>2013</v>
      </c>
      <c r="I14" s="36">
        <v>2012</v>
      </c>
      <c r="J14" s="36">
        <v>2011</v>
      </c>
      <c r="K14" s="36">
        <v>2010</v>
      </c>
      <c r="L14" s="34" t="s">
        <v>69</v>
      </c>
      <c r="N14" s="37" t="s">
        <v>70</v>
      </c>
    </row>
    <row r="15" spans="2:14" x14ac:dyDescent="0.25">
      <c r="C15" t="s">
        <v>64</v>
      </c>
      <c r="D15" t="s">
        <v>71</v>
      </c>
      <c r="E15" s="121" t="s">
        <v>72</v>
      </c>
      <c r="F15" s="32">
        <v>27933.8</v>
      </c>
      <c r="N15" s="121" t="s">
        <v>73</v>
      </c>
    </row>
    <row r="16" spans="2:14" x14ac:dyDescent="0.25">
      <c r="D16" t="s">
        <v>74</v>
      </c>
      <c r="E16" s="121"/>
      <c r="F16" s="32">
        <v>49669</v>
      </c>
      <c r="N16" s="121"/>
    </row>
    <row r="17" spans="2:14" x14ac:dyDescent="0.25">
      <c r="D17" t="s">
        <v>75</v>
      </c>
      <c r="E17" s="121"/>
      <c r="F17" s="32">
        <v>6314.6</v>
      </c>
      <c r="N17" s="121"/>
    </row>
    <row r="18" spans="2:14" x14ac:dyDescent="0.25">
      <c r="D18" t="s">
        <v>76</v>
      </c>
      <c r="E18" s="121"/>
      <c r="F18" s="32">
        <v>384.7</v>
      </c>
      <c r="N18" s="121"/>
    </row>
    <row r="19" spans="2:14" x14ac:dyDescent="0.25">
      <c r="D19" t="s">
        <v>77</v>
      </c>
      <c r="E19" s="121"/>
      <c r="F19" s="32">
        <f>SUM(F15:F18)</f>
        <v>84302.1</v>
      </c>
      <c r="G19">
        <f>1000*59.6</f>
        <v>59600</v>
      </c>
      <c r="H19">
        <f>1000*101.9</f>
        <v>101900</v>
      </c>
      <c r="I19">
        <f>1000*97.5</f>
        <v>97500</v>
      </c>
      <c r="J19" s="32">
        <v>101248</v>
      </c>
      <c r="K19">
        <v>102100</v>
      </c>
      <c r="N19" s="121"/>
    </row>
    <row r="20" spans="2:14" x14ac:dyDescent="0.25">
      <c r="C20" t="s">
        <v>66</v>
      </c>
      <c r="D20" t="s">
        <v>78</v>
      </c>
      <c r="E20" s="121"/>
      <c r="F20" s="32">
        <v>1669489</v>
      </c>
      <c r="G20">
        <f>1000*1142.9</f>
        <v>1142900</v>
      </c>
      <c r="H20">
        <f>1000*1540.1</f>
        <v>1540100</v>
      </c>
      <c r="I20">
        <f>1000*1470.8</f>
        <v>1470800</v>
      </c>
      <c r="J20">
        <v>1541747</v>
      </c>
      <c r="K20">
        <v>1428200</v>
      </c>
      <c r="N20" s="121"/>
    </row>
    <row r="21" spans="2:14" x14ac:dyDescent="0.25">
      <c r="C21" t="s">
        <v>79</v>
      </c>
      <c r="D21" t="s">
        <v>80</v>
      </c>
      <c r="E21" s="121"/>
      <c r="F21">
        <v>64.7</v>
      </c>
      <c r="H21">
        <v>70</v>
      </c>
      <c r="N21" s="121"/>
    </row>
    <row r="22" spans="2:14" x14ac:dyDescent="0.25">
      <c r="D22" t="s">
        <v>81</v>
      </c>
      <c r="E22" s="121"/>
      <c r="F22">
        <v>817.3</v>
      </c>
      <c r="H22">
        <v>684</v>
      </c>
      <c r="N22" s="121"/>
    </row>
    <row r="23" spans="2:14" x14ac:dyDescent="0.25">
      <c r="D23" t="s">
        <v>82</v>
      </c>
      <c r="E23" s="121"/>
      <c r="F23" s="33">
        <v>1707.9</v>
      </c>
      <c r="H23">
        <v>1157</v>
      </c>
      <c r="N23" s="121"/>
    </row>
    <row r="24" spans="2:14" x14ac:dyDescent="0.25">
      <c r="D24" t="s">
        <v>83</v>
      </c>
      <c r="E24" s="121"/>
      <c r="F24" s="33">
        <v>1288.5999999999999</v>
      </c>
      <c r="H24">
        <v>2614</v>
      </c>
      <c r="N24" s="121"/>
    </row>
    <row r="25" spans="2:14" x14ac:dyDescent="0.25">
      <c r="D25" t="s">
        <v>84</v>
      </c>
      <c r="E25" s="121"/>
      <c r="F25">
        <f>1000*3.9</f>
        <v>3900</v>
      </c>
      <c r="G25">
        <v>2782</v>
      </c>
      <c r="H25">
        <v>4525</v>
      </c>
      <c r="I25" s="32">
        <v>3714</v>
      </c>
      <c r="J25" s="32">
        <v>5348</v>
      </c>
      <c r="K25">
        <v>4100</v>
      </c>
      <c r="N25" s="121"/>
    </row>
    <row r="26" spans="2:14" x14ac:dyDescent="0.25">
      <c r="C26" t="s">
        <v>85</v>
      </c>
      <c r="D26" t="s">
        <v>86</v>
      </c>
      <c r="E26" s="121" t="s">
        <v>8</v>
      </c>
      <c r="F26" s="38">
        <v>0.95499999999999996</v>
      </c>
      <c r="I26" s="38">
        <v>0.97699999999999998</v>
      </c>
      <c r="J26" s="39">
        <v>0.98</v>
      </c>
      <c r="K26" s="39">
        <v>0.98</v>
      </c>
      <c r="N26" s="121" t="s">
        <v>87</v>
      </c>
    </row>
    <row r="27" spans="2:14" x14ac:dyDescent="0.25">
      <c r="D27" t="s">
        <v>88</v>
      </c>
      <c r="E27" s="121"/>
      <c r="F27" s="38">
        <v>3.3000000000000002E-2</v>
      </c>
      <c r="K27" s="39">
        <v>0.01</v>
      </c>
      <c r="N27" s="121"/>
    </row>
    <row r="28" spans="2:14" x14ac:dyDescent="0.25">
      <c r="D28" t="s">
        <v>89</v>
      </c>
      <c r="E28" s="121"/>
      <c r="F28" s="38">
        <v>1.0999999999999999E-2</v>
      </c>
      <c r="K28" s="39">
        <v>0.01</v>
      </c>
      <c r="N28" s="121"/>
    </row>
    <row r="29" spans="2:14" x14ac:dyDescent="0.25">
      <c r="D29" t="s">
        <v>90</v>
      </c>
      <c r="E29" s="121"/>
      <c r="F29" s="38">
        <v>1E-3</v>
      </c>
      <c r="N29" s="121"/>
    </row>
    <row r="30" spans="2:14" x14ac:dyDescent="0.25">
      <c r="E30" s="121"/>
    </row>
    <row r="32" spans="2:14" x14ac:dyDescent="0.25">
      <c r="B32" s="40" t="s">
        <v>91</v>
      </c>
      <c r="C32" s="40"/>
      <c r="D32" s="41"/>
      <c r="E32" s="40" t="s">
        <v>68</v>
      </c>
      <c r="F32" s="42">
        <v>2015</v>
      </c>
      <c r="G32" s="42">
        <v>2014</v>
      </c>
      <c r="H32" s="42">
        <v>2013</v>
      </c>
      <c r="I32" s="42">
        <v>2012</v>
      </c>
      <c r="J32" s="42">
        <v>2011</v>
      </c>
      <c r="K32" s="42">
        <v>2010</v>
      </c>
      <c r="L32" s="42"/>
    </row>
    <row r="33" spans="3:14" x14ac:dyDescent="0.25">
      <c r="F33">
        <f>F42/SUM(F40:F42)</f>
        <v>0.20160304306480098</v>
      </c>
      <c r="G33">
        <f t="shared" ref="G33:H33" si="0">G42/SUM(G40:G42)</f>
        <v>0.19507803121248499</v>
      </c>
      <c r="H33">
        <f t="shared" si="0"/>
        <v>0.17506497680357475</v>
      </c>
    </row>
    <row r="34" spans="3:14" x14ac:dyDescent="0.25">
      <c r="C34" t="s">
        <v>64</v>
      </c>
      <c r="D34" t="s">
        <v>92</v>
      </c>
      <c r="F34" s="31"/>
      <c r="G34" s="31"/>
      <c r="H34" s="31">
        <v>362807.51</v>
      </c>
      <c r="I34" s="31"/>
      <c r="J34" s="31"/>
      <c r="K34" s="31"/>
      <c r="N34" t="s">
        <v>93</v>
      </c>
    </row>
    <row r="35" spans="3:14" x14ac:dyDescent="0.25">
      <c r="D35" t="s">
        <v>94</v>
      </c>
      <c r="F35" s="31"/>
      <c r="G35" s="31"/>
      <c r="H35" s="31">
        <v>4416.3999999999996</v>
      </c>
      <c r="I35" s="31"/>
      <c r="J35" s="31"/>
      <c r="K35" s="31"/>
    </row>
    <row r="36" spans="3:14" x14ac:dyDescent="0.25">
      <c r="D36" t="s">
        <v>95</v>
      </c>
      <c r="H36" s="31">
        <v>173335.79</v>
      </c>
    </row>
    <row r="37" spans="3:14" x14ac:dyDescent="0.25">
      <c r="D37" t="s">
        <v>96</v>
      </c>
      <c r="H37" s="31">
        <v>1124.8800000000001</v>
      </c>
    </row>
    <row r="38" spans="3:14" x14ac:dyDescent="0.25">
      <c r="D38" t="s">
        <v>97</v>
      </c>
      <c r="H38" s="31">
        <v>14326.63</v>
      </c>
    </row>
    <row r="39" spans="3:14" x14ac:dyDescent="0.25">
      <c r="D39" t="s">
        <v>98</v>
      </c>
      <c r="H39" s="31">
        <v>1761.49</v>
      </c>
    </row>
    <row r="40" spans="3:14" x14ac:dyDescent="0.25">
      <c r="D40" t="s">
        <v>77</v>
      </c>
      <c r="F40" s="31">
        <f>1000*561</f>
        <v>561000</v>
      </c>
      <c r="G40" s="31">
        <f>1000*547</f>
        <v>547000</v>
      </c>
      <c r="H40" s="31">
        <f>1000*558</f>
        <v>558000</v>
      </c>
      <c r="I40" s="31">
        <f>1000*533</f>
        <v>533000</v>
      </c>
      <c r="J40" s="31">
        <f>1000*541</f>
        <v>541000</v>
      </c>
      <c r="K40" s="31">
        <f>1000*457</f>
        <v>457000</v>
      </c>
      <c r="L40" t="s">
        <v>99</v>
      </c>
    </row>
    <row r="41" spans="3:14" x14ac:dyDescent="0.25">
      <c r="C41" t="s">
        <v>66</v>
      </c>
      <c r="D41" t="s">
        <v>78</v>
      </c>
      <c r="F41" s="31">
        <f>10^6*5.316</f>
        <v>5316000</v>
      </c>
      <c r="G41" s="31">
        <f>10^6*4.817</f>
        <v>4817000</v>
      </c>
      <c r="H41" s="31">
        <v>5377758.5099999998</v>
      </c>
      <c r="I41" s="31">
        <f>10^6*5.21</f>
        <v>5210000</v>
      </c>
      <c r="J41" s="31">
        <f>10^6*5.45</f>
        <v>5450000</v>
      </c>
      <c r="K41" s="31">
        <f>10^6*5.154</f>
        <v>5154000</v>
      </c>
      <c r="L41" t="s">
        <v>100</v>
      </c>
    </row>
    <row r="42" spans="3:14" x14ac:dyDescent="0.25">
      <c r="C42" t="s">
        <v>79</v>
      </c>
      <c r="F42" s="32">
        <f>1.484*10^6</f>
        <v>1484000</v>
      </c>
      <c r="G42">
        <f>1.3*10^6</f>
        <v>1300000</v>
      </c>
      <c r="H42" s="32">
        <v>1259667</v>
      </c>
      <c r="I42">
        <v>1798000</v>
      </c>
    </row>
    <row r="43" spans="3:14" x14ac:dyDescent="0.25">
      <c r="C43" t="s">
        <v>101</v>
      </c>
      <c r="F43" s="31">
        <f>F40+F41+F42</f>
        <v>7361000</v>
      </c>
      <c r="G43" s="31">
        <f>G40+G41+G42</f>
        <v>6664000</v>
      </c>
      <c r="H43" s="31">
        <f>SUM(H40:H42)</f>
        <v>7195425.5099999998</v>
      </c>
    </row>
    <row r="44" spans="3:14" x14ac:dyDescent="0.25">
      <c r="C44" s="43" t="s">
        <v>102</v>
      </c>
      <c r="D44" s="43"/>
      <c r="E44" s="43" t="s">
        <v>103</v>
      </c>
      <c r="F44">
        <f>(1000*5.878)*1000</f>
        <v>5878000</v>
      </c>
      <c r="G44">
        <f>(1000*5.363)*1000</f>
        <v>5363000</v>
      </c>
      <c r="H44" s="32">
        <v>5935531.2199999997</v>
      </c>
      <c r="I44">
        <f>(1000*5.743)*1000</f>
        <v>5743000</v>
      </c>
      <c r="J44">
        <f>(1000*5.991)*1000</f>
        <v>5991000</v>
      </c>
      <c r="K44">
        <f>(1000*5.611)*1000</f>
        <v>5611000</v>
      </c>
      <c r="L44" t="s">
        <v>100</v>
      </c>
    </row>
    <row r="45" spans="3:14" x14ac:dyDescent="0.25">
      <c r="C45" s="43" t="s">
        <v>104</v>
      </c>
      <c r="D45" s="43"/>
      <c r="E45" s="43" t="s">
        <v>103</v>
      </c>
      <c r="L45" t="s">
        <v>100</v>
      </c>
    </row>
    <row r="47" spans="3:14" x14ac:dyDescent="0.25">
      <c r="K47">
        <v>5611000</v>
      </c>
    </row>
    <row r="48" spans="3:14" x14ac:dyDescent="0.25">
      <c r="C48" t="s">
        <v>105</v>
      </c>
      <c r="D48" t="s">
        <v>106</v>
      </c>
      <c r="K48">
        <v>1931000</v>
      </c>
    </row>
    <row r="49" spans="3:14" x14ac:dyDescent="0.25">
      <c r="D49" t="s">
        <v>107</v>
      </c>
      <c r="K49">
        <v>1793000</v>
      </c>
    </row>
    <row r="50" spans="3:14" x14ac:dyDescent="0.25">
      <c r="D50" t="s">
        <v>108</v>
      </c>
      <c r="K50">
        <f>SUM(K51:K53)</f>
        <v>138000</v>
      </c>
    </row>
    <row r="51" spans="3:14" x14ac:dyDescent="0.25">
      <c r="D51" t="s">
        <v>109</v>
      </c>
      <c r="K51">
        <v>138000</v>
      </c>
    </row>
    <row r="52" spans="3:14" x14ac:dyDescent="0.25">
      <c r="D52" t="s">
        <v>110</v>
      </c>
      <c r="K52">
        <v>0</v>
      </c>
      <c r="N52" t="s">
        <v>111</v>
      </c>
    </row>
    <row r="53" spans="3:14" x14ac:dyDescent="0.25">
      <c r="D53" t="s">
        <v>112</v>
      </c>
      <c r="K53">
        <v>0</v>
      </c>
    </row>
    <row r="54" spans="3:14" x14ac:dyDescent="0.25">
      <c r="C54" t="s">
        <v>113</v>
      </c>
      <c r="D54" t="s">
        <v>106</v>
      </c>
      <c r="K54">
        <v>1850000</v>
      </c>
    </row>
    <row r="55" spans="3:14" x14ac:dyDescent="0.25">
      <c r="D55" t="s">
        <v>107</v>
      </c>
      <c r="K55">
        <v>1849000</v>
      </c>
    </row>
    <row r="56" spans="3:14" x14ac:dyDescent="0.25">
      <c r="D56" t="s">
        <v>108</v>
      </c>
      <c r="K56">
        <f>SUM(K57:K59)</f>
        <v>1000</v>
      </c>
    </row>
    <row r="57" spans="3:14" x14ac:dyDescent="0.25">
      <c r="D57" t="s">
        <v>109</v>
      </c>
      <c r="K57">
        <v>0</v>
      </c>
    </row>
    <row r="58" spans="3:14" x14ac:dyDescent="0.25">
      <c r="D58" t="s">
        <v>110</v>
      </c>
      <c r="K58">
        <v>0</v>
      </c>
    </row>
    <row r="59" spans="3:14" x14ac:dyDescent="0.25">
      <c r="D59" t="s">
        <v>112</v>
      </c>
      <c r="K59">
        <v>1000</v>
      </c>
    </row>
    <row r="60" spans="3:14" x14ac:dyDescent="0.25">
      <c r="C60" t="s">
        <v>114</v>
      </c>
      <c r="D60" t="s">
        <v>106</v>
      </c>
      <c r="K60">
        <v>1432000</v>
      </c>
    </row>
    <row r="61" spans="3:14" x14ac:dyDescent="0.25">
      <c r="D61" t="s">
        <v>107</v>
      </c>
      <c r="K61">
        <v>1267000</v>
      </c>
    </row>
    <row r="62" spans="3:14" x14ac:dyDescent="0.25">
      <c r="D62" t="s">
        <v>108</v>
      </c>
      <c r="K62">
        <f>SUM(K63:K65)</f>
        <v>165000</v>
      </c>
    </row>
    <row r="63" spans="3:14" x14ac:dyDescent="0.25">
      <c r="D63" t="s">
        <v>109</v>
      </c>
      <c r="K63">
        <v>1000</v>
      </c>
    </row>
    <row r="64" spans="3:14" x14ac:dyDescent="0.25">
      <c r="D64" t="s">
        <v>110</v>
      </c>
      <c r="K64">
        <v>150000</v>
      </c>
    </row>
    <row r="65" spans="3:11" x14ac:dyDescent="0.25">
      <c r="D65" t="s">
        <v>112</v>
      </c>
      <c r="K65">
        <v>14000</v>
      </c>
    </row>
    <row r="66" spans="3:11" x14ac:dyDescent="0.25">
      <c r="C66" t="s">
        <v>115</v>
      </c>
      <c r="D66" t="s">
        <v>106</v>
      </c>
      <c r="K66">
        <v>398000</v>
      </c>
    </row>
    <row r="67" spans="3:11" x14ac:dyDescent="0.25">
      <c r="D67" t="s">
        <v>107</v>
      </c>
      <c r="K67">
        <v>245000</v>
      </c>
    </row>
    <row r="68" spans="3:11" x14ac:dyDescent="0.25">
      <c r="D68" t="s">
        <v>108</v>
      </c>
      <c r="K68">
        <f>SUM(K69:K71)</f>
        <v>153000</v>
      </c>
    </row>
    <row r="69" spans="3:11" x14ac:dyDescent="0.25">
      <c r="D69" t="s">
        <v>109</v>
      </c>
      <c r="K69">
        <v>3000</v>
      </c>
    </row>
    <row r="70" spans="3:11" x14ac:dyDescent="0.25">
      <c r="D70" t="s">
        <v>110</v>
      </c>
      <c r="K70">
        <v>150000</v>
      </c>
    </row>
    <row r="71" spans="3:11" x14ac:dyDescent="0.25">
      <c r="D71" t="s">
        <v>112</v>
      </c>
      <c r="K71">
        <v>0</v>
      </c>
    </row>
    <row r="77" spans="3:11" x14ac:dyDescent="0.25">
      <c r="F77" s="42"/>
      <c r="G77" s="42"/>
      <c r="H77" s="42"/>
      <c r="I77" s="42"/>
      <c r="J77" s="42"/>
      <c r="K77" s="42"/>
    </row>
    <row r="81" spans="3:11" x14ac:dyDescent="0.25">
      <c r="F81" s="42"/>
      <c r="G81" s="42"/>
      <c r="H81" s="42"/>
      <c r="I81" s="42"/>
      <c r="J81" s="42"/>
      <c r="K81" s="42"/>
    </row>
    <row r="88" spans="3:11" x14ac:dyDescent="0.25">
      <c r="F88" s="44"/>
      <c r="G88" s="44"/>
      <c r="H88" s="44"/>
      <c r="I88" s="44"/>
      <c r="J88" s="44"/>
      <c r="K88" s="44"/>
    </row>
    <row r="89" spans="3:11" x14ac:dyDescent="0.25">
      <c r="F89" s="44"/>
      <c r="G89" s="44"/>
      <c r="H89" s="44"/>
      <c r="I89" s="44"/>
      <c r="J89" s="44"/>
      <c r="K89" s="44"/>
    </row>
    <row r="93" spans="3:11" x14ac:dyDescent="0.25">
      <c r="C93" s="40" t="s">
        <v>91</v>
      </c>
      <c r="D93" s="40"/>
      <c r="E93" s="40" t="s">
        <v>68</v>
      </c>
      <c r="F93" s="42">
        <v>2015</v>
      </c>
      <c r="G93" s="42">
        <v>2014</v>
      </c>
      <c r="H93" s="42">
        <v>2013</v>
      </c>
      <c r="I93" s="42">
        <v>2012</v>
      </c>
      <c r="J93" s="42">
        <v>2011</v>
      </c>
      <c r="K93" s="42">
        <v>2010</v>
      </c>
    </row>
    <row r="95" spans="3:11" x14ac:dyDescent="0.25">
      <c r="C95" t="s">
        <v>95</v>
      </c>
      <c r="D95" t="s">
        <v>116</v>
      </c>
      <c r="E95" t="s">
        <v>117</v>
      </c>
      <c r="F95">
        <v>89.1</v>
      </c>
    </row>
    <row r="96" spans="3:11" x14ac:dyDescent="0.25">
      <c r="C96" t="s">
        <v>118</v>
      </c>
      <c r="D96" t="s">
        <v>119</v>
      </c>
      <c r="E96" t="s">
        <v>120</v>
      </c>
      <c r="F96">
        <v>987.1851524524966</v>
      </c>
      <c r="G96">
        <v>1009.3930229438971</v>
      </c>
      <c r="H96">
        <v>979.16639813704899</v>
      </c>
      <c r="I96">
        <v>977.28929701756078</v>
      </c>
      <c r="J96">
        <v>969.97009644947991</v>
      </c>
      <c r="K96">
        <v>965.15643523529718</v>
      </c>
    </row>
    <row r="97" spans="3:13" x14ac:dyDescent="0.25">
      <c r="C97" t="s">
        <v>121</v>
      </c>
      <c r="D97" t="s">
        <v>122</v>
      </c>
      <c r="E97" t="s">
        <v>123</v>
      </c>
      <c r="F97">
        <v>94.6</v>
      </c>
    </row>
    <row r="98" spans="3:13" x14ac:dyDescent="0.25">
      <c r="C98" t="s">
        <v>124</v>
      </c>
      <c r="D98" t="s">
        <v>122</v>
      </c>
      <c r="E98" t="s">
        <v>123</v>
      </c>
      <c r="F98">
        <v>56.1</v>
      </c>
    </row>
    <row r="100" spans="3:13" x14ac:dyDescent="0.25">
      <c r="C100" t="s">
        <v>125</v>
      </c>
      <c r="D100" t="s">
        <v>126</v>
      </c>
      <c r="E100" t="s">
        <v>127</v>
      </c>
      <c r="F100" s="31">
        <v>1792042.3623497023</v>
      </c>
      <c r="G100" s="31">
        <v>1746828.3256456784</v>
      </c>
      <c r="H100" s="31">
        <v>1877673.9350115363</v>
      </c>
      <c r="I100" s="31">
        <v>1952431.0045724832</v>
      </c>
      <c r="J100" s="31">
        <v>1965389.932780188</v>
      </c>
      <c r="K100" s="31">
        <v>1906556.988763466</v>
      </c>
    </row>
    <row r="101" spans="3:13" x14ac:dyDescent="0.25">
      <c r="D101" t="s">
        <v>128</v>
      </c>
      <c r="E101" t="s">
        <v>127</v>
      </c>
      <c r="F101" s="31">
        <v>1905056.7724536986</v>
      </c>
      <c r="G101" s="31">
        <v>1625067.4622548795</v>
      </c>
      <c r="H101" s="31">
        <v>1821956.5619959701</v>
      </c>
      <c r="I101" s="31">
        <v>1770027.3553894197</v>
      </c>
      <c r="J101" s="31">
        <v>1897330.3869182498</v>
      </c>
      <c r="K101" s="31">
        <v>1879681.8413741563</v>
      </c>
    </row>
    <row r="102" spans="3:13" x14ac:dyDescent="0.25">
      <c r="D102" t="s">
        <v>129</v>
      </c>
      <c r="E102" t="s">
        <v>127</v>
      </c>
      <c r="F102" s="31">
        <v>1678692.6936414095</v>
      </c>
      <c r="G102" s="31">
        <v>1278842.5802249652</v>
      </c>
      <c r="H102" s="31">
        <v>1374969.4187085661</v>
      </c>
      <c r="I102" s="31">
        <v>1374147.690436556</v>
      </c>
      <c r="J102" s="31">
        <v>1338628.8589815947</v>
      </c>
      <c r="K102" s="31">
        <v>1237778.4626565641</v>
      </c>
    </row>
    <row r="103" spans="3:13" x14ac:dyDescent="0.25">
      <c r="D103" s="45" t="s">
        <v>130</v>
      </c>
      <c r="E103" s="45" t="s">
        <v>127</v>
      </c>
      <c r="F103" s="46">
        <v>454562.38443848962</v>
      </c>
      <c r="G103" s="46">
        <v>275650.86858760257</v>
      </c>
      <c r="H103" s="46">
        <v>253795.61304237615</v>
      </c>
      <c r="I103" s="46">
        <v>234313.0463949024</v>
      </c>
      <c r="J103" s="46">
        <v>243362.35457187385</v>
      </c>
      <c r="K103" s="46">
        <v>240382.31735477556</v>
      </c>
    </row>
    <row r="104" spans="3:13" x14ac:dyDescent="0.25">
      <c r="D104" t="s">
        <v>131</v>
      </c>
      <c r="E104" t="s">
        <v>127</v>
      </c>
      <c r="F104" s="31">
        <f>SUM(F100:F103)</f>
        <v>5830354.2128833001</v>
      </c>
      <c r="G104" s="31">
        <f t="shared" ref="G104:K104" si="1">SUM(G100:G103)</f>
        <v>4926389.2367131254</v>
      </c>
      <c r="H104" s="31">
        <f t="shared" si="1"/>
        <v>5328395.5287584485</v>
      </c>
      <c r="I104" s="31">
        <f t="shared" si="1"/>
        <v>5330919.096793361</v>
      </c>
      <c r="J104" s="31">
        <f t="shared" si="1"/>
        <v>5444711.5332519067</v>
      </c>
      <c r="K104" s="31">
        <f t="shared" si="1"/>
        <v>5264399.6101489626</v>
      </c>
    </row>
    <row r="106" spans="3:13" x14ac:dyDescent="0.25">
      <c r="C106" t="s">
        <v>125</v>
      </c>
      <c r="D106" t="s">
        <v>126</v>
      </c>
      <c r="E106" t="s">
        <v>132</v>
      </c>
      <c r="F106">
        <f t="shared" ref="F106:K110" si="2">F100/F$112</f>
        <v>49.360759188808764</v>
      </c>
      <c r="G106">
        <f t="shared" si="2"/>
        <v>59.028429886989436</v>
      </c>
      <c r="H106">
        <f t="shared" si="2"/>
        <v>51.984328211836555</v>
      </c>
      <c r="I106">
        <f t="shared" si="2"/>
        <v>55.105162275196392</v>
      </c>
      <c r="J106">
        <f t="shared" si="2"/>
        <v>50.815469989404249</v>
      </c>
      <c r="K106">
        <f t="shared" si="2"/>
        <v>45.933384459572267</v>
      </c>
    </row>
    <row r="107" spans="3:13" x14ac:dyDescent="0.25">
      <c r="D107" t="s">
        <v>128</v>
      </c>
      <c r="E107" t="s">
        <v>132</v>
      </c>
      <c r="F107">
        <f t="shared" si="2"/>
        <v>52.473675043484327</v>
      </c>
      <c r="G107">
        <f t="shared" si="2"/>
        <v>54.913914177504125</v>
      </c>
      <c r="H107">
        <f t="shared" si="2"/>
        <v>50.441765282280457</v>
      </c>
      <c r="I107">
        <f t="shared" si="2"/>
        <v>49.957025073789048</v>
      </c>
      <c r="J107">
        <f t="shared" si="2"/>
        <v>49.055779582652477</v>
      </c>
      <c r="K107">
        <f t="shared" si="2"/>
        <v>45.28589976086338</v>
      </c>
    </row>
    <row r="108" spans="3:13" x14ac:dyDescent="0.25">
      <c r="D108" t="s">
        <v>129</v>
      </c>
      <c r="E108" t="s">
        <v>132</v>
      </c>
      <c r="F108">
        <f t="shared" si="2"/>
        <v>46.238608831880171</v>
      </c>
      <c r="G108">
        <f t="shared" si="2"/>
        <v>43.214360836176297</v>
      </c>
      <c r="H108">
        <f t="shared" si="2"/>
        <v>38.06670594431246</v>
      </c>
      <c r="I108">
        <f t="shared" si="2"/>
        <v>38.783768181438738</v>
      </c>
      <c r="J108">
        <f t="shared" si="2"/>
        <v>34.610462522470584</v>
      </c>
      <c r="K108">
        <f t="shared" si="2"/>
        <v>29.820957011023783</v>
      </c>
    </row>
    <row r="109" spans="3:13" x14ac:dyDescent="0.25">
      <c r="D109" s="45" t="s">
        <v>130</v>
      </c>
      <c r="E109" s="45" t="s">
        <v>132</v>
      </c>
      <c r="F109" s="45">
        <f t="shared" si="2"/>
        <v>12.520655128453095</v>
      </c>
      <c r="G109" s="45">
        <f t="shared" si="2"/>
        <v>9.3147321524550595</v>
      </c>
      <c r="H109" s="45">
        <f t="shared" si="2"/>
        <v>7.0264566180059846</v>
      </c>
      <c r="I109" s="45">
        <f t="shared" si="2"/>
        <v>6.6132213709718153</v>
      </c>
      <c r="J109" s="45">
        <f t="shared" si="2"/>
        <v>6.2921724686990679</v>
      </c>
      <c r="K109" s="45">
        <f t="shared" si="2"/>
        <v>5.7913681392241205</v>
      </c>
    </row>
    <row r="110" spans="3:13" x14ac:dyDescent="0.25">
      <c r="F110">
        <f t="shared" si="2"/>
        <v>160.59369819262636</v>
      </c>
      <c r="G110">
        <f t="shared" si="2"/>
        <v>166.4714370531249</v>
      </c>
      <c r="H110">
        <f t="shared" si="2"/>
        <v>147.51925605643547</v>
      </c>
      <c r="I110">
        <f t="shared" si="2"/>
        <v>150.45917690139598</v>
      </c>
      <c r="J110">
        <f t="shared" si="2"/>
        <v>140.77388456322637</v>
      </c>
      <c r="K110">
        <f t="shared" si="2"/>
        <v>126.83160937068357</v>
      </c>
    </row>
    <row r="112" spans="3:13" x14ac:dyDescent="0.25">
      <c r="E112" t="s">
        <v>133</v>
      </c>
      <c r="F112">
        <v>36305</v>
      </c>
      <c r="G112">
        <v>29593</v>
      </c>
      <c r="H112">
        <v>36120</v>
      </c>
      <c r="I112">
        <v>35431</v>
      </c>
      <c r="J112">
        <v>38677</v>
      </c>
      <c r="K112">
        <v>41507</v>
      </c>
      <c r="M112" t="s">
        <v>134</v>
      </c>
    </row>
    <row r="113" spans="3:11" x14ac:dyDescent="0.25">
      <c r="E113" t="s">
        <v>135</v>
      </c>
      <c r="F113" s="31">
        <v>119986.20425240014</v>
      </c>
      <c r="G113" s="31">
        <v>88750.944700000007</v>
      </c>
      <c r="H113" s="31">
        <v>113947.9803</v>
      </c>
      <c r="I113" s="31">
        <v>116218.77524999999</v>
      </c>
      <c r="J113" s="31">
        <v>122347.93715000003</v>
      </c>
      <c r="K113" s="31">
        <v>120374.81194999997</v>
      </c>
    </row>
    <row r="115" spans="3:11" x14ac:dyDescent="0.25">
      <c r="D115" t="s">
        <v>64</v>
      </c>
      <c r="E115" t="s">
        <v>136</v>
      </c>
      <c r="F115" s="44">
        <f t="shared" ref="F115:K115" si="3">F40/(F112)</f>
        <v>15.452417022448699</v>
      </c>
      <c r="G115" s="44">
        <f t="shared" si="3"/>
        <v>18.484100969823945</v>
      </c>
      <c r="H115" s="44">
        <f t="shared" si="3"/>
        <v>15.448504983388704</v>
      </c>
      <c r="I115" s="44">
        <f t="shared" si="3"/>
        <v>15.043323643137365</v>
      </c>
      <c r="J115" s="44">
        <f t="shared" si="3"/>
        <v>13.987641233808207</v>
      </c>
      <c r="K115" s="44">
        <f t="shared" si="3"/>
        <v>11.010191052111692</v>
      </c>
    </row>
    <row r="116" spans="3:11" x14ac:dyDescent="0.25">
      <c r="D116" t="s">
        <v>66</v>
      </c>
      <c r="E116" t="s">
        <v>136</v>
      </c>
      <c r="F116" s="44">
        <f t="shared" ref="F116:K116" si="4">F41/F112</f>
        <v>146.42611210577056</v>
      </c>
      <c r="G116" s="44">
        <f t="shared" si="4"/>
        <v>162.77498056972934</v>
      </c>
      <c r="H116" s="44">
        <f t="shared" si="4"/>
        <v>148.88589451827241</v>
      </c>
      <c r="I116" s="44">
        <f t="shared" si="4"/>
        <v>147.04637182128644</v>
      </c>
      <c r="J116" s="44">
        <f t="shared" si="4"/>
        <v>140.91061871396437</v>
      </c>
      <c r="K116" s="44">
        <f t="shared" si="4"/>
        <v>124.17182643891393</v>
      </c>
    </row>
    <row r="117" spans="3:11" x14ac:dyDescent="0.25">
      <c r="D117" t="s">
        <v>79</v>
      </c>
      <c r="E117" t="s">
        <v>136</v>
      </c>
      <c r="F117" s="44">
        <f>F42/F112</f>
        <v>40.875912408759127</v>
      </c>
      <c r="G117" s="44">
        <f t="shared" ref="G117:K117" si="5">G42/G112</f>
        <v>43.929307606528567</v>
      </c>
      <c r="H117" s="44">
        <f t="shared" si="5"/>
        <v>34.874501661129571</v>
      </c>
      <c r="I117" s="44">
        <f t="shared" si="5"/>
        <v>50.746521407806725</v>
      </c>
      <c r="J117" s="44">
        <f t="shared" si="5"/>
        <v>0</v>
      </c>
      <c r="K117" s="44">
        <f t="shared" si="5"/>
        <v>0</v>
      </c>
    </row>
    <row r="118" spans="3:11" x14ac:dyDescent="0.25">
      <c r="D118" t="s">
        <v>137</v>
      </c>
      <c r="E118" t="s">
        <v>136</v>
      </c>
      <c r="F118" s="44">
        <f>F115+F116+F117</f>
        <v>202.75444153697839</v>
      </c>
      <c r="G118" s="44">
        <f t="shared" ref="G118:K118" si="6">G115+G116+G117</f>
        <v>225.18838914608185</v>
      </c>
      <c r="H118" s="44">
        <f t="shared" si="6"/>
        <v>199.20890116279071</v>
      </c>
      <c r="I118" s="44">
        <f t="shared" si="6"/>
        <v>212.83621687223052</v>
      </c>
      <c r="J118" s="44">
        <f t="shared" si="6"/>
        <v>154.89825994777257</v>
      </c>
      <c r="K118" s="44">
        <f t="shared" si="6"/>
        <v>135.18201749102562</v>
      </c>
    </row>
    <row r="119" spans="3:11" x14ac:dyDescent="0.25">
      <c r="D119" t="s">
        <v>138</v>
      </c>
      <c r="E119" t="s">
        <v>136</v>
      </c>
      <c r="F119" s="44">
        <f>F115+F116</f>
        <v>161.87852912821927</v>
      </c>
      <c r="G119" s="44">
        <f>G115+G116</f>
        <v>181.25908153955328</v>
      </c>
      <c r="H119" s="44">
        <f t="shared" ref="H119:K119" si="7">H115+H116</f>
        <v>164.33439950166112</v>
      </c>
      <c r="I119" s="44">
        <f t="shared" si="7"/>
        <v>162.08969546442381</v>
      </c>
      <c r="J119" s="44">
        <f t="shared" si="7"/>
        <v>154.89825994777257</v>
      </c>
      <c r="K119" s="44">
        <f t="shared" si="7"/>
        <v>135.18201749102562</v>
      </c>
    </row>
    <row r="120" spans="3:11" x14ac:dyDescent="0.25">
      <c r="F120" s="44"/>
      <c r="G120" s="44"/>
      <c r="H120" s="44"/>
      <c r="I120" s="44"/>
      <c r="J120" s="44"/>
      <c r="K120" s="44"/>
    </row>
    <row r="121" spans="3:11" x14ac:dyDescent="0.25">
      <c r="C121" s="47" t="s">
        <v>139</v>
      </c>
      <c r="D121" s="47"/>
      <c r="E121" s="47" t="s">
        <v>68</v>
      </c>
      <c r="F121" s="48">
        <v>2015</v>
      </c>
      <c r="G121" s="48">
        <v>2014</v>
      </c>
      <c r="H121" s="48">
        <v>2013</v>
      </c>
      <c r="I121" s="48">
        <v>2012</v>
      </c>
      <c r="J121" s="48">
        <v>2011</v>
      </c>
      <c r="K121" s="48">
        <v>2010</v>
      </c>
    </row>
    <row r="122" spans="3:11" x14ac:dyDescent="0.25">
      <c r="E122" t="s">
        <v>133</v>
      </c>
      <c r="F122">
        <v>11810</v>
      </c>
      <c r="G122">
        <v>6091</v>
      </c>
      <c r="H122">
        <v>11822</v>
      </c>
      <c r="I122">
        <v>10799</v>
      </c>
      <c r="J122">
        <v>12037</v>
      </c>
      <c r="K122">
        <v>12035</v>
      </c>
    </row>
    <row r="123" spans="3:11" x14ac:dyDescent="0.25">
      <c r="E123" t="s">
        <v>135</v>
      </c>
      <c r="F123" s="31">
        <v>39963.10429451352</v>
      </c>
      <c r="G123" s="31">
        <v>21872.282539243286</v>
      </c>
      <c r="H123" s="31">
        <v>36846.890486363416</v>
      </c>
      <c r="I123" s="31">
        <v>35350.432374753145</v>
      </c>
      <c r="J123" s="31">
        <v>36445.217046558966</v>
      </c>
      <c r="K123" s="31">
        <v>33644.947034031931</v>
      </c>
    </row>
    <row r="125" spans="3:11" x14ac:dyDescent="0.25">
      <c r="D125" t="s">
        <v>64</v>
      </c>
      <c r="E125" t="s">
        <v>136</v>
      </c>
      <c r="F125" s="44">
        <f t="shared" ref="F125:K125" si="8">F19/F122</f>
        <v>7.1381964436917871</v>
      </c>
      <c r="G125" s="44">
        <f t="shared" si="8"/>
        <v>9.7849285831554749</v>
      </c>
      <c r="H125" s="44">
        <f t="shared" si="8"/>
        <v>8.6195229233632205</v>
      </c>
      <c r="I125" s="44">
        <f t="shared" si="8"/>
        <v>9.028613760533382</v>
      </c>
      <c r="J125" s="44">
        <f t="shared" si="8"/>
        <v>8.411398188917504</v>
      </c>
      <c r="K125" s="44">
        <f t="shared" si="8"/>
        <v>8.4835895305359372</v>
      </c>
    </row>
    <row r="126" spans="3:11" x14ac:dyDescent="0.25">
      <c r="D126" t="s">
        <v>66</v>
      </c>
      <c r="E126" t="s">
        <v>136</v>
      </c>
      <c r="F126" s="44">
        <f t="shared" ref="F126:K126" si="9">F20/F122</f>
        <v>141.3623200677392</v>
      </c>
      <c r="G126" s="44">
        <f t="shared" si="9"/>
        <v>187.63749794779181</v>
      </c>
      <c r="H126" s="44">
        <f t="shared" si="9"/>
        <v>130.27406530197936</v>
      </c>
      <c r="I126" s="44">
        <f t="shared" si="9"/>
        <v>136.19779609223076</v>
      </c>
      <c r="J126" s="44">
        <f t="shared" si="9"/>
        <v>128.08399102766469</v>
      </c>
      <c r="K126" s="44">
        <f t="shared" si="9"/>
        <v>118.67054424594932</v>
      </c>
    </row>
    <row r="127" spans="3:11" x14ac:dyDescent="0.25">
      <c r="D127" t="s">
        <v>79</v>
      </c>
      <c r="E127" t="s">
        <v>136</v>
      </c>
      <c r="F127" s="44">
        <f t="shared" ref="F127:K127" si="10">F25/F122</f>
        <v>0.33022861981371721</v>
      </c>
      <c r="G127" s="44">
        <f t="shared" si="10"/>
        <v>0.45673945164997537</v>
      </c>
      <c r="H127" s="44">
        <f t="shared" si="10"/>
        <v>0.38276095415327355</v>
      </c>
      <c r="I127" s="44">
        <f t="shared" si="10"/>
        <v>0.34392073340124085</v>
      </c>
      <c r="J127" s="44">
        <f t="shared" si="10"/>
        <v>0.44429675168231286</v>
      </c>
      <c r="K127" s="44">
        <f t="shared" si="10"/>
        <v>0.34067303697548817</v>
      </c>
    </row>
    <row r="128" spans="3:11" x14ac:dyDescent="0.25">
      <c r="D128" t="s">
        <v>137</v>
      </c>
      <c r="E128" t="s">
        <v>136</v>
      </c>
      <c r="F128" s="44">
        <f>F127+F126+F125</f>
        <v>148.8307451312447</v>
      </c>
      <c r="G128" s="44">
        <f t="shared" ref="G128:K128" si="11">G127+G126+G125</f>
        <v>197.87916598259727</v>
      </c>
      <c r="H128" s="44">
        <f t="shared" si="11"/>
        <v>139.27634917949587</v>
      </c>
      <c r="I128" s="44">
        <f t="shared" si="11"/>
        <v>145.57033058616537</v>
      </c>
      <c r="J128" s="44">
        <f t="shared" si="11"/>
        <v>136.93968596826451</v>
      </c>
      <c r="K128" s="44">
        <f t="shared" si="11"/>
        <v>127.49480681346074</v>
      </c>
    </row>
    <row r="129" spans="3:13" x14ac:dyDescent="0.25">
      <c r="D129" t="s">
        <v>138</v>
      </c>
      <c r="E129" t="s">
        <v>136</v>
      </c>
      <c r="F129" s="44">
        <f>F126+F125</f>
        <v>148.50051651143099</v>
      </c>
      <c r="G129" s="44">
        <f t="shared" ref="G129:K129" si="12">G126+G125</f>
        <v>197.42242653094729</v>
      </c>
      <c r="H129" s="44">
        <f t="shared" si="12"/>
        <v>138.89358822534257</v>
      </c>
      <c r="I129" s="44">
        <f t="shared" si="12"/>
        <v>145.22640985276414</v>
      </c>
      <c r="J129" s="44">
        <f t="shared" si="12"/>
        <v>136.4953892165822</v>
      </c>
      <c r="K129" s="44">
        <f t="shared" si="12"/>
        <v>127.15413377648525</v>
      </c>
    </row>
    <row r="132" spans="3:13" x14ac:dyDescent="0.25">
      <c r="C132" s="30" t="s">
        <v>63</v>
      </c>
      <c r="D132" s="30"/>
      <c r="E132" s="30"/>
      <c r="F132" s="30">
        <v>2015</v>
      </c>
      <c r="G132" s="30">
        <v>2014</v>
      </c>
      <c r="H132" s="30">
        <v>2013</v>
      </c>
      <c r="I132" s="30">
        <v>2012</v>
      </c>
      <c r="J132" s="30">
        <v>2011</v>
      </c>
      <c r="K132" s="30">
        <v>2010</v>
      </c>
    </row>
    <row r="133" spans="3:13" x14ac:dyDescent="0.25">
      <c r="E133" t="s">
        <v>133</v>
      </c>
      <c r="F133">
        <v>16024</v>
      </c>
      <c r="G133">
        <v>13916</v>
      </c>
      <c r="H133">
        <v>17209</v>
      </c>
      <c r="I133">
        <v>16626</v>
      </c>
      <c r="J133">
        <v>19819</v>
      </c>
      <c r="K133">
        <v>19171</v>
      </c>
      <c r="M133" t="s">
        <v>140</v>
      </c>
    </row>
    <row r="134" spans="3:13" x14ac:dyDescent="0.25">
      <c r="E134" t="s">
        <v>135</v>
      </c>
      <c r="F134" s="31">
        <v>56321.951649999988</v>
      </c>
      <c r="G134" s="31">
        <v>48837.683649999999</v>
      </c>
      <c r="H134" s="31">
        <v>65405.131450000001</v>
      </c>
      <c r="I134" s="31">
        <v>60934.415300000001</v>
      </c>
      <c r="J134" s="31">
        <v>74573.359750000003</v>
      </c>
      <c r="K134" s="31">
        <v>70264.235749999993</v>
      </c>
    </row>
    <row r="136" spans="3:13" x14ac:dyDescent="0.25">
      <c r="D136" t="s">
        <v>64</v>
      </c>
      <c r="E136" t="s">
        <v>136</v>
      </c>
      <c r="F136">
        <f>F4/F$133</f>
        <v>21.779830254618073</v>
      </c>
      <c r="G136">
        <f t="shared" ref="G136:K137" si="13">G4/G$133</f>
        <v>23.210692727795344</v>
      </c>
      <c r="H136">
        <f t="shared" si="13"/>
        <v>23.301760706607009</v>
      </c>
      <c r="I136">
        <f t="shared" si="13"/>
        <v>25.141344881510886</v>
      </c>
      <c r="J136">
        <f t="shared" si="13"/>
        <v>21.999091780614563</v>
      </c>
      <c r="K136">
        <f t="shared" si="13"/>
        <v>20.604037348077824</v>
      </c>
    </row>
    <row r="137" spans="3:13" x14ac:dyDescent="0.25">
      <c r="D137" t="s">
        <v>66</v>
      </c>
      <c r="E137" t="s">
        <v>136</v>
      </c>
      <c r="F137">
        <f>F5/F$133</f>
        <v>187.34398402396405</v>
      </c>
      <c r="G137">
        <f t="shared" si="13"/>
        <v>195.02730669732682</v>
      </c>
      <c r="H137">
        <f t="shared" si="13"/>
        <v>196.81561973386019</v>
      </c>
      <c r="I137">
        <f t="shared" si="13"/>
        <v>197.82268735715144</v>
      </c>
      <c r="J137">
        <f t="shared" si="13"/>
        <v>180.98794086482667</v>
      </c>
      <c r="K137">
        <f t="shared" si="13"/>
        <v>185.64498461217462</v>
      </c>
    </row>
    <row r="138" spans="3:13" x14ac:dyDescent="0.25">
      <c r="D138" t="s">
        <v>79</v>
      </c>
    </row>
    <row r="139" spans="3:13" x14ac:dyDescent="0.25">
      <c r="D139" t="s">
        <v>137</v>
      </c>
      <c r="E139" t="s">
        <v>136</v>
      </c>
    </row>
    <row r="140" spans="3:13" x14ac:dyDescent="0.25">
      <c r="D140" t="s">
        <v>138</v>
      </c>
      <c r="E140" t="s">
        <v>136</v>
      </c>
      <c r="F140">
        <f>F137+F136</f>
        <v>209.12381427858213</v>
      </c>
      <c r="G140">
        <f t="shared" ref="G140:K140" si="14">G137+G136</f>
        <v>218.23799942512215</v>
      </c>
      <c r="H140">
        <f t="shared" si="14"/>
        <v>220.1173804404672</v>
      </c>
      <c r="I140">
        <f t="shared" si="14"/>
        <v>222.96403223866233</v>
      </c>
      <c r="J140">
        <f t="shared" si="14"/>
        <v>202.98703264544122</v>
      </c>
      <c r="K140">
        <f t="shared" si="14"/>
        <v>206.24902196025243</v>
      </c>
    </row>
    <row r="143" spans="3:13" x14ac:dyDescent="0.25">
      <c r="C143" s="49" t="s">
        <v>141</v>
      </c>
      <c r="D143" s="49"/>
      <c r="E143" s="49" t="s">
        <v>68</v>
      </c>
      <c r="F143" s="50">
        <v>2015</v>
      </c>
      <c r="G143" s="50">
        <v>2014</v>
      </c>
      <c r="H143" s="50">
        <v>2013</v>
      </c>
      <c r="I143" s="50">
        <v>2012</v>
      </c>
      <c r="J143" s="50">
        <v>2011</v>
      </c>
      <c r="K143" s="50">
        <v>2010</v>
      </c>
    </row>
    <row r="144" spans="3:13" x14ac:dyDescent="0.25">
      <c r="E144" t="s">
        <v>133</v>
      </c>
      <c r="F144" s="31">
        <v>3646.759</v>
      </c>
      <c r="G144" s="31">
        <v>3241.2649999999999</v>
      </c>
      <c r="H144" s="31">
        <v>2376.5010000000002</v>
      </c>
      <c r="I144" s="31">
        <v>3143.6769999999997</v>
      </c>
      <c r="J144" s="31">
        <v>2930.8450000000003</v>
      </c>
      <c r="K144" s="31">
        <v>2188.2249999999999</v>
      </c>
    </row>
    <row r="145" spans="3:13" x14ac:dyDescent="0.25">
      <c r="E145" t="s">
        <v>135</v>
      </c>
      <c r="F145" s="31">
        <v>11238.252090999998</v>
      </c>
      <c r="G145" s="31">
        <v>11238.252090999998</v>
      </c>
      <c r="H145" s="31">
        <v>9755.8283864999994</v>
      </c>
      <c r="I145" s="31">
        <v>11594.038316000002</v>
      </c>
      <c r="J145" s="31">
        <v>12408.2076065</v>
      </c>
      <c r="K145" s="31">
        <v>11491.171710500001</v>
      </c>
    </row>
    <row r="147" spans="3:13" x14ac:dyDescent="0.25">
      <c r="D147" t="s">
        <v>64</v>
      </c>
      <c r="E147" t="s">
        <v>136</v>
      </c>
      <c r="F147">
        <v>9.8937165850553868</v>
      </c>
      <c r="G147">
        <v>7.2351381327969175</v>
      </c>
      <c r="H147">
        <v>6.5259808432649509</v>
      </c>
      <c r="I147">
        <v>4.8990402003768203</v>
      </c>
      <c r="J147">
        <v>4.9013168557190836</v>
      </c>
      <c r="K147">
        <v>7.6756275063121944</v>
      </c>
      <c r="M147" t="s">
        <v>142</v>
      </c>
    </row>
    <row r="148" spans="3:13" x14ac:dyDescent="0.25">
      <c r="D148" t="s">
        <v>66</v>
      </c>
      <c r="E148" t="s">
        <v>136</v>
      </c>
      <c r="F148">
        <v>210.55271269639698</v>
      </c>
      <c r="G148">
        <v>183.90319828832261</v>
      </c>
      <c r="H148">
        <v>254.57931639835201</v>
      </c>
      <c r="I148">
        <v>194.43600598916493</v>
      </c>
      <c r="J148">
        <v>211.52500388113324</v>
      </c>
      <c r="K148">
        <v>301.12625529824402</v>
      </c>
      <c r="M148" t="s">
        <v>143</v>
      </c>
    </row>
    <row r="149" spans="3:13" x14ac:dyDescent="0.25">
      <c r="D149" t="s">
        <v>79</v>
      </c>
      <c r="E149" t="s">
        <v>136</v>
      </c>
      <c r="F149">
        <v>0.2045652043362339</v>
      </c>
      <c r="G149">
        <v>0.17894248079067895</v>
      </c>
      <c r="H149">
        <v>0.27982315176808253</v>
      </c>
      <c r="I149">
        <v>0.25925055277625536</v>
      </c>
      <c r="J149">
        <v>0.37156519706773983</v>
      </c>
      <c r="K149">
        <v>0.63430405922608513</v>
      </c>
    </row>
    <row r="150" spans="3:13" x14ac:dyDescent="0.25">
      <c r="D150" t="s">
        <v>137</v>
      </c>
      <c r="E150" t="s">
        <v>136</v>
      </c>
      <c r="F150" s="44">
        <f>F149+F148+F147</f>
        <v>220.6509944857886</v>
      </c>
      <c r="G150" s="44">
        <f t="shared" ref="G150:K150" si="15">G149+G148+G147</f>
        <v>191.31727890191021</v>
      </c>
      <c r="H150" s="44">
        <f t="shared" si="15"/>
        <v>261.38512039338502</v>
      </c>
      <c r="I150" s="44">
        <f t="shared" si="15"/>
        <v>199.59429674231799</v>
      </c>
      <c r="J150" s="44">
        <f t="shared" si="15"/>
        <v>216.79788593392007</v>
      </c>
      <c r="K150" s="44">
        <f t="shared" si="15"/>
        <v>309.43618686378232</v>
      </c>
    </row>
    <row r="151" spans="3:13" x14ac:dyDescent="0.25">
      <c r="D151" t="s">
        <v>138</v>
      </c>
      <c r="E151" t="s">
        <v>136</v>
      </c>
      <c r="F151" s="44">
        <f>F148+F147</f>
        <v>220.44642928145237</v>
      </c>
      <c r="G151" s="44">
        <f t="shared" ref="G151:K151" si="16">G148+G147</f>
        <v>191.13833642111953</v>
      </c>
      <c r="H151" s="44">
        <f t="shared" si="16"/>
        <v>261.10529724161694</v>
      </c>
      <c r="I151" s="44">
        <f t="shared" si="16"/>
        <v>199.33504618954174</v>
      </c>
      <c r="J151" s="44">
        <f t="shared" si="16"/>
        <v>216.42632073685232</v>
      </c>
      <c r="K151" s="44">
        <f t="shared" si="16"/>
        <v>308.80188280455621</v>
      </c>
    </row>
    <row r="154" spans="3:13" x14ac:dyDescent="0.25">
      <c r="C154" s="51" t="s">
        <v>144</v>
      </c>
      <c r="D154" s="51"/>
      <c r="E154" s="51"/>
      <c r="F154" s="52">
        <v>2015</v>
      </c>
      <c r="G154" s="52">
        <v>2014</v>
      </c>
      <c r="H154" s="52">
        <v>2013</v>
      </c>
      <c r="I154" s="52">
        <v>2012</v>
      </c>
      <c r="J154" s="52">
        <v>2011</v>
      </c>
      <c r="K154" s="52">
        <v>2010</v>
      </c>
    </row>
    <row r="155" spans="3:13" x14ac:dyDescent="0.25">
      <c r="E155" t="s">
        <v>133</v>
      </c>
      <c r="F155" s="53">
        <v>2461</v>
      </c>
      <c r="G155" s="53">
        <v>2479</v>
      </c>
      <c r="H155" s="53">
        <v>2301</v>
      </c>
      <c r="I155" s="53">
        <v>2375</v>
      </c>
      <c r="J155" s="53">
        <v>2305</v>
      </c>
      <c r="K155" s="53">
        <v>2407</v>
      </c>
    </row>
    <row r="156" spans="3:13" x14ac:dyDescent="0.25">
      <c r="E156" t="s">
        <v>135</v>
      </c>
      <c r="F156" s="54">
        <v>7026.8572215019767</v>
      </c>
      <c r="G156" s="54">
        <v>6477.1682602371538</v>
      </c>
      <c r="H156" s="54">
        <v>6922.3179111111112</v>
      </c>
      <c r="I156" s="54">
        <v>7249.4396416666668</v>
      </c>
      <c r="J156" s="54">
        <v>8364.8318195000011</v>
      </c>
      <c r="K156" s="54">
        <v>8954.1045265000012</v>
      </c>
    </row>
    <row r="158" spans="3:13" x14ac:dyDescent="0.25">
      <c r="C158" t="s">
        <v>145</v>
      </c>
      <c r="F158">
        <v>304674</v>
      </c>
      <c r="G158">
        <v>326606</v>
      </c>
      <c r="H158">
        <v>292773</v>
      </c>
      <c r="I158">
        <v>320017</v>
      </c>
      <c r="J158">
        <v>300396</v>
      </c>
      <c r="K158">
        <v>304503</v>
      </c>
      <c r="M158" t="s">
        <v>146</v>
      </c>
    </row>
    <row r="160" spans="3:13" x14ac:dyDescent="0.25">
      <c r="C160" t="s">
        <v>138</v>
      </c>
      <c r="D160" t="s">
        <v>136</v>
      </c>
      <c r="F160">
        <v>123.80089394555058</v>
      </c>
      <c r="G160">
        <v>131.74909237595804</v>
      </c>
      <c r="H160">
        <v>127.23728813559322</v>
      </c>
      <c r="I160">
        <v>134.744</v>
      </c>
      <c r="J160">
        <v>130.32364425162689</v>
      </c>
      <c r="K160">
        <v>126.50727046115496</v>
      </c>
    </row>
    <row r="164" spans="3:14" x14ac:dyDescent="0.25">
      <c r="C164" s="55" t="s">
        <v>147</v>
      </c>
      <c r="D164" s="55"/>
      <c r="E164" s="55"/>
      <c r="F164" s="56">
        <v>2015</v>
      </c>
      <c r="G164" s="56">
        <v>2014</v>
      </c>
      <c r="H164" s="56">
        <v>2013</v>
      </c>
      <c r="I164" s="56">
        <v>2012</v>
      </c>
      <c r="J164" s="56">
        <v>2011</v>
      </c>
      <c r="K164" s="56">
        <v>2010</v>
      </c>
    </row>
    <row r="166" spans="3:14" x14ac:dyDescent="0.25">
      <c r="D166" t="s">
        <v>148</v>
      </c>
      <c r="E166" t="s">
        <v>149</v>
      </c>
      <c r="F166" s="31">
        <v>5097.3599999999997</v>
      </c>
      <c r="G166" s="31">
        <v>5251</v>
      </c>
      <c r="H166" s="31">
        <v>5338</v>
      </c>
      <c r="I166" s="31">
        <v>5327</v>
      </c>
      <c r="J166" s="31">
        <v>5234</v>
      </c>
      <c r="K166" s="31">
        <v>5206</v>
      </c>
      <c r="M166" t="s">
        <v>150</v>
      </c>
    </row>
    <row r="167" spans="3:14" x14ac:dyDescent="0.25">
      <c r="F167" s="31">
        <v>25917.1129</v>
      </c>
      <c r="G167" s="31">
        <v>24105.579849999998</v>
      </c>
      <c r="H167" s="31">
        <v>27623.752799999998</v>
      </c>
      <c r="I167" s="31">
        <v>26464.258249999999</v>
      </c>
      <c r="J167" s="31">
        <v>26387.714599999999</v>
      </c>
      <c r="K167" s="31">
        <v>27011.403600000001</v>
      </c>
    </row>
    <row r="169" spans="3:14" x14ac:dyDescent="0.25">
      <c r="D169" t="s">
        <v>151</v>
      </c>
      <c r="E169" t="s">
        <v>136</v>
      </c>
      <c r="F169">
        <f>0.089*1000</f>
        <v>89</v>
      </c>
      <c r="G169">
        <f>77</f>
        <v>77</v>
      </c>
      <c r="H169">
        <v>79</v>
      </c>
      <c r="I169">
        <v>82</v>
      </c>
      <c r="J169">
        <v>77</v>
      </c>
      <c r="K169">
        <v>78</v>
      </c>
    </row>
    <row r="171" spans="3:14" x14ac:dyDescent="0.25">
      <c r="C171" s="57" t="s">
        <v>152</v>
      </c>
      <c r="D171" s="57"/>
      <c r="E171" s="57"/>
      <c r="F171" s="58">
        <v>2015</v>
      </c>
      <c r="G171" s="58">
        <v>2014</v>
      </c>
      <c r="H171" s="58">
        <v>2013</v>
      </c>
      <c r="I171" s="58">
        <v>2012</v>
      </c>
      <c r="J171" s="58">
        <v>2011</v>
      </c>
      <c r="K171" s="58">
        <v>2010</v>
      </c>
    </row>
    <row r="173" spans="3:14" x14ac:dyDescent="0.25">
      <c r="C173" t="s">
        <v>153</v>
      </c>
      <c r="D173" t="s">
        <v>154</v>
      </c>
      <c r="E173" t="s">
        <v>14</v>
      </c>
      <c r="F173">
        <f>2*1424</f>
        <v>2848</v>
      </c>
      <c r="G173" s="32">
        <v>4750</v>
      </c>
      <c r="H173" s="32">
        <v>4318</v>
      </c>
      <c r="I173" s="32">
        <v>6180</v>
      </c>
      <c r="J173" s="32">
        <v>6980</v>
      </c>
      <c r="K173" s="32">
        <v>7170</v>
      </c>
    </row>
    <row r="174" spans="3:14" x14ac:dyDescent="0.25">
      <c r="C174" t="s">
        <v>155</v>
      </c>
      <c r="D174" t="s">
        <v>156</v>
      </c>
      <c r="E174" t="s">
        <v>14</v>
      </c>
      <c r="F174">
        <f>2*1293</f>
        <v>2586</v>
      </c>
      <c r="G174">
        <f>2*1227</f>
        <v>2454</v>
      </c>
      <c r="H174">
        <f>2*1191</f>
        <v>2382</v>
      </c>
      <c r="I174">
        <v>2568</v>
      </c>
      <c r="J174">
        <v>2311</v>
      </c>
      <c r="K174">
        <v>2277</v>
      </c>
      <c r="M174" t="s">
        <v>157</v>
      </c>
    </row>
    <row r="175" spans="3:14" x14ac:dyDescent="0.25">
      <c r="E175" t="s">
        <v>135</v>
      </c>
      <c r="F175" s="31">
        <v>38654.543250000002</v>
      </c>
      <c r="G175" s="31">
        <v>34378.588165000001</v>
      </c>
      <c r="H175" s="31">
        <v>35458.3355715</v>
      </c>
      <c r="I175" s="31">
        <v>35310.918171500001</v>
      </c>
      <c r="J175" s="31">
        <v>36140.566288999995</v>
      </c>
      <c r="K175" s="31">
        <v>26341.306468500003</v>
      </c>
    </row>
    <row r="176" spans="3:14" x14ac:dyDescent="0.25">
      <c r="M176" t="s">
        <v>158</v>
      </c>
      <c r="N176" t="s">
        <v>159</v>
      </c>
    </row>
    <row r="177" spans="3:13" x14ac:dyDescent="0.25">
      <c r="C177" t="s">
        <v>64</v>
      </c>
      <c r="E177" t="s">
        <v>160</v>
      </c>
      <c r="F177">
        <f>2*10368</f>
        <v>20736</v>
      </c>
      <c r="G177">
        <f>2133+16568</f>
        <v>18701</v>
      </c>
      <c r="H177">
        <f>25267+17435</f>
        <v>42702</v>
      </c>
      <c r="I177">
        <f>30714+27172</f>
        <v>57886</v>
      </c>
      <c r="J177">
        <f>701+173530</f>
        <v>174231</v>
      </c>
      <c r="K177">
        <f>586+58342</f>
        <v>58928</v>
      </c>
      <c r="M177" t="s">
        <v>161</v>
      </c>
    </row>
    <row r="178" spans="3:13" x14ac:dyDescent="0.25">
      <c r="C178" t="s">
        <v>66</v>
      </c>
      <c r="E178" t="s">
        <v>160</v>
      </c>
      <c r="F178">
        <f>2*229105</f>
        <v>458210</v>
      </c>
      <c r="G178">
        <v>934559</v>
      </c>
      <c r="H178">
        <v>530326</v>
      </c>
      <c r="I178">
        <v>704866</v>
      </c>
      <c r="J178">
        <v>551858</v>
      </c>
      <c r="K178">
        <v>505884</v>
      </c>
      <c r="M178" t="s">
        <v>93</v>
      </c>
    </row>
    <row r="179" spans="3:13" x14ac:dyDescent="0.25">
      <c r="C179" t="s">
        <v>162</v>
      </c>
      <c r="D179" t="s">
        <v>163</v>
      </c>
      <c r="E179" t="s">
        <v>160</v>
      </c>
      <c r="H179">
        <f>65835</f>
        <v>65835</v>
      </c>
      <c r="I179">
        <f>1079</f>
        <v>1079</v>
      </c>
      <c r="J179">
        <v>1079</v>
      </c>
      <c r="K179">
        <v>798</v>
      </c>
    </row>
    <row r="180" spans="3:13" x14ac:dyDescent="0.25">
      <c r="D180" t="s">
        <v>164</v>
      </c>
      <c r="E180" t="s">
        <v>160</v>
      </c>
      <c r="H180">
        <v>32368</v>
      </c>
      <c r="I180">
        <v>36484</v>
      </c>
      <c r="J180">
        <v>130</v>
      </c>
      <c r="K180">
        <v>65</v>
      </c>
    </row>
    <row r="181" spans="3:13" x14ac:dyDescent="0.25">
      <c r="D181" t="s">
        <v>165</v>
      </c>
      <c r="E181" t="s">
        <v>160</v>
      </c>
      <c r="J181">
        <v>931</v>
      </c>
      <c r="K181">
        <v>650</v>
      </c>
    </row>
    <row r="183" spans="3:13" x14ac:dyDescent="0.25">
      <c r="D183" t="s">
        <v>64</v>
      </c>
      <c r="E183" t="s">
        <v>136</v>
      </c>
      <c r="F183">
        <f t="shared" ref="F183:K185" si="17">F177/F$173</f>
        <v>7.2808988764044944</v>
      </c>
      <c r="G183">
        <f t="shared" si="17"/>
        <v>3.9370526315789474</v>
      </c>
      <c r="H183">
        <f t="shared" si="17"/>
        <v>9.889300602130616</v>
      </c>
      <c r="I183">
        <f t="shared" si="17"/>
        <v>9.3666666666666671</v>
      </c>
      <c r="J183">
        <f t="shared" si="17"/>
        <v>24.961461318051576</v>
      </c>
      <c r="K183">
        <f t="shared" si="17"/>
        <v>8.2186889818688975</v>
      </c>
    </row>
    <row r="184" spans="3:13" x14ac:dyDescent="0.25">
      <c r="D184" t="s">
        <v>66</v>
      </c>
      <c r="E184" t="s">
        <v>136</v>
      </c>
      <c r="F184">
        <f t="shared" si="17"/>
        <v>160.88834269662922</v>
      </c>
      <c r="G184">
        <f t="shared" si="17"/>
        <v>196.74926315789475</v>
      </c>
      <c r="H184">
        <f t="shared" si="17"/>
        <v>122.81750810560445</v>
      </c>
      <c r="I184">
        <f t="shared" si="17"/>
        <v>114.05598705501617</v>
      </c>
      <c r="J184">
        <f t="shared" si="17"/>
        <v>79.062750716332374</v>
      </c>
      <c r="K184">
        <f t="shared" si="17"/>
        <v>70.555648535564856</v>
      </c>
    </row>
    <row r="185" spans="3:13" x14ac:dyDescent="0.25">
      <c r="D185" t="s">
        <v>79</v>
      </c>
      <c r="E185" t="s">
        <v>136</v>
      </c>
      <c r="F185" s="59">
        <f t="shared" si="17"/>
        <v>0</v>
      </c>
      <c r="G185">
        <f t="shared" si="17"/>
        <v>0</v>
      </c>
      <c r="H185">
        <f t="shared" si="17"/>
        <v>15.246641963872163</v>
      </c>
      <c r="I185">
        <f t="shared" si="17"/>
        <v>0.17459546925566344</v>
      </c>
      <c r="J185">
        <f t="shared" si="17"/>
        <v>0.15458452722063037</v>
      </c>
      <c r="K185">
        <f t="shared" si="17"/>
        <v>0.11129707112970712</v>
      </c>
    </row>
    <row r="186" spans="3:13" x14ac:dyDescent="0.25">
      <c r="D186" t="s">
        <v>137</v>
      </c>
      <c r="E186" t="s">
        <v>136</v>
      </c>
      <c r="F186">
        <f>F183+F184+F185</f>
        <v>168.16924157303373</v>
      </c>
      <c r="G186">
        <f t="shared" ref="G186:K186" si="18">G183+G184+G185</f>
        <v>200.6863157894737</v>
      </c>
      <c r="H186">
        <f t="shared" si="18"/>
        <v>147.95345067160721</v>
      </c>
      <c r="I186">
        <f t="shared" si="18"/>
        <v>123.59724919093851</v>
      </c>
      <c r="J186">
        <f t="shared" si="18"/>
        <v>104.17879656160459</v>
      </c>
      <c r="K186">
        <f t="shared" si="18"/>
        <v>78.885634588563462</v>
      </c>
    </row>
    <row r="187" spans="3:13" x14ac:dyDescent="0.25">
      <c r="D187" t="s">
        <v>138</v>
      </c>
      <c r="E187" t="s">
        <v>136</v>
      </c>
      <c r="F187">
        <f>F183+F184</f>
        <v>168.16924157303373</v>
      </c>
      <c r="G187">
        <f t="shared" ref="G187:K187" si="19">G183+G184</f>
        <v>200.6863157894737</v>
      </c>
      <c r="H187">
        <f t="shared" si="19"/>
        <v>132.70680870773506</v>
      </c>
      <c r="I187">
        <f t="shared" si="19"/>
        <v>123.42265372168285</v>
      </c>
      <c r="J187">
        <f t="shared" si="19"/>
        <v>104.02421203438395</v>
      </c>
      <c r="K187">
        <f t="shared" si="19"/>
        <v>78.77433751743375</v>
      </c>
    </row>
    <row r="194" spans="3:11" x14ac:dyDescent="0.25">
      <c r="C194" s="60" t="s">
        <v>101</v>
      </c>
      <c r="D194" s="61"/>
      <c r="E194" s="61"/>
      <c r="F194" s="60">
        <v>2015</v>
      </c>
      <c r="G194" s="60">
        <v>2014</v>
      </c>
      <c r="H194" s="60">
        <v>2013</v>
      </c>
      <c r="I194" s="60">
        <v>2012</v>
      </c>
      <c r="J194" s="60">
        <v>2011</v>
      </c>
      <c r="K194" s="60">
        <v>2010</v>
      </c>
    </row>
    <row r="195" spans="3:11" x14ac:dyDescent="0.25">
      <c r="D195" t="s">
        <v>64</v>
      </c>
      <c r="E195" t="s">
        <v>136</v>
      </c>
      <c r="F195">
        <f>(F115*F$112+'Company data_CO2'!F125*'Company data_CO2'!F$122+'Company data_CO2'!F136*'Company data_CO2'!F$133+'Company data_CO2'!F147*'Company data_CO2'!F$144+'Company data_CO2'!F183*'Company data_CO2'!F$173)/(F173+F174+F144+F133+F122+F112)</f>
        <v>14.355661837127874</v>
      </c>
      <c r="G195">
        <f>(G115*G$112+'Company data_CO2'!G125*'Company data_CO2'!G$122+'Company data_CO2'!G136*'Company data_CO2'!G$133+'Company data_CO2'!G147*'Company data_CO2'!G$144+'Company data_CO2'!G183*'Company data_CO2'!G$173)/(G173+G174+G144+G122+G112)</f>
        <v>21.065846160783181</v>
      </c>
      <c r="H195">
        <f>(H115*H$112+'Company data_CO2'!H125*'Company data_CO2'!H$122+'Company data_CO2'!H136*'Company data_CO2'!H$133+'Company data_CO2'!H147*'Company data_CO2'!H$144+'Company data_CO2'!H183*'Company data_CO2'!H$173)/(H173+H174+H144+H133+H122+H112)</f>
        <v>15.07677053549196</v>
      </c>
      <c r="I195">
        <f>(I115*I$112+'Company data_CO2'!I125*'Company data_CO2'!I$122+'Company data_CO2'!I136*'Company data_CO2'!I$133+'Company data_CO2'!I147*'Company data_CO2'!I$144+'Company data_CO2'!I183*'Company data_CO2'!I$173)/(I173+I174+I144+I133+I122+I112)</f>
        <v>15.007650338083417</v>
      </c>
      <c r="J195">
        <f>(J115*J$112+'Company data_CO2'!J125*'Company data_CO2'!J$122+'Company data_CO2'!J136*'Company data_CO2'!J$133+'Company data_CO2'!J147*'Company data_CO2'!J$144+'Company data_CO2'!J183*'Company data_CO2'!J$173)/(J173+J174+J144+J133+J122+J112)</f>
        <v>15.308396747042424</v>
      </c>
      <c r="K195">
        <f>(K115*K$112+'Company data_CO2'!K125*'Company data_CO2'!K$122+'Company data_CO2'!K136*'Company data_CO2'!K$133+'Company data_CO2'!K147*'Company data_CO2'!K$144+'Company data_CO2'!K183*'Company data_CO2'!K$173)/(K173+K174+K144+K133+K122+K112)</f>
        <v>12.209195866303054</v>
      </c>
    </row>
    <row r="196" spans="3:11" x14ac:dyDescent="0.25">
      <c r="D196" t="s">
        <v>66</v>
      </c>
      <c r="F196">
        <f>(F116*F$112+'Company data_CO2'!F126*'Company data_CO2'!F$122+'Company data_CO2'!F137*'Company data_CO2'!F$133+'Company data_CO2'!F148*'Company data_CO2'!F$144+'Company data_CO2'!F184*'Company data_CO2'!F$173)/(F173+F174+F144+F133+F122+F112)</f>
        <v>153.14901541809229</v>
      </c>
      <c r="G196">
        <f>(G116*G$112+'Company data_CO2'!G126*'Company data_CO2'!G$122+'Company data_CO2'!G137*'Company data_CO2'!G$133+'Company data_CO2'!G148*'Company data_CO2'!G$144+'Company data_CO2'!G184*'Company data_CO2'!G$173)/(G173+G174+G144+G133+G122+G112)</f>
        <v>169.94742216559459</v>
      </c>
      <c r="H196">
        <f>(H116*H$112+'Company data_CO2'!H126*'Company data_CO2'!H$122+'Company data_CO2'!H137*'Company data_CO2'!H$133+'Company data_CO2'!H148*'Company data_CO2'!H$144+'Company data_CO2'!H184*'Company data_CO2'!H$173)/(H173+H174+H144+H133+H122+H112)</f>
        <v>154.12336877675565</v>
      </c>
      <c r="I196">
        <f>(I116*I$112+'Company data_CO2'!I126*'Company data_CO2'!I$122+'Company data_CO2'!I137*'Company data_CO2'!I$133+'Company data_CO2'!I148*'Company data_CO2'!I$144+'Company data_CO2'!I184*'Company data_CO2'!I$173)/(I173+I174+I144+I133+I122+I112)</f>
        <v>150.98676578270118</v>
      </c>
      <c r="J196">
        <f>(J116*J$112+'Company data_CO2'!J126*'Company data_CO2'!J$122+'Company data_CO2'!J137*'Company data_CO2'!J$133+'Company data_CO2'!J148*'Company data_CO2'!J$144+'Company data_CO2'!J184*'Company data_CO2'!J$173)/(J173+J174+J144+J133+J122+J112)</f>
        <v>141.99231477021073</v>
      </c>
      <c r="K196">
        <f>(K116*K$112+'Company data_CO2'!K126*'Company data_CO2'!K$122+'Company data_CO2'!K137*'Company data_CO2'!K$133+'Company data_CO2'!K148*'Company data_CO2'!K$144+'Company data_CO2'!K184*'Company data_CO2'!K$173)/(K173+K174+K144+K133+K122+K112)</f>
        <v>134.03976195112583</v>
      </c>
    </row>
    <row r="197" spans="3:11" x14ac:dyDescent="0.25">
      <c r="D197" t="s">
        <v>166</v>
      </c>
      <c r="F197">
        <f>(F119*F$112+'Company data_CO2'!F129*'Company data_CO2'!F$122+'Company data_CO2'!F140*'Company data_CO2'!F$133+'Company data_CO2'!F151*'Company data_CO2'!F$144+'Company data_CO2'!F186*('Company data_CO2'!F$173+F174)+F155*F$160)/(F173+F174+F144+F133+F122+F112+F155)</f>
        <v>171.82982742955667</v>
      </c>
      <c r="G197">
        <f>(G119*G$112+'Company data_CO2'!G129*'Company data_CO2'!G$122+'Company data_CO2'!G140*'Company data_CO2'!G$133+'Company data_CO2'!G151*'Company data_CO2'!G$144+'Company data_CO2'!G186*('Company data_CO2'!G$173+G174)+G155*G$160)/(G173+G174+G144+G133+G122+G112+G155)</f>
        <v>191.85159903834725</v>
      </c>
      <c r="H197">
        <f>(H119*H$112+'Company data_CO2'!H129*'Company data_CO2'!H$122+'Company data_CO2'!H140*'Company data_CO2'!H$133+'Company data_CO2'!H151*'Company data_CO2'!H$144+'Company data_CO2'!H186*('Company data_CO2'!H$173+H174)+H155*H$160)/(H173+H174+H144+H133+H122+H112+H155)</f>
        <v>173.40384897255166</v>
      </c>
      <c r="I197">
        <f>(I119*I$112+'Company data_CO2'!I129*'Company data_CO2'!I$122+'Company data_CO2'!I140*'Company data_CO2'!I$133+'Company data_CO2'!I151*'Company data_CO2'!I$144+'Company data_CO2'!I186*('Company data_CO2'!I$173+I174)+I155*I$160)/(I173+I174+I144+I133+I122+I112+I155)</f>
        <v>169.16153903633727</v>
      </c>
      <c r="J197">
        <f>(J119*J$112+'Company data_CO2'!J129*'Company data_CO2'!J$122+'Company data_CO2'!J140*'Company data_CO2'!J$133+'Company data_CO2'!J151*'Company data_CO2'!J$144+'Company data_CO2'!J186*('Company data_CO2'!J$173+J174)+J155*J$160+J166*J169)/(J173+J174+J144+J133+J122+J112+J155)</f>
        <v>164.1508540117122</v>
      </c>
      <c r="K197">
        <f>(K119*K$112+'Company data_CO2'!K129*'Company data_CO2'!K$122+'Company data_CO2'!K140*'Company data_CO2'!K$133+'Company data_CO2'!K151*'Company data_CO2'!K$144+'Company data_CO2'!K186*('Company data_CO2'!K$173+K174)+K155*K$160)/(K173+K174+K144+K133+K122+K112+K155)</f>
        <v>147.78088109342301</v>
      </c>
    </row>
    <row r="199" spans="3:11" x14ac:dyDescent="0.25">
      <c r="D199" t="s">
        <v>167</v>
      </c>
      <c r="E199" t="s">
        <v>168</v>
      </c>
      <c r="F199">
        <v>44.922732750916808</v>
      </c>
      <c r="G199">
        <v>56.802727178507205</v>
      </c>
      <c r="H199">
        <v>47.554051630723002</v>
      </c>
      <c r="I199">
        <v>48.010257323878214</v>
      </c>
      <c r="J199">
        <v>44.248344150734958</v>
      </c>
      <c r="K199">
        <v>41.778595262098804</v>
      </c>
    </row>
    <row r="200" spans="3:11" x14ac:dyDescent="0.25">
      <c r="F200">
        <v>3.8500152398086733</v>
      </c>
      <c r="G200">
        <v>6.2644732627200828</v>
      </c>
      <c r="H200">
        <v>4.2373577668647364</v>
      </c>
      <c r="I200">
        <v>4.340634892404398</v>
      </c>
      <c r="J200">
        <v>4.306218332552354</v>
      </c>
      <c r="K200">
        <v>3.4877722220129015</v>
      </c>
    </row>
    <row r="202" spans="3:11" x14ac:dyDescent="0.25">
      <c r="D202" s="62" t="s">
        <v>169</v>
      </c>
      <c r="E202" t="s">
        <v>8</v>
      </c>
      <c r="F202" s="63">
        <v>0.79751584279823517</v>
      </c>
      <c r="G202" s="63">
        <v>0.77428486997394552</v>
      </c>
      <c r="H202" s="63">
        <v>0.72812811954148726</v>
      </c>
      <c r="I202" s="63">
        <v>0.70049843628041264</v>
      </c>
      <c r="J202" s="63">
        <v>0.65941224154080902</v>
      </c>
      <c r="K202" s="63">
        <v>0.77719202653551622</v>
      </c>
    </row>
    <row r="204" spans="3:11" x14ac:dyDescent="0.25">
      <c r="C204" t="s">
        <v>79</v>
      </c>
      <c r="F204" s="60">
        <v>2015</v>
      </c>
      <c r="G204" s="60">
        <v>2014</v>
      </c>
      <c r="H204" s="60">
        <v>2013</v>
      </c>
      <c r="I204" s="60">
        <v>2012</v>
      </c>
      <c r="J204" s="60">
        <v>2011</v>
      </c>
      <c r="K204" s="60">
        <v>2010</v>
      </c>
    </row>
    <row r="205" spans="3:11" x14ac:dyDescent="0.25">
      <c r="C205" t="s">
        <v>136</v>
      </c>
      <c r="D205" t="s">
        <v>139</v>
      </c>
      <c r="F205" s="43">
        <f>'Company data_CO2'!F127</f>
        <v>0.33022861981371721</v>
      </c>
      <c r="G205" s="43">
        <f>'Company data_CO2'!G127</f>
        <v>0.45673945164997537</v>
      </c>
      <c r="H205" s="43">
        <f>'Company data_CO2'!H127</f>
        <v>0.38276095415327355</v>
      </c>
      <c r="I205" s="43">
        <f>'Company data_CO2'!I127</f>
        <v>0.34392073340124085</v>
      </c>
      <c r="J205" s="43">
        <f>'Company data_CO2'!J127</f>
        <v>0.44429675168231286</v>
      </c>
      <c r="K205" s="43">
        <f>'Company data_CO2'!K127</f>
        <v>0.34067303697548817</v>
      </c>
    </row>
    <row r="206" spans="3:11" x14ac:dyDescent="0.25">
      <c r="D206" t="s">
        <v>170</v>
      </c>
      <c r="F206" s="43">
        <f>F117</f>
        <v>40.875912408759127</v>
      </c>
      <c r="G206" s="43">
        <f>G117</f>
        <v>43.929307606528567</v>
      </c>
      <c r="H206" s="43">
        <f>H117</f>
        <v>34.874501661129571</v>
      </c>
      <c r="I206" s="43">
        <f>I117</f>
        <v>50.746521407806725</v>
      </c>
      <c r="J206" s="43"/>
      <c r="K206" s="43"/>
    </row>
    <row r="207" spans="3:11" x14ac:dyDescent="0.25">
      <c r="D207" t="s">
        <v>141</v>
      </c>
      <c r="F207" s="43">
        <f t="shared" ref="F207:K207" si="20">F149</f>
        <v>0.2045652043362339</v>
      </c>
      <c r="G207" s="43">
        <f t="shared" si="20"/>
        <v>0.17894248079067895</v>
      </c>
      <c r="H207" s="43">
        <f t="shared" si="20"/>
        <v>0.27982315176808253</v>
      </c>
      <c r="I207" s="43">
        <f t="shared" si="20"/>
        <v>0.25925055277625536</v>
      </c>
      <c r="J207" s="43">
        <f t="shared" si="20"/>
        <v>0.37156519706773983</v>
      </c>
      <c r="K207" s="43">
        <f t="shared" si="20"/>
        <v>0.63430405922608513</v>
      </c>
    </row>
    <row r="208" spans="3:11" x14ac:dyDescent="0.25">
      <c r="D208" t="s">
        <v>152</v>
      </c>
      <c r="H208" s="43">
        <v>1</v>
      </c>
      <c r="I208" s="43">
        <f>I185</f>
        <v>0.17459546925566344</v>
      </c>
      <c r="J208" s="43">
        <f>J185</f>
        <v>0.15458452722063037</v>
      </c>
      <c r="K208" s="43">
        <f>K185</f>
        <v>0.11129707112970712</v>
      </c>
    </row>
    <row r="209" spans="4:13" x14ac:dyDescent="0.25">
      <c r="H209">
        <v>15.246641963872163</v>
      </c>
    </row>
    <row r="211" spans="4:13" x14ac:dyDescent="0.25">
      <c r="F211" s="60">
        <v>2015</v>
      </c>
      <c r="G211" s="60">
        <v>2014</v>
      </c>
      <c r="H211" s="60">
        <v>2013</v>
      </c>
      <c r="I211" s="60">
        <v>2012</v>
      </c>
      <c r="J211" s="60">
        <v>2011</v>
      </c>
      <c r="K211" s="60">
        <v>2010</v>
      </c>
    </row>
    <row r="212" spans="4:13" x14ac:dyDescent="0.25">
      <c r="D212" t="s">
        <v>167</v>
      </c>
      <c r="E212" t="s">
        <v>171</v>
      </c>
      <c r="F212">
        <v>48.375922110636196</v>
      </c>
      <c r="G212">
        <v>58.048615734378991</v>
      </c>
      <c r="H212">
        <v>50.180592967125378</v>
      </c>
      <c r="I212">
        <v>50.471064095176231</v>
      </c>
      <c r="J212">
        <v>48.412966207856854</v>
      </c>
      <c r="K212">
        <v>47.963001482035047</v>
      </c>
    </row>
    <row r="213" spans="4:13" x14ac:dyDescent="0.25">
      <c r="E213" t="s">
        <v>172</v>
      </c>
      <c r="F213" s="32">
        <v>253528.02726841311</v>
      </c>
      <c r="G213" s="31">
        <v>197583.39057826562</v>
      </c>
      <c r="H213" s="31">
        <v>250282.08650758528</v>
      </c>
      <c r="I213" s="31">
        <v>245837.8324776763</v>
      </c>
      <c r="J213" s="31">
        <v>268882.43005212577</v>
      </c>
      <c r="K213" s="31">
        <v>257194.91313779633</v>
      </c>
    </row>
    <row r="214" spans="4:13" x14ac:dyDescent="0.25">
      <c r="E214" t="s">
        <v>173</v>
      </c>
      <c r="F214" s="31">
        <f t="shared" ref="F214:K214" si="21">(F173+F174+F144+F133+F122+F112)</f>
        <v>73219.758999999991</v>
      </c>
      <c r="G214" s="31">
        <f t="shared" si="21"/>
        <v>60045.264999999999</v>
      </c>
      <c r="H214" s="31">
        <f t="shared" si="21"/>
        <v>74227.501000000004</v>
      </c>
      <c r="I214" s="31">
        <f t="shared" si="21"/>
        <v>74747.676999999996</v>
      </c>
      <c r="J214" s="31">
        <f t="shared" si="21"/>
        <v>82754.845000000001</v>
      </c>
      <c r="K214" s="31">
        <f t="shared" si="21"/>
        <v>84348.225000000006</v>
      </c>
    </row>
    <row r="215" spans="4:13" x14ac:dyDescent="0.25">
      <c r="E215" t="s">
        <v>1</v>
      </c>
      <c r="F215">
        <f>F213/F214</f>
        <v>3.4625629847868407</v>
      </c>
      <c r="G215">
        <f t="shared" ref="G215:K215" si="22">G213/G214</f>
        <v>3.2905740457347572</v>
      </c>
      <c r="H215">
        <f t="shared" si="22"/>
        <v>3.3718242313935001</v>
      </c>
      <c r="I215">
        <f t="shared" si="22"/>
        <v>3.2889026434584223</v>
      </c>
      <c r="J215">
        <f t="shared" si="22"/>
        <v>3.2491442652345706</v>
      </c>
      <c r="K215">
        <f t="shared" si="22"/>
        <v>3.0492036215082927</v>
      </c>
    </row>
    <row r="216" spans="4:13" x14ac:dyDescent="0.25">
      <c r="F216">
        <f>(F195+F196)*F214/F213</f>
        <v>48.375922110636196</v>
      </c>
      <c r="G216">
        <f t="shared" ref="G216:K216" si="23">(G195+G196)*G214/G213</f>
        <v>58.048615734378991</v>
      </c>
      <c r="H216">
        <f t="shared" si="23"/>
        <v>50.180592967125378</v>
      </c>
      <c r="I216">
        <f t="shared" si="23"/>
        <v>50.471064095176231</v>
      </c>
      <c r="J216">
        <f t="shared" si="23"/>
        <v>48.412966207856854</v>
      </c>
      <c r="K216">
        <f t="shared" si="23"/>
        <v>47.963001482035047</v>
      </c>
    </row>
    <row r="219" spans="4:13" x14ac:dyDescent="0.25">
      <c r="E219" t="s">
        <v>174</v>
      </c>
      <c r="F219" s="31">
        <f>(F119*F$112+'Company data_CO2'!F129*'Company data_CO2'!F$122+'Company data_CO2'!F140*'Company data_CO2'!F$133+'Company data_CO2'!F151*'Company data_CO2'!F$144+'Company data_CO2'!F186*('Company data_CO2'!F$173+F174)+F155*F$160)</f>
        <v>13004211.758707866</v>
      </c>
      <c r="G219" s="31">
        <f>(G119*G$112+'Company data_CO2'!G129*'Company data_CO2'!G$122+'Company data_CO2'!G140*'Company data_CO2'!G$133+'Company data_CO2'!G151*'Company data_CO2'!G$144+'Company data_CO2'!G186*('Company data_CO2'!G$173+G174)+G155*G$160)</f>
        <v>11995380.218947368</v>
      </c>
      <c r="H219" s="31">
        <f>(H119*H$112+'Company data_CO2'!H129*'Company data_CO2'!H$122+'Company data_CO2'!H140*'Company data_CO2'!H$133+'Company data_CO2'!H151*'Company data_CO2'!H$144+'Company data_CO2'!H186*('Company data_CO2'!H$173+H174)+H155*H$160)</f>
        <v>13270336.629499769</v>
      </c>
      <c r="I219" s="31">
        <f>(I119*I$112+'Company data_CO2'!I129*'Company data_CO2'!I$122+'Company data_CO2'!I140*'Company data_CO2'!I$133+'Company data_CO2'!I151*'Company data_CO2'!I$144+'Company data_CO2'!I186*('Company data_CO2'!I$173+I174)+I155*I$160)</f>
        <v>13046190.735922329</v>
      </c>
      <c r="J219" s="31">
        <f>(J119*J$112+'Company data_CO2'!J129*'Company data_CO2'!J$122+'Company data_CO2'!J140*'Company data_CO2'!J$133+'Company data_CO2'!J151*'Company data_CO2'!J$144+'Company data_CO2'!J186*('Company data_CO2'!J$173+J174)+J155*J$160+J166*J169)</f>
        <v>13962646.198853869</v>
      </c>
      <c r="K219" s="31">
        <f>(K119*K$112+'Company data_CO2'!K129*'Company data_CO2'!K$122+'Company data_CO2'!K140*'Company data_CO2'!K$133+'Company data_CO2'!K151*'Company data_CO2'!K$144+'Company data_CO2'!K186*('Company data_CO2'!K$173+K174)+K155*K$160)</f>
        <v>12820763.589958159</v>
      </c>
    </row>
    <row r="220" spans="4:13" x14ac:dyDescent="0.25">
      <c r="E220" t="s">
        <v>172</v>
      </c>
      <c r="F220" s="31">
        <v>276663.72650941566</v>
      </c>
      <c r="G220" s="31">
        <v>215610.37539158107</v>
      </c>
      <c r="H220" s="31">
        <v>272180.67630547442</v>
      </c>
      <c r="I220" s="31">
        <v>269416.42540391989</v>
      </c>
      <c r="J220" s="31">
        <v>292760.70091155887</v>
      </c>
      <c r="K220" s="31">
        <v>273522.80918953195</v>
      </c>
    </row>
    <row r="221" spans="4:13" x14ac:dyDescent="0.25">
      <c r="F221" s="31">
        <f t="shared" ref="F221:K221" si="24">F113+F123+F134+F145+F156+F175</f>
        <v>273190.91275941563</v>
      </c>
      <c r="G221" s="31">
        <f t="shared" si="24"/>
        <v>211554.91940548044</v>
      </c>
      <c r="H221" s="31">
        <f t="shared" si="24"/>
        <v>268336.48410547455</v>
      </c>
      <c r="I221" s="31">
        <f t="shared" si="24"/>
        <v>266658.01905391976</v>
      </c>
      <c r="J221" s="31">
        <f t="shared" si="24"/>
        <v>290280.119661559</v>
      </c>
      <c r="K221" s="31">
        <f t="shared" si="24"/>
        <v>271070.57743953192</v>
      </c>
    </row>
    <row r="222" spans="4:13" x14ac:dyDescent="0.25">
      <c r="E222" t="s">
        <v>175</v>
      </c>
      <c r="F222" s="43">
        <f>F219/F221</f>
        <v>47.601187123526202</v>
      </c>
      <c r="G222" s="43">
        <f t="shared" ref="G222:K222" si="25">G219/G221</f>
        <v>56.701022375926001</v>
      </c>
      <c r="H222" s="43">
        <f t="shared" si="25"/>
        <v>49.454089978624083</v>
      </c>
      <c r="I222" s="43">
        <f t="shared" si="25"/>
        <v>48.924801819983202</v>
      </c>
      <c r="J222" s="43">
        <f t="shared" si="25"/>
        <v>48.100594057674641</v>
      </c>
      <c r="K222" s="43">
        <f t="shared" si="25"/>
        <v>47.2967730805019</v>
      </c>
    </row>
    <row r="224" spans="4:13" x14ac:dyDescent="0.25">
      <c r="K224" s="64"/>
      <c r="M224" s="63"/>
    </row>
    <row r="225" spans="4:13" x14ac:dyDescent="0.25">
      <c r="D225" s="62" t="s">
        <v>176</v>
      </c>
      <c r="F225" s="60">
        <f>K211</f>
        <v>2010</v>
      </c>
      <c r="G225" s="60">
        <f>J211</f>
        <v>2011</v>
      </c>
      <c r="H225" s="60">
        <f>I211</f>
        <v>2012</v>
      </c>
      <c r="I225" s="60">
        <f>H211</f>
        <v>2013</v>
      </c>
      <c r="J225" s="60">
        <f>G211</f>
        <v>2014</v>
      </c>
      <c r="K225" s="60">
        <f>F211</f>
        <v>2015</v>
      </c>
      <c r="M225" s="63"/>
    </row>
    <row r="226" spans="4:13" x14ac:dyDescent="0.25">
      <c r="E226" s="62" t="s">
        <v>64</v>
      </c>
      <c r="F226">
        <f>K195</f>
        <v>12.209195866303054</v>
      </c>
      <c r="G226">
        <f>J195</f>
        <v>15.308396747042424</v>
      </c>
      <c r="H226">
        <f>I195</f>
        <v>15.007650338083417</v>
      </c>
      <c r="I226">
        <f>H195</f>
        <v>15.07677053549196</v>
      </c>
      <c r="J226">
        <f>G195</f>
        <v>21.065846160783181</v>
      </c>
      <c r="K226">
        <f>F195</f>
        <v>14.355661837127874</v>
      </c>
    </row>
    <row r="227" spans="4:13" x14ac:dyDescent="0.25">
      <c r="E227" s="62" t="s">
        <v>66</v>
      </c>
      <c r="F227">
        <f>K196</f>
        <v>134.03976195112583</v>
      </c>
      <c r="G227">
        <f>J196</f>
        <v>141.99231477021073</v>
      </c>
      <c r="H227">
        <f>I196</f>
        <v>150.98676578270118</v>
      </c>
      <c r="I227">
        <f>H196</f>
        <v>154.12336877675565</v>
      </c>
      <c r="J227">
        <f>G196</f>
        <v>169.94742216559459</v>
      </c>
      <c r="K227">
        <f>F196</f>
        <v>153.14901541809229</v>
      </c>
    </row>
    <row r="228" spans="4:13" x14ac:dyDescent="0.25">
      <c r="E228" s="53"/>
    </row>
    <row r="229" spans="4:13" x14ac:dyDescent="0.25">
      <c r="E229" s="65" t="s">
        <v>177</v>
      </c>
      <c r="F229">
        <v>41.778595262098804</v>
      </c>
      <c r="G229">
        <v>44.248344150734958</v>
      </c>
      <c r="H229">
        <v>48.010257323878214</v>
      </c>
      <c r="I229">
        <v>47.554051630723002</v>
      </c>
      <c r="J229">
        <v>56.802727178507205</v>
      </c>
      <c r="K229">
        <v>44.922732750916808</v>
      </c>
    </row>
    <row r="232" spans="4:13" x14ac:dyDescent="0.25">
      <c r="E232" s="62" t="s">
        <v>178</v>
      </c>
      <c r="F232">
        <v>3.4877722220129015</v>
      </c>
      <c r="G232">
        <v>4.306218332552354</v>
      </c>
      <c r="H232">
        <v>4.340634892404398</v>
      </c>
      <c r="I232">
        <v>4.2373577668647364</v>
      </c>
      <c r="J232">
        <v>6.2644732627200828</v>
      </c>
      <c r="K232">
        <v>3.8500152398086733</v>
      </c>
    </row>
    <row r="233" spans="4:13" x14ac:dyDescent="0.25">
      <c r="E233" s="62" t="s">
        <v>179</v>
      </c>
      <c r="F233">
        <v>38.290823040085904</v>
      </c>
      <c r="G233">
        <v>39.942125818182603</v>
      </c>
      <c r="H233">
        <v>43.669622431473819</v>
      </c>
      <c r="I233">
        <v>43.316693863858262</v>
      </c>
      <c r="J233">
        <v>50.538253915787124</v>
      </c>
      <c r="K233">
        <v>41.072717511108131</v>
      </c>
    </row>
  </sheetData>
  <mergeCells count="4">
    <mergeCell ref="E15:E25"/>
    <mergeCell ref="N15:N25"/>
    <mergeCell ref="E26:E30"/>
    <mergeCell ref="N26:N29"/>
  </mergeCells>
  <hyperlinks>
    <hyperlink ref="N14" r:id="rId1"/>
  </hyperlinks>
  <pageMargins left="0.7" right="0.7" top="0.78740157499999996" bottom="0.78740157499999996" header="0.3" footer="0.3"/>
  <pageSetup paperSize="9" orientation="portrait" r:id="rId2"/>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C2:AH158"/>
  <sheetViews>
    <sheetView topLeftCell="A53" zoomScale="40" zoomScaleNormal="40" workbookViewId="0">
      <selection activeCell="G51" sqref="G51"/>
    </sheetView>
  </sheetViews>
  <sheetFormatPr baseColWidth="10" defaultRowHeight="15" x14ac:dyDescent="0.25"/>
  <cols>
    <col min="3" max="3" width="20.5703125" bestFit="1" customWidth="1"/>
    <col min="4" max="4" width="34.28515625" bestFit="1" customWidth="1"/>
    <col min="5" max="5" width="48.140625" bestFit="1" customWidth="1"/>
    <col min="6" max="6" width="26.28515625" bestFit="1" customWidth="1"/>
    <col min="7" max="7" width="16" bestFit="1" customWidth="1"/>
    <col min="12" max="12" width="19" bestFit="1" customWidth="1"/>
    <col min="15" max="15" width="53.7109375" bestFit="1" customWidth="1"/>
    <col min="18" max="18" width="20.42578125" bestFit="1" customWidth="1"/>
    <col min="21" max="21" width="22.85546875" bestFit="1" customWidth="1"/>
    <col min="23" max="23" width="19.5703125" bestFit="1" customWidth="1"/>
    <col min="24" max="24" width="33.28515625" customWidth="1"/>
    <col min="26" max="26" width="16" bestFit="1" customWidth="1"/>
  </cols>
  <sheetData>
    <row r="2" spans="3:14" x14ac:dyDescent="0.25">
      <c r="C2" s="30" t="s">
        <v>63</v>
      </c>
      <c r="D2" s="30"/>
      <c r="E2" s="30"/>
      <c r="F2" s="30">
        <v>2015</v>
      </c>
      <c r="G2" s="30">
        <v>2014</v>
      </c>
      <c r="H2" s="30">
        <v>2013</v>
      </c>
      <c r="I2" s="30">
        <v>2012</v>
      </c>
      <c r="J2" s="30">
        <v>2011</v>
      </c>
      <c r="K2" s="30">
        <v>2010</v>
      </c>
      <c r="M2" t="s">
        <v>180</v>
      </c>
    </row>
    <row r="3" spans="3:14" x14ac:dyDescent="0.25">
      <c r="D3" t="s">
        <v>181</v>
      </c>
      <c r="E3" t="s">
        <v>182</v>
      </c>
      <c r="F3">
        <v>4671</v>
      </c>
      <c r="G3">
        <v>4386</v>
      </c>
      <c r="H3">
        <v>5350</v>
      </c>
      <c r="I3">
        <v>5584</v>
      </c>
      <c r="J3">
        <v>5661</v>
      </c>
      <c r="K3">
        <v>5250</v>
      </c>
    </row>
    <row r="4" spans="3:14" x14ac:dyDescent="0.25">
      <c r="D4" t="s">
        <v>118</v>
      </c>
      <c r="E4" t="s">
        <v>182</v>
      </c>
      <c r="F4">
        <v>11266</v>
      </c>
      <c r="G4">
        <v>10008</v>
      </c>
      <c r="H4">
        <v>12224</v>
      </c>
      <c r="I4">
        <v>11958</v>
      </c>
      <c r="J4">
        <v>12561</v>
      </c>
      <c r="K4">
        <v>11763</v>
      </c>
    </row>
    <row r="6" spans="3:14" x14ac:dyDescent="0.25">
      <c r="D6" t="s">
        <v>95</v>
      </c>
      <c r="E6" t="s">
        <v>183</v>
      </c>
      <c r="F6">
        <v>21748</v>
      </c>
      <c r="G6">
        <v>21776</v>
      </c>
      <c r="H6">
        <v>25247</v>
      </c>
      <c r="I6">
        <v>27875</v>
      </c>
      <c r="J6">
        <v>26000</v>
      </c>
      <c r="K6">
        <v>23466</v>
      </c>
    </row>
    <row r="7" spans="3:14" x14ac:dyDescent="0.25">
      <c r="D7" t="s">
        <v>96</v>
      </c>
      <c r="E7" t="s">
        <v>183</v>
      </c>
      <c r="F7">
        <v>602</v>
      </c>
      <c r="G7">
        <v>830</v>
      </c>
      <c r="H7">
        <v>1137</v>
      </c>
      <c r="I7">
        <v>1237</v>
      </c>
      <c r="J7">
        <v>1666</v>
      </c>
      <c r="K7">
        <v>1250</v>
      </c>
    </row>
    <row r="8" spans="3:14" x14ac:dyDescent="0.25">
      <c r="D8" t="s">
        <v>121</v>
      </c>
      <c r="E8" t="s">
        <v>184</v>
      </c>
      <c r="F8">
        <v>138653</v>
      </c>
      <c r="G8">
        <v>12883</v>
      </c>
      <c r="H8">
        <v>158732</v>
      </c>
      <c r="I8">
        <v>161563</v>
      </c>
      <c r="J8">
        <v>170000</v>
      </c>
      <c r="K8">
        <v>159240</v>
      </c>
    </row>
    <row r="9" spans="3:14" x14ac:dyDescent="0.25">
      <c r="D9" t="s">
        <v>185</v>
      </c>
      <c r="E9" t="s">
        <v>183</v>
      </c>
      <c r="F9">
        <v>1633</v>
      </c>
      <c r="G9">
        <v>1264</v>
      </c>
      <c r="H9">
        <v>1730</v>
      </c>
      <c r="I9">
        <v>2660</v>
      </c>
      <c r="J9">
        <v>2453</v>
      </c>
      <c r="K9">
        <v>2034</v>
      </c>
    </row>
    <row r="12" spans="3:14" x14ac:dyDescent="0.25">
      <c r="C12" s="34" t="s">
        <v>186</v>
      </c>
      <c r="D12" s="35"/>
      <c r="E12" s="34" t="s">
        <v>68</v>
      </c>
      <c r="F12" s="36">
        <v>2015</v>
      </c>
      <c r="G12" s="36">
        <v>2014</v>
      </c>
      <c r="H12" s="36">
        <v>2013</v>
      </c>
      <c r="I12" s="36">
        <v>2012</v>
      </c>
      <c r="J12" s="36">
        <v>2011</v>
      </c>
      <c r="K12" s="36">
        <v>2010</v>
      </c>
      <c r="L12" s="34" t="s">
        <v>69</v>
      </c>
      <c r="M12" s="66"/>
    </row>
    <row r="13" spans="3:14" x14ac:dyDescent="0.25">
      <c r="C13" s="67"/>
      <c r="D13" s="67" t="s">
        <v>187</v>
      </c>
      <c r="E13" s="67" t="s">
        <v>8</v>
      </c>
      <c r="F13" s="68">
        <v>0.86129999999999995</v>
      </c>
      <c r="G13" s="68">
        <v>0.85049999999999992</v>
      </c>
      <c r="H13" s="69">
        <v>0.83</v>
      </c>
      <c r="I13" s="69">
        <v>0.83</v>
      </c>
      <c r="J13" s="68">
        <v>0.82499999999999996</v>
      </c>
      <c r="K13" s="68">
        <v>0.8</v>
      </c>
      <c r="L13" s="67" t="s">
        <v>188</v>
      </c>
      <c r="N13" s="70"/>
    </row>
    <row r="14" spans="3:14" x14ac:dyDescent="0.25">
      <c r="C14" s="67"/>
      <c r="D14" s="67" t="s">
        <v>189</v>
      </c>
      <c r="E14" s="67" t="s">
        <v>8</v>
      </c>
      <c r="F14" s="68">
        <v>8.2100000000000006E-2</v>
      </c>
      <c r="G14" s="68">
        <v>9.6699999999999994E-2</v>
      </c>
      <c r="H14" s="69">
        <f>H19/($I$18/$I$13)</f>
        <v>8.5540638333676103E-2</v>
      </c>
      <c r="I14" s="69">
        <f>I19/($I$18/$I$13)</f>
        <v>6.9102780322719354E-2</v>
      </c>
      <c r="J14" s="68">
        <v>0.111</v>
      </c>
      <c r="K14" s="68">
        <v>0.115</v>
      </c>
      <c r="L14" s="67" t="s">
        <v>190</v>
      </c>
    </row>
    <row r="15" spans="3:14" x14ac:dyDescent="0.25">
      <c r="C15" s="67"/>
      <c r="D15" s="67" t="s">
        <v>124</v>
      </c>
      <c r="E15" s="67" t="s">
        <v>8</v>
      </c>
      <c r="F15" s="68">
        <v>5.8999999999999999E-3</v>
      </c>
      <c r="G15" s="68">
        <v>5.3E-3</v>
      </c>
      <c r="H15" s="71">
        <f>H20/(H18/H13)</f>
        <v>1.7456160845458534E-3</v>
      </c>
      <c r="I15" s="71">
        <f>I20/(I18/I13)</f>
        <v>4.3742319335258019E-4</v>
      </c>
      <c r="J15" s="68">
        <v>4.0000000000000001E-3</v>
      </c>
      <c r="K15" s="68">
        <v>8.6999999999999994E-3</v>
      </c>
      <c r="L15" s="67" t="s">
        <v>191</v>
      </c>
    </row>
    <row r="16" spans="3:14" x14ac:dyDescent="0.25">
      <c r="C16" s="67"/>
      <c r="D16" s="67" t="s">
        <v>121</v>
      </c>
      <c r="E16" s="67" t="s">
        <v>8</v>
      </c>
      <c r="F16" s="68">
        <v>5.0700000000000002E-2</v>
      </c>
      <c r="G16" s="68">
        <v>4.7500000000000001E-2</v>
      </c>
      <c r="H16" s="69">
        <f>H21/($I$18/$I$13)</f>
        <v>6.8723563798817569E-2</v>
      </c>
      <c r="I16" s="69">
        <f>I21/($I$18/$I$13)</f>
        <v>9.5643288521586281E-2</v>
      </c>
      <c r="J16" s="68">
        <v>0.06</v>
      </c>
      <c r="K16" s="68">
        <v>7.6299999999999993E-2</v>
      </c>
      <c r="L16" s="67"/>
    </row>
    <row r="17" spans="4:13" x14ac:dyDescent="0.25">
      <c r="M17" s="70" t="s">
        <v>192</v>
      </c>
    </row>
    <row r="18" spans="4:13" x14ac:dyDescent="0.25">
      <c r="D18" s="67" t="s">
        <v>187</v>
      </c>
      <c r="E18" s="67" t="s">
        <v>182</v>
      </c>
      <c r="F18" s="67">
        <v>5835</v>
      </c>
      <c r="G18" s="67">
        <v>3994</v>
      </c>
      <c r="H18" s="67">
        <f>1380218*0.0036</f>
        <v>4968.7847999999994</v>
      </c>
      <c r="I18" s="67">
        <v>5348.3</v>
      </c>
      <c r="J18" s="67">
        <v>5389</v>
      </c>
      <c r="K18" s="67">
        <f>1380218*0.0036</f>
        <v>4968.7847999999994</v>
      </c>
      <c r="L18" s="70" t="s">
        <v>193</v>
      </c>
      <c r="M18" s="67" t="s">
        <v>194</v>
      </c>
    </row>
    <row r="19" spans="4:13" x14ac:dyDescent="0.25">
      <c r="D19" s="67" t="s">
        <v>189</v>
      </c>
      <c r="E19" s="67" t="s">
        <v>182</v>
      </c>
      <c r="F19" s="67">
        <f>F18/$K$13*F14</f>
        <v>598.8168750000001</v>
      </c>
      <c r="G19" s="67">
        <f>G18/$K$13*G14</f>
        <v>482.77474999999998</v>
      </c>
      <c r="H19" s="67">
        <f>37.4*14738/1000</f>
        <v>551.20119999999997</v>
      </c>
      <c r="I19" s="67">
        <v>445.28</v>
      </c>
      <c r="J19" s="67">
        <v>726</v>
      </c>
      <c r="K19" s="67">
        <f>K18/$K$13*K14</f>
        <v>714.26281499999993</v>
      </c>
      <c r="L19" s="70" t="s">
        <v>195</v>
      </c>
      <c r="M19" s="67" t="s">
        <v>196</v>
      </c>
    </row>
    <row r="20" spans="4:13" x14ac:dyDescent="0.25">
      <c r="D20" s="67" t="s">
        <v>197</v>
      </c>
      <c r="E20" s="67" t="s">
        <v>182</v>
      </c>
      <c r="F20" s="67">
        <f>F19/F13*F15</f>
        <v>4.1019616422849188</v>
      </c>
      <c r="G20" s="67">
        <f>G19/G13*G15</f>
        <v>3.0084728689006468</v>
      </c>
      <c r="H20" s="67">
        <f>H19/H13*(1-H13-H14-H16)</f>
        <v>10.450109237984277</v>
      </c>
      <c r="I20" s="67">
        <f>I19/I13*(1-I13-I14-I16)</f>
        <v>2.8186391144669938</v>
      </c>
      <c r="J20" s="67">
        <f>J19/J13*J15</f>
        <v>3.52</v>
      </c>
      <c r="K20" s="67">
        <f>K19/K13*K15</f>
        <v>7.7676081131249983</v>
      </c>
      <c r="L20" s="43"/>
      <c r="M20" s="43"/>
    </row>
    <row r="21" spans="4:13" x14ac:dyDescent="0.25">
      <c r="D21" s="67" t="s">
        <v>121</v>
      </c>
      <c r="E21" s="67" t="s">
        <v>182</v>
      </c>
      <c r="F21" s="67">
        <f>F20/$K$13*F16</f>
        <v>0.2599618190798067</v>
      </c>
      <c r="G21" s="67">
        <f>G20/$K$13*G16</f>
        <v>0.1786280765909759</v>
      </c>
      <c r="H21" s="67">
        <f>1.016*29.3076*14872/1000</f>
        <v>442.83642923520006</v>
      </c>
      <c r="I21" s="67">
        <v>616.29999999999995</v>
      </c>
      <c r="J21" s="67">
        <v>389</v>
      </c>
      <c r="K21" s="67">
        <f>K20/$K$13*K16</f>
        <v>0.74083562378929657</v>
      </c>
    </row>
    <row r="23" spans="4:13" x14ac:dyDescent="0.25">
      <c r="D23" s="70" t="s">
        <v>198</v>
      </c>
      <c r="E23" s="70" t="s">
        <v>199</v>
      </c>
      <c r="H23">
        <f>1.16*3.6</f>
        <v>4.1760000000000002</v>
      </c>
      <c r="I23">
        <f>1.1*3.6</f>
        <v>3.9600000000000004</v>
      </c>
      <c r="J23" s="70">
        <v>4.5</v>
      </c>
      <c r="K23">
        <f>1.05*3.6</f>
        <v>3.7800000000000002</v>
      </c>
    </row>
    <row r="25" spans="4:13" s="43" customFormat="1" x14ac:dyDescent="0.25">
      <c r="D25" s="67" t="s">
        <v>96</v>
      </c>
      <c r="E25" s="67" t="s">
        <v>200</v>
      </c>
      <c r="F25" s="67">
        <v>2333</v>
      </c>
      <c r="G25" s="67"/>
      <c r="H25" s="67"/>
      <c r="I25" s="67"/>
      <c r="M25" s="43" t="s">
        <v>201</v>
      </c>
    </row>
    <row r="26" spans="4:13" s="43" customFormat="1" x14ac:dyDescent="0.25">
      <c r="D26" s="67" t="s">
        <v>202</v>
      </c>
      <c r="E26" s="67" t="s">
        <v>200</v>
      </c>
      <c r="F26" s="67">
        <v>117250</v>
      </c>
      <c r="G26" s="67"/>
      <c r="H26" s="67"/>
      <c r="I26" s="67"/>
      <c r="M26" s="43" t="s">
        <v>203</v>
      </c>
    </row>
    <row r="27" spans="4:13" s="43" customFormat="1" x14ac:dyDescent="0.25">
      <c r="D27" s="67" t="s">
        <v>204</v>
      </c>
      <c r="E27" s="67" t="s">
        <v>200</v>
      </c>
      <c r="F27" s="67">
        <v>6111</v>
      </c>
      <c r="G27" s="67"/>
      <c r="H27" s="67"/>
      <c r="I27" s="67"/>
    </row>
    <row r="28" spans="4:13" s="43" customFormat="1" x14ac:dyDescent="0.25">
      <c r="D28" s="67" t="s">
        <v>205</v>
      </c>
      <c r="E28" s="67" t="s">
        <v>200</v>
      </c>
      <c r="F28" s="67">
        <v>444</v>
      </c>
      <c r="G28" s="67"/>
      <c r="H28" s="67"/>
      <c r="I28" s="67"/>
    </row>
    <row r="29" spans="4:13" s="43" customFormat="1" x14ac:dyDescent="0.25">
      <c r="D29" s="67" t="s">
        <v>206</v>
      </c>
      <c r="E29" s="67" t="s">
        <v>200</v>
      </c>
      <c r="F29" s="67">
        <v>62000</v>
      </c>
      <c r="G29" s="67"/>
      <c r="H29" s="67"/>
      <c r="I29" s="67"/>
    </row>
    <row r="30" spans="4:13" s="43" customFormat="1" x14ac:dyDescent="0.25">
      <c r="D30" s="67" t="s">
        <v>207</v>
      </c>
      <c r="E30" s="67" t="s">
        <v>200</v>
      </c>
      <c r="F30" s="67">
        <v>56</v>
      </c>
      <c r="G30" s="67"/>
      <c r="H30" s="67"/>
      <c r="I30" s="67"/>
    </row>
    <row r="31" spans="4:13" s="43" customFormat="1" x14ac:dyDescent="0.25">
      <c r="D31" s="67" t="s">
        <v>208</v>
      </c>
      <c r="E31" s="67" t="s">
        <v>200</v>
      </c>
      <c r="F31" s="67">
        <v>28</v>
      </c>
      <c r="G31" s="67"/>
      <c r="H31" s="67"/>
      <c r="I31" s="67"/>
    </row>
    <row r="32" spans="4:13" s="43" customFormat="1" x14ac:dyDescent="0.25">
      <c r="D32" s="67" t="s">
        <v>209</v>
      </c>
      <c r="E32" s="67" t="s">
        <v>200</v>
      </c>
      <c r="F32" s="67">
        <v>6833</v>
      </c>
      <c r="G32" s="67"/>
      <c r="H32" s="67"/>
      <c r="I32" s="67"/>
    </row>
    <row r="33" spans="3:34" x14ac:dyDescent="0.25">
      <c r="C33" s="70" t="s">
        <v>101</v>
      </c>
      <c r="E33" t="s">
        <v>210</v>
      </c>
      <c r="G33">
        <v>25.18</v>
      </c>
      <c r="H33">
        <v>22.63</v>
      </c>
      <c r="I33">
        <v>24.94</v>
      </c>
      <c r="J33">
        <v>24.39</v>
      </c>
      <c r="K33">
        <v>25.17</v>
      </c>
      <c r="L33">
        <v>24.16</v>
      </c>
    </row>
    <row r="34" spans="3:34" x14ac:dyDescent="0.25">
      <c r="C34" s="70"/>
    </row>
    <row r="35" spans="3:34" x14ac:dyDescent="0.25">
      <c r="C35" s="40" t="s">
        <v>91</v>
      </c>
      <c r="D35" s="40"/>
      <c r="E35" s="41"/>
      <c r="F35" s="40" t="s">
        <v>68</v>
      </c>
      <c r="G35" s="42">
        <v>2015</v>
      </c>
      <c r="H35" s="42">
        <v>2014</v>
      </c>
      <c r="I35" s="42">
        <v>2013</v>
      </c>
      <c r="J35" s="42">
        <v>2012</v>
      </c>
      <c r="K35" s="42">
        <v>2011</v>
      </c>
      <c r="L35" s="42">
        <v>2010</v>
      </c>
      <c r="M35" s="42"/>
    </row>
    <row r="36" spans="3:34" x14ac:dyDescent="0.25">
      <c r="C36" t="s">
        <v>105</v>
      </c>
      <c r="D36" t="s">
        <v>106</v>
      </c>
      <c r="E36" s="41"/>
      <c r="F36" s="40"/>
      <c r="G36" s="42"/>
      <c r="H36" s="42"/>
      <c r="I36" s="42"/>
      <c r="J36" s="42"/>
      <c r="K36" s="42"/>
      <c r="L36" s="42"/>
      <c r="M36" s="42"/>
      <c r="O36" s="122" t="s">
        <v>211</v>
      </c>
      <c r="P36" s="122"/>
      <c r="Q36" s="122"/>
      <c r="R36" s="122"/>
      <c r="S36" s="122"/>
      <c r="T36" s="122"/>
      <c r="U36" s="122"/>
      <c r="V36" s="122"/>
      <c r="W36" s="122"/>
      <c r="X36" s="122"/>
      <c r="Y36" s="122"/>
      <c r="Z36" s="122"/>
      <c r="AA36" s="122"/>
      <c r="AB36" s="122"/>
      <c r="AC36" s="122"/>
      <c r="AD36" s="122"/>
      <c r="AE36" s="122"/>
      <c r="AF36" s="122"/>
      <c r="AG36" s="122"/>
      <c r="AH36" s="122"/>
    </row>
    <row r="37" spans="3:34" x14ac:dyDescent="0.25">
      <c r="C37" t="s">
        <v>113</v>
      </c>
      <c r="D37" t="s">
        <v>106</v>
      </c>
      <c r="E37" s="41"/>
      <c r="F37" s="40"/>
      <c r="G37" s="42"/>
      <c r="H37" s="42"/>
      <c r="I37" s="42"/>
      <c r="J37" s="42"/>
      <c r="K37" s="42"/>
      <c r="L37" s="42"/>
      <c r="M37" s="42"/>
      <c r="O37" s="122"/>
      <c r="P37" s="122"/>
      <c r="Q37" s="122"/>
      <c r="R37" s="122"/>
      <c r="S37" s="122"/>
      <c r="T37" s="122"/>
      <c r="U37" s="122"/>
      <c r="V37" s="122"/>
      <c r="W37" s="122"/>
      <c r="X37" s="122"/>
      <c r="Y37" s="122"/>
      <c r="Z37" s="122"/>
      <c r="AA37" s="122"/>
      <c r="AB37" s="122"/>
      <c r="AC37" s="122"/>
      <c r="AD37" s="122"/>
      <c r="AE37" s="122"/>
      <c r="AF37" s="122"/>
      <c r="AG37" s="122"/>
      <c r="AH37" s="122"/>
    </row>
    <row r="38" spans="3:34" x14ac:dyDescent="0.25">
      <c r="C38" t="s">
        <v>114</v>
      </c>
      <c r="D38" t="s">
        <v>106</v>
      </c>
      <c r="E38" s="41"/>
      <c r="F38" s="40"/>
      <c r="G38" s="42"/>
      <c r="H38" s="42"/>
      <c r="I38" s="42"/>
      <c r="J38" s="42"/>
      <c r="K38" s="42"/>
      <c r="L38" s="42"/>
      <c r="M38" s="42"/>
      <c r="O38" s="72" t="s">
        <v>212</v>
      </c>
      <c r="P38" s="73"/>
      <c r="Q38" s="73"/>
      <c r="R38" s="73"/>
      <c r="S38" s="73"/>
      <c r="T38" s="73"/>
      <c r="U38" s="72" t="s">
        <v>213</v>
      </c>
      <c r="V38" s="73"/>
      <c r="W38" s="73"/>
      <c r="X38" s="73"/>
      <c r="Y38" s="73"/>
      <c r="Z38" s="73"/>
      <c r="AA38" s="73"/>
      <c r="AB38" s="73"/>
      <c r="AC38" s="73"/>
      <c r="AD38" s="73"/>
      <c r="AE38" s="73"/>
      <c r="AF38" s="73"/>
      <c r="AG38" s="73"/>
      <c r="AH38" s="73"/>
    </row>
    <row r="39" spans="3:34" x14ac:dyDescent="0.25">
      <c r="C39" t="s">
        <v>115</v>
      </c>
      <c r="D39" t="s">
        <v>106</v>
      </c>
      <c r="O39" s="73"/>
      <c r="P39" s="73"/>
      <c r="Q39" s="73"/>
      <c r="R39" s="73"/>
      <c r="S39" s="73"/>
      <c r="T39" s="73"/>
      <c r="U39" s="73"/>
      <c r="V39" s="73"/>
      <c r="W39" s="73"/>
      <c r="X39" s="73"/>
      <c r="Y39" s="73"/>
      <c r="Z39" s="73"/>
      <c r="AA39" s="73"/>
      <c r="AB39" s="73"/>
      <c r="AC39" s="73"/>
      <c r="AD39" s="73"/>
      <c r="AE39" s="73"/>
      <c r="AF39" s="73"/>
      <c r="AG39" s="73"/>
      <c r="AH39" s="73"/>
    </row>
    <row r="40" spans="3:34" x14ac:dyDescent="0.25">
      <c r="C40" t="s">
        <v>105</v>
      </c>
      <c r="D40" t="s">
        <v>106</v>
      </c>
      <c r="G40">
        <v>8.2100000000000009</v>
      </c>
      <c r="H40">
        <v>7.84</v>
      </c>
      <c r="I40">
        <v>8.4499999999999993</v>
      </c>
      <c r="J40">
        <v>8.51</v>
      </c>
      <c r="K40">
        <v>8.7100000000000009</v>
      </c>
      <c r="L40">
        <v>8.42</v>
      </c>
      <c r="M40">
        <f>AVERAGE(G40:L40)</f>
        <v>8.3566666666666674</v>
      </c>
      <c r="O40" t="s">
        <v>214</v>
      </c>
      <c r="R40" t="s">
        <v>214</v>
      </c>
      <c r="X40" t="s">
        <v>215</v>
      </c>
      <c r="Y40" t="s">
        <v>68</v>
      </c>
      <c r="Z40" t="s">
        <v>216</v>
      </c>
      <c r="AB40" t="s">
        <v>217</v>
      </c>
    </row>
    <row r="41" spans="3:34" x14ac:dyDescent="0.25">
      <c r="D41" t="s">
        <v>107</v>
      </c>
      <c r="G41">
        <f>G40*69.78%</f>
        <v>5.7289380000000003</v>
      </c>
      <c r="H41">
        <f>69.9%*H40</f>
        <v>5.4801600000000006</v>
      </c>
      <c r="I41">
        <v>6.15</v>
      </c>
      <c r="J41">
        <v>6.55</v>
      </c>
      <c r="K41">
        <v>6.6</v>
      </c>
      <c r="L41">
        <v>6.46</v>
      </c>
      <c r="M41">
        <f t="shared" ref="M41:M63" si="0">AVERAGE(G41:L41)</f>
        <v>6.161516333333334</v>
      </c>
      <c r="O41" t="s">
        <v>214</v>
      </c>
      <c r="P41" t="s">
        <v>107</v>
      </c>
      <c r="Q41">
        <f>M41</f>
        <v>6.161516333333334</v>
      </c>
      <c r="R41" s="63">
        <f>Q41/SUM($Q$41:$Q$60)</f>
        <v>0.25156998594545116</v>
      </c>
      <c r="U41">
        <v>19.807276158299409</v>
      </c>
      <c r="V41" s="63">
        <f>U41/SUM($U$41:$U$60)</f>
        <v>0.21800307041641151</v>
      </c>
      <c r="W41" t="s">
        <v>110</v>
      </c>
      <c r="X41">
        <v>25.908000000000001</v>
      </c>
      <c r="Y41" t="s">
        <v>218</v>
      </c>
      <c r="Z41">
        <f>X41/AG41+1</f>
        <v>2.0404819277108435</v>
      </c>
      <c r="AB41" t="s">
        <v>219</v>
      </c>
      <c r="AG41">
        <v>24.9</v>
      </c>
      <c r="AH41" t="s">
        <v>218</v>
      </c>
    </row>
    <row r="42" spans="3:34" x14ac:dyDescent="0.25">
      <c r="D42" t="s">
        <v>108</v>
      </c>
      <c r="G42">
        <f>G40-G41</f>
        <v>2.4810620000000005</v>
      </c>
      <c r="H42">
        <f>H43</f>
        <v>2.3598399999999993</v>
      </c>
      <c r="I42">
        <f>SUM(I43:I45)</f>
        <v>2.2999999999999998</v>
      </c>
      <c r="J42">
        <f>SUM(J43:J45)</f>
        <v>1.96</v>
      </c>
      <c r="K42">
        <f>SUM(K43:K45)</f>
        <v>2.1</v>
      </c>
      <c r="L42">
        <f>SUM(L43:L45)</f>
        <v>1.96</v>
      </c>
      <c r="M42">
        <f t="shared" si="0"/>
        <v>2.1934836666666668</v>
      </c>
      <c r="P42" t="s">
        <v>109</v>
      </c>
      <c r="Q42">
        <f>M42</f>
        <v>2.1934836666666668</v>
      </c>
      <c r="R42" s="63">
        <f t="shared" ref="R42:R60" si="1">Q42/SUM($Q$41:$Q$60)</f>
        <v>8.9558255686126284E-2</v>
      </c>
      <c r="U42">
        <f>Q42*$Z$43</f>
        <v>5.1135844227258573</v>
      </c>
      <c r="V42" s="63">
        <f t="shared" ref="V42:V60" si="2">U42/SUM($U$41:$U$60)</f>
        <v>5.6281191622638609E-2</v>
      </c>
      <c r="W42" t="s">
        <v>220</v>
      </c>
      <c r="X42">
        <v>40.765999999999998</v>
      </c>
      <c r="Y42" t="s">
        <v>221</v>
      </c>
      <c r="Z42">
        <f>X42/AG42+1</f>
        <v>2.0090594059405937</v>
      </c>
      <c r="AB42" t="s">
        <v>222</v>
      </c>
      <c r="AG42">
        <v>40.4</v>
      </c>
      <c r="AH42" t="s">
        <v>221</v>
      </c>
    </row>
    <row r="43" spans="3:34" x14ac:dyDescent="0.25">
      <c r="D43" t="s">
        <v>109</v>
      </c>
      <c r="G43">
        <f>G42</f>
        <v>2.4810620000000005</v>
      </c>
      <c r="H43">
        <f>H40-H41</f>
        <v>2.3598399999999993</v>
      </c>
      <c r="I43">
        <v>2.2999999999999998</v>
      </c>
      <c r="J43">
        <v>1.95</v>
      </c>
      <c r="K43">
        <v>2.1</v>
      </c>
      <c r="L43">
        <v>1.96</v>
      </c>
      <c r="M43">
        <f t="shared" si="0"/>
        <v>2.1918169999999999</v>
      </c>
      <c r="R43" s="63">
        <f>Q43/SUM($Q$41:$Q$60)</f>
        <v>0</v>
      </c>
      <c r="V43" s="63">
        <f t="shared" si="2"/>
        <v>0</v>
      </c>
      <c r="W43" t="s">
        <v>223</v>
      </c>
      <c r="X43">
        <v>56.978000000000002</v>
      </c>
      <c r="Y43" t="s">
        <v>218</v>
      </c>
      <c r="Z43">
        <f>X43/AG43+1</f>
        <v>2.3312616822429906</v>
      </c>
      <c r="AB43" t="s">
        <v>224</v>
      </c>
      <c r="AG43">
        <v>42.8</v>
      </c>
      <c r="AH43" t="s">
        <v>218</v>
      </c>
    </row>
    <row r="44" spans="3:34" x14ac:dyDescent="0.25">
      <c r="D44" t="s">
        <v>110</v>
      </c>
      <c r="G44">
        <v>0</v>
      </c>
      <c r="H44">
        <v>0</v>
      </c>
      <c r="I44">
        <v>0</v>
      </c>
      <c r="J44">
        <v>0</v>
      </c>
      <c r="K44">
        <v>0</v>
      </c>
      <c r="L44">
        <v>0</v>
      </c>
      <c r="M44">
        <f t="shared" si="0"/>
        <v>0</v>
      </c>
      <c r="P44" t="s">
        <v>110</v>
      </c>
      <c r="Q44">
        <f>M44</f>
        <v>0</v>
      </c>
      <c r="R44" s="63">
        <f t="shared" si="1"/>
        <v>0</v>
      </c>
      <c r="U44">
        <f>Q44*$Z$41</f>
        <v>0</v>
      </c>
      <c r="V44" s="63">
        <f t="shared" si="2"/>
        <v>0</v>
      </c>
      <c r="W44" t="s">
        <v>78</v>
      </c>
      <c r="X44" s="74">
        <v>0.13611000000000001</v>
      </c>
      <c r="Y44" t="s">
        <v>225</v>
      </c>
      <c r="AB44" t="s">
        <v>226</v>
      </c>
    </row>
    <row r="45" spans="3:34" x14ac:dyDescent="0.25">
      <c r="D45" t="s">
        <v>112</v>
      </c>
      <c r="G45">
        <v>0</v>
      </c>
      <c r="H45">
        <v>0</v>
      </c>
      <c r="I45">
        <v>0</v>
      </c>
      <c r="J45">
        <v>0.01</v>
      </c>
      <c r="K45">
        <v>0</v>
      </c>
      <c r="L45">
        <v>0</v>
      </c>
      <c r="M45">
        <f t="shared" si="0"/>
        <v>1.6666666666666668E-3</v>
      </c>
      <c r="P45" t="s">
        <v>112</v>
      </c>
      <c r="Q45">
        <f>M45</f>
        <v>1.6666666666666668E-3</v>
      </c>
      <c r="R45" s="63">
        <f t="shared" si="1"/>
        <v>6.8048721650025419E-5</v>
      </c>
      <c r="S45" s="39">
        <f>SUM(R41:R45)</f>
        <v>0.34119629035322746</v>
      </c>
      <c r="U45">
        <f>Q45*$Z$42</f>
        <v>3.3484323432343231E-3</v>
      </c>
      <c r="V45" s="63">
        <f t="shared" si="2"/>
        <v>3.6853554525761444E-5</v>
      </c>
      <c r="X45" s="74">
        <v>12.864000000000001</v>
      </c>
      <c r="Y45" t="s">
        <v>225</v>
      </c>
      <c r="AB45" t="s">
        <v>227</v>
      </c>
    </row>
    <row r="46" spans="3:34" x14ac:dyDescent="0.25">
      <c r="C46" t="s">
        <v>113</v>
      </c>
      <c r="D46" t="s">
        <v>106</v>
      </c>
      <c r="G46">
        <v>6.6</v>
      </c>
      <c r="H46">
        <f>5.42</f>
        <v>5.42</v>
      </c>
      <c r="I46">
        <v>6.54</v>
      </c>
      <c r="J46">
        <v>6.09</v>
      </c>
      <c r="K46">
        <v>6.66</v>
      </c>
      <c r="L46">
        <v>6.68</v>
      </c>
      <c r="M46">
        <f t="shared" si="0"/>
        <v>6.3316666666666661</v>
      </c>
      <c r="O46" t="s">
        <v>113</v>
      </c>
      <c r="P46" t="s">
        <v>107</v>
      </c>
      <c r="Q46">
        <f>M47</f>
        <v>6.3075233333333331</v>
      </c>
      <c r="R46" s="63">
        <f t="shared" si="1"/>
        <v>0.25753133976662429</v>
      </c>
      <c r="U46">
        <v>26.631101140913028</v>
      </c>
      <c r="V46" s="63">
        <f t="shared" si="2"/>
        <v>0.29310753133799372</v>
      </c>
      <c r="X46">
        <v>5.2977000000000003E-2</v>
      </c>
      <c r="Y46" t="s">
        <v>225</v>
      </c>
      <c r="AB46" t="s">
        <v>228</v>
      </c>
    </row>
    <row r="47" spans="3:34" x14ac:dyDescent="0.25">
      <c r="D47" t="s">
        <v>107</v>
      </c>
      <c r="G47">
        <f>99.51%*G46</f>
        <v>6.5676600000000001</v>
      </c>
      <c r="H47">
        <f>H46*99.4%</f>
        <v>5.3874800000000009</v>
      </c>
      <c r="I47">
        <v>6.52</v>
      </c>
      <c r="J47">
        <v>6.08</v>
      </c>
      <c r="K47">
        <v>6.64</v>
      </c>
      <c r="L47">
        <v>6.65</v>
      </c>
      <c r="M47">
        <f t="shared" si="0"/>
        <v>6.3075233333333331</v>
      </c>
      <c r="P47" t="s">
        <v>108</v>
      </c>
      <c r="R47" s="63">
        <f t="shared" si="1"/>
        <v>0</v>
      </c>
      <c r="V47" s="63">
        <f t="shared" si="2"/>
        <v>0</v>
      </c>
      <c r="W47" t="s">
        <v>229</v>
      </c>
      <c r="X47">
        <v>12.24723</v>
      </c>
      <c r="Y47" t="s">
        <v>225</v>
      </c>
      <c r="Z47">
        <f>X47*0.277778</f>
        <v>3.4020110549400004</v>
      </c>
    </row>
    <row r="48" spans="3:34" x14ac:dyDescent="0.25">
      <c r="D48" t="s">
        <v>108</v>
      </c>
      <c r="G48">
        <f>G49</f>
        <v>3.2339999999999591E-2</v>
      </c>
      <c r="H48">
        <f>H49</f>
        <v>3.2519999999998994E-2</v>
      </c>
      <c r="I48">
        <f>SUM(I49:I51)</f>
        <v>0.02</v>
      </c>
      <c r="J48">
        <f>SUM(J49:J51)</f>
        <v>0.01</v>
      </c>
      <c r="K48">
        <f>SUM(K49:K51)</f>
        <v>0.02</v>
      </c>
      <c r="L48">
        <f>SUM(L49:L51)</f>
        <v>0.03</v>
      </c>
      <c r="M48">
        <f t="shared" si="0"/>
        <v>2.41433333333331E-2</v>
      </c>
      <c r="P48" t="s">
        <v>109</v>
      </c>
      <c r="Q48">
        <f>M49</f>
        <v>1.6971999999999716E-2</v>
      </c>
      <c r="R48" s="63">
        <f t="shared" si="1"/>
        <v>6.9295374230652718E-4</v>
      </c>
      <c r="U48">
        <f>Q48*$Z$43</f>
        <v>3.9566173271027377E-2</v>
      </c>
      <c r="V48" s="63">
        <f t="shared" si="2"/>
        <v>4.3547367082563481E-4</v>
      </c>
      <c r="W48" t="s">
        <v>230</v>
      </c>
      <c r="X48">
        <v>5.4923577710814016</v>
      </c>
      <c r="Y48" t="s">
        <v>225</v>
      </c>
      <c r="Z48">
        <f>X48*0.277778</f>
        <v>1.5256561569354496</v>
      </c>
    </row>
    <row r="49" spans="3:27" x14ac:dyDescent="0.25">
      <c r="D49" t="s">
        <v>109</v>
      </c>
      <c r="F49" s="75"/>
      <c r="G49" s="75">
        <f>G46-G47</f>
        <v>3.2339999999999591E-2</v>
      </c>
      <c r="H49" s="75">
        <f>H46-H47</f>
        <v>3.2519999999998994E-2</v>
      </c>
      <c r="I49" s="75">
        <v>0.01</v>
      </c>
      <c r="J49">
        <v>0</v>
      </c>
      <c r="L49">
        <v>0.01</v>
      </c>
      <c r="M49">
        <f t="shared" si="0"/>
        <v>1.6971999999999716E-2</v>
      </c>
      <c r="P49" t="s">
        <v>110</v>
      </c>
      <c r="Q49">
        <f>M50</f>
        <v>0</v>
      </c>
      <c r="R49" s="63">
        <f t="shared" si="1"/>
        <v>0</v>
      </c>
      <c r="U49">
        <f>Q49*$Z$41</f>
        <v>0</v>
      </c>
      <c r="V49" s="63">
        <f t="shared" si="2"/>
        <v>0</v>
      </c>
    </row>
    <row r="50" spans="3:27" x14ac:dyDescent="0.25">
      <c r="D50" t="s">
        <v>110</v>
      </c>
      <c r="F50" s="75"/>
      <c r="G50" s="75">
        <v>0</v>
      </c>
      <c r="H50" s="75">
        <v>0</v>
      </c>
      <c r="I50" s="75">
        <v>0</v>
      </c>
      <c r="J50">
        <v>0</v>
      </c>
      <c r="L50">
        <v>0</v>
      </c>
      <c r="M50">
        <f t="shared" si="0"/>
        <v>0</v>
      </c>
      <c r="P50" t="s">
        <v>112</v>
      </c>
      <c r="Q50">
        <f>M51</f>
        <v>0.01</v>
      </c>
      <c r="R50" s="63">
        <f t="shared" si="1"/>
        <v>4.0829232990015248E-4</v>
      </c>
      <c r="S50" s="39">
        <f>SUM(R46:R50)</f>
        <v>0.25863258583883098</v>
      </c>
      <c r="U50">
        <f>Q50*$Z$42</f>
        <v>2.0090594059405938E-2</v>
      </c>
      <c r="V50" s="63">
        <f t="shared" si="2"/>
        <v>2.2112132715456867E-4</v>
      </c>
    </row>
    <row r="51" spans="3:27" x14ac:dyDescent="0.25">
      <c r="D51" t="s">
        <v>112</v>
      </c>
      <c r="F51" s="75"/>
      <c r="G51" s="75">
        <v>0</v>
      </c>
      <c r="H51" s="75">
        <v>0</v>
      </c>
      <c r="I51" s="75">
        <v>0.01</v>
      </c>
      <c r="J51">
        <v>0.01</v>
      </c>
      <c r="K51">
        <v>0.02</v>
      </c>
      <c r="L51">
        <v>0.02</v>
      </c>
      <c r="M51">
        <f t="shared" si="0"/>
        <v>0.01</v>
      </c>
      <c r="O51" t="s">
        <v>114</v>
      </c>
      <c r="P51" t="s">
        <v>107</v>
      </c>
      <c r="Q51">
        <f>M53</f>
        <v>4.8855768333333334</v>
      </c>
      <c r="R51" s="63">
        <f t="shared" si="1"/>
        <v>0.19947435481878756</v>
      </c>
      <c r="U51">
        <v>25.524923222686983</v>
      </c>
      <c r="V51" s="63">
        <f t="shared" si="2"/>
        <v>0.2809327032256958</v>
      </c>
    </row>
    <row r="52" spans="3:27" x14ac:dyDescent="0.25">
      <c r="C52" t="s">
        <v>114</v>
      </c>
      <c r="D52" t="s">
        <v>106</v>
      </c>
      <c r="F52" s="75"/>
      <c r="G52" s="75">
        <v>7.53</v>
      </c>
      <c r="H52" s="75">
        <v>6.39</v>
      </c>
      <c r="I52" s="75">
        <v>6.92</v>
      </c>
      <c r="J52">
        <v>6.81</v>
      </c>
      <c r="K52">
        <v>6.98</v>
      </c>
      <c r="L52">
        <v>6.47</v>
      </c>
      <c r="M52">
        <f t="shared" si="0"/>
        <v>6.8499999999999988</v>
      </c>
      <c r="P52" t="s">
        <v>108</v>
      </c>
      <c r="R52" s="63">
        <f t="shared" si="1"/>
        <v>0</v>
      </c>
      <c r="V52" s="63">
        <f t="shared" si="2"/>
        <v>0</v>
      </c>
      <c r="W52" t="s">
        <v>231</v>
      </c>
      <c r="X52" t="s">
        <v>232</v>
      </c>
    </row>
    <row r="53" spans="3:27" x14ac:dyDescent="0.25">
      <c r="D53" t="s">
        <v>107</v>
      </c>
      <c r="F53" s="75"/>
      <c r="G53" s="75">
        <f>71.97%*G52</f>
        <v>5.4193410000000002</v>
      </c>
      <c r="H53" s="75">
        <f>70.8%*H52</f>
        <v>4.5241199999999999</v>
      </c>
      <c r="I53" s="75">
        <v>5</v>
      </c>
      <c r="J53">
        <v>4.8899999999999997</v>
      </c>
      <c r="K53">
        <v>4.92</v>
      </c>
      <c r="L53">
        <v>4.5599999999999996</v>
      </c>
      <c r="M53">
        <f t="shared" si="0"/>
        <v>4.8855768333333334</v>
      </c>
      <c r="P53" t="s">
        <v>109</v>
      </c>
      <c r="Q53">
        <f>M55</f>
        <v>2.1936347953713946E-2</v>
      </c>
      <c r="R53" s="63">
        <f t="shared" si="1"/>
        <v>8.9564426155223096E-4</v>
      </c>
      <c r="U53">
        <f>Q53*$Z$43</f>
        <v>5.113936743284276E-2</v>
      </c>
      <c r="V53" s="63">
        <f t="shared" si="2"/>
        <v>5.6285069337216431E-4</v>
      </c>
      <c r="W53" t="s">
        <v>118</v>
      </c>
      <c r="X53">
        <v>2.399182176215521</v>
      </c>
    </row>
    <row r="54" spans="3:27" x14ac:dyDescent="0.25">
      <c r="D54" t="s">
        <v>108</v>
      </c>
      <c r="F54" s="75"/>
      <c r="G54" s="75">
        <f>G52-G53</f>
        <v>2.1106590000000001</v>
      </c>
      <c r="H54" s="75">
        <f>SUM(H55:H57)</f>
        <v>1.8024400799999998</v>
      </c>
      <c r="I54" s="75">
        <f>SUM(I55:I57)</f>
        <v>1.92</v>
      </c>
      <c r="J54">
        <f>SUM(J55:J57)</f>
        <v>2.4699999999999998</v>
      </c>
      <c r="K54">
        <f>SUM(K55:K57)</f>
        <v>2.06</v>
      </c>
      <c r="L54">
        <f>SUM(L55:L57)</f>
        <v>1.91</v>
      </c>
      <c r="M54">
        <f t="shared" si="0"/>
        <v>2.0455165133333333</v>
      </c>
      <c r="P54" t="s">
        <v>110</v>
      </c>
      <c r="Q54">
        <f>M56</f>
        <v>1.7245895760656855</v>
      </c>
      <c r="R54" s="63">
        <f t="shared" si="1"/>
        <v>7.041366961333749E-2</v>
      </c>
      <c r="U54">
        <f>Q54*$Z$41</f>
        <v>3.5189938626805364</v>
      </c>
      <c r="V54" s="63">
        <f t="shared" si="2"/>
        <v>3.8730790680647033E-2</v>
      </c>
      <c r="W54" t="s">
        <v>110</v>
      </c>
      <c r="X54">
        <f>(R44+R49+R54+R59)*Z41</f>
        <v>0.30238184038479149</v>
      </c>
      <c r="AA54">
        <f>U41/Q41</f>
        <v>3.2146755906729574</v>
      </c>
    </row>
    <row r="55" spans="3:27" x14ac:dyDescent="0.25">
      <c r="D55" t="s">
        <v>109</v>
      </c>
      <c r="F55" s="75"/>
      <c r="G55" s="75">
        <f>H55/$H$54*$G$54</f>
        <v>2.2448087722283676E-2</v>
      </c>
      <c r="H55" s="75">
        <f>0.3%*H52</f>
        <v>1.917E-2</v>
      </c>
      <c r="I55" s="75">
        <v>0.03</v>
      </c>
      <c r="J55">
        <v>0.02</v>
      </c>
      <c r="K55">
        <v>0.02</v>
      </c>
      <c r="L55">
        <v>0.02</v>
      </c>
      <c r="M55">
        <f t="shared" si="0"/>
        <v>2.1936347953713946E-2</v>
      </c>
      <c r="P55" t="s">
        <v>112</v>
      </c>
      <c r="Q55">
        <f>M57</f>
        <v>0.29899058931393402</v>
      </c>
      <c r="R55" s="63">
        <f t="shared" si="1"/>
        <v>1.2207556432920576E-2</v>
      </c>
      <c r="S55" s="39">
        <f>SUM(R51:R55)</f>
        <v>0.28299122512659786</v>
      </c>
      <c r="U55">
        <f>Q55*$Z$42</f>
        <v>0.60068985574888034</v>
      </c>
      <c r="V55" s="63">
        <f t="shared" si="2"/>
        <v>6.6113195915823691E-3</v>
      </c>
      <c r="W55" t="s">
        <v>220</v>
      </c>
      <c r="X55">
        <f>(R45+R50+R55+R60)*Z42</f>
        <v>2.5482703545162202E-2</v>
      </c>
      <c r="AA55">
        <f>U51/Q51</f>
        <v>5.2245464749495767</v>
      </c>
    </row>
    <row r="56" spans="3:27" x14ac:dyDescent="0.25">
      <c r="D56" t="s">
        <v>110</v>
      </c>
      <c r="F56" s="75"/>
      <c r="G56" s="75">
        <f t="shared" ref="G56:G57" si="3">H56/$H$54*$G$54</f>
        <v>1.9080874563941124</v>
      </c>
      <c r="H56" s="75">
        <f>25.5%*H52</f>
        <v>1.6294499999999998</v>
      </c>
      <c r="I56" s="75">
        <v>1.67</v>
      </c>
      <c r="J56">
        <v>1.65</v>
      </c>
      <c r="K56">
        <v>1.84</v>
      </c>
      <c r="L56">
        <v>1.65</v>
      </c>
      <c r="M56">
        <f t="shared" si="0"/>
        <v>1.7245895760656855</v>
      </c>
      <c r="O56" t="s">
        <v>115</v>
      </c>
      <c r="P56" t="s">
        <v>107</v>
      </c>
      <c r="Q56">
        <f>M59</f>
        <v>0.92448533333333327</v>
      </c>
      <c r="R56" s="63">
        <f t="shared" si="1"/>
        <v>3.7746027070518572E-2</v>
      </c>
      <c r="U56">
        <v>5.5654896057583167</v>
      </c>
      <c r="V56" s="63">
        <f t="shared" si="2"/>
        <v>6.1254955640003876E-2</v>
      </c>
      <c r="W56" t="s">
        <v>223</v>
      </c>
      <c r="X56">
        <f>(R47+R53+R58+R42)*Z43</f>
        <v>0.21473264741622108</v>
      </c>
    </row>
    <row r="57" spans="3:27" x14ac:dyDescent="0.25">
      <c r="D57" t="s">
        <v>112</v>
      </c>
      <c r="F57" s="75"/>
      <c r="G57" s="75">
        <f t="shared" si="3"/>
        <v>0.18012345588360421</v>
      </c>
      <c r="H57" s="75">
        <f>3.4%*H53</f>
        <v>0.15382008</v>
      </c>
      <c r="I57" s="75">
        <v>0.22</v>
      </c>
      <c r="J57">
        <v>0.8</v>
      </c>
      <c r="K57">
        <v>0.2</v>
      </c>
      <c r="L57">
        <v>0.24</v>
      </c>
      <c r="M57">
        <f t="shared" si="0"/>
        <v>0.29899058931393402</v>
      </c>
      <c r="P57" t="s">
        <v>108</v>
      </c>
      <c r="R57" s="63">
        <f t="shared" si="1"/>
        <v>0</v>
      </c>
      <c r="V57" s="63">
        <f t="shared" si="2"/>
        <v>0</v>
      </c>
      <c r="W57" t="s">
        <v>137</v>
      </c>
      <c r="X57">
        <f>SUM(X53:X56)</f>
        <v>2.9417793675616961</v>
      </c>
    </row>
    <row r="58" spans="3:27" x14ac:dyDescent="0.25">
      <c r="C58" t="s">
        <v>115</v>
      </c>
      <c r="D58" t="s">
        <v>106</v>
      </c>
      <c r="F58" s="75"/>
      <c r="G58" s="75">
        <v>2.84</v>
      </c>
      <c r="H58" s="75">
        <v>2.96</v>
      </c>
      <c r="I58" s="75">
        <v>3.03</v>
      </c>
      <c r="J58">
        <v>2.98</v>
      </c>
      <c r="K58">
        <v>2.82</v>
      </c>
      <c r="L58">
        <v>2.59</v>
      </c>
      <c r="M58">
        <f t="shared" si="0"/>
        <v>2.8699999999999997</v>
      </c>
      <c r="P58" t="s">
        <v>109</v>
      </c>
      <c r="Q58">
        <f>M61</f>
        <v>4.0563031746031743E-2</v>
      </c>
      <c r="R58" s="63">
        <f t="shared" si="1"/>
        <v>1.6561574739401149E-3</v>
      </c>
      <c r="U58">
        <f>Q58*$Z$43</f>
        <v>9.4563041625129796E-2</v>
      </c>
      <c r="V58" s="63">
        <f t="shared" si="2"/>
        <v>1.0407808351556385E-3</v>
      </c>
    </row>
    <row r="59" spans="3:27" x14ac:dyDescent="0.25">
      <c r="D59" t="s">
        <v>107</v>
      </c>
      <c r="F59" s="75"/>
      <c r="G59" s="75">
        <f>36.48%*G58</f>
        <v>1.0360319999999998</v>
      </c>
      <c r="H59" s="75">
        <f>32.8%*H58</f>
        <v>0.97087999999999985</v>
      </c>
      <c r="I59" s="75">
        <v>0.92</v>
      </c>
      <c r="J59">
        <v>0.85</v>
      </c>
      <c r="K59">
        <v>0.89</v>
      </c>
      <c r="L59">
        <v>0.88</v>
      </c>
      <c r="M59">
        <f t="shared" si="0"/>
        <v>0.92448533333333327</v>
      </c>
      <c r="P59" t="s">
        <v>110</v>
      </c>
      <c r="Q59">
        <f>M62</f>
        <v>1.904951634920635</v>
      </c>
      <c r="R59" s="63">
        <f t="shared" si="1"/>
        <v>7.7777714136885071E-2</v>
      </c>
      <c r="U59">
        <f>Q59*$Z$41</f>
        <v>3.8870193842187803</v>
      </c>
      <c r="V59" s="63">
        <f t="shared" si="2"/>
        <v>4.2781357403993345E-2</v>
      </c>
    </row>
    <row r="60" spans="3:27" x14ac:dyDescent="0.25">
      <c r="D60" t="s">
        <v>108</v>
      </c>
      <c r="F60" s="75"/>
      <c r="G60" s="75">
        <f>G58-G59</f>
        <v>1.803968</v>
      </c>
      <c r="H60" s="75">
        <f>SUM(H61:H63)</f>
        <v>1.9891200000000002</v>
      </c>
      <c r="I60" s="75">
        <v>0.85</v>
      </c>
      <c r="J60">
        <f>SUM(J61:J63)</f>
        <v>2.13</v>
      </c>
      <c r="K60">
        <f>SUM(K61:K63)</f>
        <v>1.93</v>
      </c>
      <c r="L60">
        <f>SUM(L61:L63)</f>
        <v>1.71</v>
      </c>
      <c r="M60">
        <f t="shared" si="0"/>
        <v>1.7355146666666663</v>
      </c>
      <c r="P60" t="s">
        <v>112</v>
      </c>
      <c r="Q60">
        <f>M63</f>
        <v>0</v>
      </c>
      <c r="R60" s="63">
        <f t="shared" si="1"/>
        <v>0</v>
      </c>
      <c r="S60" s="39">
        <f>SUM(R56:R60)</f>
        <v>0.11717989868134376</v>
      </c>
      <c r="U60">
        <f>Q60*$Z$42</f>
        <v>0</v>
      </c>
      <c r="V60" s="63">
        <f t="shared" si="2"/>
        <v>0</v>
      </c>
    </row>
    <row r="61" spans="3:27" x14ac:dyDescent="0.25">
      <c r="D61" t="s">
        <v>109</v>
      </c>
      <c r="F61" s="75"/>
      <c r="G61" s="75">
        <f>H61/$H$60*G60</f>
        <v>3.4898190476190472E-2</v>
      </c>
      <c r="H61" s="75">
        <f>1.3%*H58</f>
        <v>3.848E-2</v>
      </c>
      <c r="I61" s="75">
        <v>0.04</v>
      </c>
      <c r="J61">
        <v>0.04</v>
      </c>
      <c r="K61">
        <v>0.04</v>
      </c>
      <c r="L61">
        <v>0.05</v>
      </c>
      <c r="M61">
        <f t="shared" si="0"/>
        <v>4.0563031746031743E-2</v>
      </c>
      <c r="Q61">
        <v>0.67523552071606796</v>
      </c>
      <c r="R61" t="s">
        <v>233</v>
      </c>
      <c r="U61">
        <v>2.5048899365931665</v>
      </c>
      <c r="V61" t="s">
        <v>234</v>
      </c>
    </row>
    <row r="62" spans="3:27" x14ac:dyDescent="0.25">
      <c r="D62" t="s">
        <v>110</v>
      </c>
      <c r="F62" s="75"/>
      <c r="G62" s="75">
        <f>H62/$H$60*G60</f>
        <v>1.7690698095238095</v>
      </c>
      <c r="H62" s="75">
        <f>65.9%*H58</f>
        <v>1.9506400000000002</v>
      </c>
      <c r="I62" s="75">
        <v>2.0699999999999998</v>
      </c>
      <c r="J62">
        <v>2.09</v>
      </c>
      <c r="K62">
        <v>1.89</v>
      </c>
      <c r="L62">
        <v>1.66</v>
      </c>
      <c r="M62">
        <f t="shared" si="0"/>
        <v>1.904951634920635</v>
      </c>
    </row>
    <row r="63" spans="3:27" x14ac:dyDescent="0.25">
      <c r="D63" t="s">
        <v>112</v>
      </c>
      <c r="F63" s="75"/>
      <c r="G63" s="75">
        <f t="shared" ref="G63" si="4">H63/$H$60*G62</f>
        <v>0</v>
      </c>
      <c r="H63" s="75">
        <v>0</v>
      </c>
      <c r="I63" s="75">
        <v>0</v>
      </c>
      <c r="J63">
        <v>0</v>
      </c>
      <c r="K63">
        <v>0</v>
      </c>
      <c r="L63">
        <v>0</v>
      </c>
      <c r="M63">
        <f t="shared" si="0"/>
        <v>0</v>
      </c>
    </row>
    <row r="64" spans="3:27" x14ac:dyDescent="0.25">
      <c r="F64" s="75"/>
      <c r="G64" s="76"/>
      <c r="H64" s="76"/>
      <c r="I64" s="76"/>
      <c r="J64" s="76"/>
      <c r="K64" s="76"/>
      <c r="L64" s="75"/>
      <c r="Q64" s="42">
        <v>2015</v>
      </c>
      <c r="R64" s="42">
        <v>2014</v>
      </c>
      <c r="S64" s="42">
        <v>2013</v>
      </c>
      <c r="T64" s="42">
        <v>2012</v>
      </c>
      <c r="U64" s="42">
        <v>2011</v>
      </c>
      <c r="V64" s="42">
        <v>2010</v>
      </c>
    </row>
    <row r="65" spans="3:22" x14ac:dyDescent="0.25">
      <c r="C65" t="s">
        <v>235</v>
      </c>
      <c r="D65" t="s">
        <v>121</v>
      </c>
      <c r="E65" t="s">
        <v>103</v>
      </c>
      <c r="F65" s="75"/>
      <c r="G65" s="75">
        <v>70800</v>
      </c>
      <c r="H65" s="75">
        <v>67460</v>
      </c>
      <c r="I65" s="75">
        <v>65150.000000000007</v>
      </c>
      <c r="J65">
        <v>55630</v>
      </c>
      <c r="K65">
        <v>59680</v>
      </c>
      <c r="P65" t="s">
        <v>118</v>
      </c>
      <c r="Q65">
        <f>G41+G47+G53+G59</f>
        <v>18.751970999999998</v>
      </c>
      <c r="R65">
        <f t="shared" ref="R65:V65" si="5">H41+H47+H53+H59</f>
        <v>16.362640000000003</v>
      </c>
      <c r="S65">
        <f t="shared" si="5"/>
        <v>18.590000000000003</v>
      </c>
      <c r="T65">
        <f t="shared" si="5"/>
        <v>18.37</v>
      </c>
      <c r="U65">
        <f t="shared" si="5"/>
        <v>19.049999999999997</v>
      </c>
      <c r="V65">
        <f t="shared" si="5"/>
        <v>18.549999999999997</v>
      </c>
    </row>
    <row r="66" spans="3:22" x14ac:dyDescent="0.25">
      <c r="D66" t="s">
        <v>236</v>
      </c>
      <c r="E66" t="s">
        <v>103</v>
      </c>
      <c r="F66" s="75"/>
      <c r="G66" s="75">
        <v>15970</v>
      </c>
      <c r="H66" s="75">
        <v>8310</v>
      </c>
      <c r="I66" s="75">
        <v>26751</v>
      </c>
      <c r="J66">
        <v>6920</v>
      </c>
      <c r="K66">
        <v>7912</v>
      </c>
      <c r="P66" t="s">
        <v>109</v>
      </c>
      <c r="Q66">
        <f>G42+G48+G55+G60</f>
        <v>4.3398180877222838</v>
      </c>
      <c r="R66">
        <f t="shared" ref="R66:V66" si="6">H42+H48+H55+H60</f>
        <v>4.4006499999999988</v>
      </c>
      <c r="S66">
        <f t="shared" si="6"/>
        <v>3.1999999999999997</v>
      </c>
      <c r="T66">
        <f t="shared" si="6"/>
        <v>4.12</v>
      </c>
      <c r="U66">
        <f t="shared" si="6"/>
        <v>4.07</v>
      </c>
      <c r="V66">
        <f t="shared" si="6"/>
        <v>3.7199999999999998</v>
      </c>
    </row>
    <row r="67" spans="3:22" x14ac:dyDescent="0.25">
      <c r="D67" t="s">
        <v>237</v>
      </c>
      <c r="E67" t="s">
        <v>103</v>
      </c>
      <c r="G67">
        <v>370</v>
      </c>
      <c r="H67">
        <v>330</v>
      </c>
      <c r="I67">
        <v>380</v>
      </c>
      <c r="J67">
        <v>390</v>
      </c>
      <c r="K67">
        <v>540</v>
      </c>
      <c r="P67" t="s">
        <v>110</v>
      </c>
      <c r="Q67">
        <f>G44+G50+G62+G56</f>
        <v>3.6771572659179217</v>
      </c>
      <c r="R67">
        <f t="shared" ref="R67:V68" si="7">H44+H50+H62+H56</f>
        <v>3.5800900000000002</v>
      </c>
      <c r="S67">
        <f t="shared" si="7"/>
        <v>3.7399999999999998</v>
      </c>
      <c r="T67">
        <f t="shared" si="7"/>
        <v>3.7399999999999998</v>
      </c>
      <c r="U67">
        <f t="shared" si="7"/>
        <v>3.73</v>
      </c>
      <c r="V67">
        <f t="shared" si="7"/>
        <v>3.3099999999999996</v>
      </c>
    </row>
    <row r="68" spans="3:22" x14ac:dyDescent="0.25">
      <c r="C68" t="s">
        <v>238</v>
      </c>
      <c r="D68" s="77" t="s">
        <v>238</v>
      </c>
      <c r="E68" s="43" t="s">
        <v>239</v>
      </c>
      <c r="G68" s="43">
        <v>70.8</v>
      </c>
      <c r="H68" s="43">
        <v>67.459999999999994</v>
      </c>
      <c r="I68" s="43">
        <v>65.150000000000006</v>
      </c>
      <c r="J68" s="43">
        <v>55.63</v>
      </c>
      <c r="K68" s="43">
        <v>59.68</v>
      </c>
      <c r="L68" s="75"/>
      <c r="P68" t="s">
        <v>112</v>
      </c>
      <c r="Q68">
        <f>G45+G51+G63+G57</f>
        <v>0.18012345588360421</v>
      </c>
      <c r="R68">
        <f t="shared" si="7"/>
        <v>0.15382008</v>
      </c>
      <c r="S68">
        <f t="shared" si="7"/>
        <v>0.23</v>
      </c>
      <c r="T68">
        <f t="shared" si="7"/>
        <v>0.82000000000000006</v>
      </c>
      <c r="U68">
        <f t="shared" si="7"/>
        <v>0.22</v>
      </c>
      <c r="V68">
        <f t="shared" si="7"/>
        <v>0.26</v>
      </c>
    </row>
    <row r="70" spans="3:22" x14ac:dyDescent="0.25">
      <c r="P70" t="s">
        <v>118</v>
      </c>
      <c r="Q70" s="63">
        <f>Q65/SUM(Q$65:Q$68)</f>
        <v>0.69582999088796182</v>
      </c>
      <c r="R70" s="63">
        <f t="shared" ref="R70:V70" si="8">R65/SUM(R$65:R$68)</f>
        <v>0.66793919086935916</v>
      </c>
      <c r="S70" s="63">
        <f t="shared" si="8"/>
        <v>0.72166149068322993</v>
      </c>
      <c r="T70" s="63">
        <f t="shared" si="8"/>
        <v>0.67911275415896488</v>
      </c>
      <c r="U70" s="63">
        <f t="shared" si="8"/>
        <v>0.70373106760251203</v>
      </c>
      <c r="V70" s="63">
        <f t="shared" si="8"/>
        <v>0.71787925696594423</v>
      </c>
    </row>
    <row r="71" spans="3:22" x14ac:dyDescent="0.25">
      <c r="C71" s="51" t="s">
        <v>144</v>
      </c>
      <c r="D71" s="51"/>
      <c r="E71" s="78"/>
      <c r="F71" s="51" t="s">
        <v>68</v>
      </c>
      <c r="G71" s="52">
        <v>2015</v>
      </c>
      <c r="H71" s="52">
        <v>2014</v>
      </c>
      <c r="I71" s="52">
        <v>2013</v>
      </c>
      <c r="J71" s="52">
        <v>2012</v>
      </c>
      <c r="K71" s="52">
        <v>2011</v>
      </c>
      <c r="L71" s="52">
        <v>2010</v>
      </c>
      <c r="M71" s="52"/>
      <c r="P71" t="s">
        <v>109</v>
      </c>
      <c r="Q71" s="63">
        <f t="shared" ref="Q71:V73" si="9">Q66/SUM(Q$65:Q$68)</f>
        <v>0.16103776933289887</v>
      </c>
      <c r="R71" s="63">
        <f t="shared" si="9"/>
        <v>0.17963889692001073</v>
      </c>
      <c r="S71" s="63">
        <f t="shared" si="9"/>
        <v>0.12422360248447203</v>
      </c>
      <c r="T71" s="63">
        <f t="shared" si="9"/>
        <v>0.15231053604436229</v>
      </c>
      <c r="U71" s="63">
        <f t="shared" si="9"/>
        <v>0.15035094200221649</v>
      </c>
      <c r="V71" s="63">
        <f t="shared" si="9"/>
        <v>0.14396284829721365</v>
      </c>
    </row>
    <row r="72" spans="3:22" x14ac:dyDescent="0.25">
      <c r="P72" t="s">
        <v>110</v>
      </c>
      <c r="Q72" s="63">
        <f t="shared" si="9"/>
        <v>0.13644839290959176</v>
      </c>
      <c r="R72" s="63">
        <f t="shared" si="9"/>
        <v>0.1461428240088081</v>
      </c>
      <c r="S72" s="63">
        <f t="shared" si="9"/>
        <v>0.14518633540372669</v>
      </c>
      <c r="T72" s="63">
        <f t="shared" si="9"/>
        <v>0.13826247689463955</v>
      </c>
      <c r="U72" s="63">
        <f t="shared" si="9"/>
        <v>0.13779091244920577</v>
      </c>
      <c r="V72" s="63">
        <f t="shared" si="9"/>
        <v>0.12809597523219815</v>
      </c>
    </row>
    <row r="73" spans="3:22" x14ac:dyDescent="0.25">
      <c r="E73" s="67" t="s">
        <v>240</v>
      </c>
      <c r="F73" s="67" t="s">
        <v>200</v>
      </c>
      <c r="G73" s="79">
        <v>277112</v>
      </c>
      <c r="H73" s="79">
        <v>285288</v>
      </c>
      <c r="I73" s="79">
        <v>271184</v>
      </c>
      <c r="J73" s="80">
        <v>285362</v>
      </c>
      <c r="K73" s="80">
        <v>287304</v>
      </c>
      <c r="L73" s="80">
        <v>292552</v>
      </c>
      <c r="N73" t="s">
        <v>241</v>
      </c>
      <c r="P73" t="s">
        <v>112</v>
      </c>
      <c r="Q73" s="63">
        <f t="shared" si="9"/>
        <v>6.6838468695475549E-3</v>
      </c>
      <c r="R73" s="63">
        <f t="shared" si="9"/>
        <v>6.2790882018219606E-3</v>
      </c>
      <c r="S73" s="63">
        <f t="shared" si="9"/>
        <v>8.9285714285714281E-3</v>
      </c>
      <c r="T73" s="63">
        <f t="shared" si="9"/>
        <v>3.0314232902033274E-2</v>
      </c>
      <c r="U73" s="63">
        <f t="shared" si="9"/>
        <v>8.1270779460657569E-3</v>
      </c>
      <c r="V73" s="63">
        <f t="shared" si="9"/>
        <v>1.0061919504643965E-2</v>
      </c>
    </row>
    <row r="74" spans="3:22" x14ac:dyDescent="0.25">
      <c r="E74" t="s">
        <v>242</v>
      </c>
      <c r="F74" t="s">
        <v>183</v>
      </c>
      <c r="G74">
        <v>523</v>
      </c>
      <c r="H74">
        <v>937</v>
      </c>
      <c r="I74">
        <v>771</v>
      </c>
      <c r="J74">
        <v>405</v>
      </c>
      <c r="K74">
        <v>429</v>
      </c>
      <c r="L74">
        <v>511</v>
      </c>
      <c r="N74" t="s">
        <v>243</v>
      </c>
    </row>
    <row r="75" spans="3:22" x14ac:dyDescent="0.25">
      <c r="E75" t="s">
        <v>244</v>
      </c>
      <c r="F75" t="s">
        <v>245</v>
      </c>
      <c r="G75">
        <v>23</v>
      </c>
      <c r="H75">
        <v>44</v>
      </c>
      <c r="I75">
        <v>83</v>
      </c>
      <c r="J75">
        <v>22</v>
      </c>
      <c r="K75">
        <v>22</v>
      </c>
      <c r="L75">
        <v>31</v>
      </c>
    </row>
    <row r="76" spans="3:22" x14ac:dyDescent="0.25">
      <c r="C76" s="57" t="s">
        <v>152</v>
      </c>
      <c r="D76" s="57"/>
      <c r="E76" s="57"/>
      <c r="F76" s="57"/>
      <c r="G76" s="58">
        <v>2015</v>
      </c>
      <c r="H76" s="58">
        <v>2014</v>
      </c>
      <c r="I76" s="58">
        <v>2013</v>
      </c>
      <c r="J76" s="58">
        <v>2012</v>
      </c>
      <c r="K76" s="58">
        <v>2011</v>
      </c>
      <c r="L76" s="58">
        <v>2010</v>
      </c>
      <c r="M76" s="57"/>
    </row>
    <row r="77" spans="3:22" x14ac:dyDescent="0.25">
      <c r="C77" s="75"/>
      <c r="D77" s="75" t="s">
        <v>118</v>
      </c>
      <c r="E77" s="81" t="s">
        <v>246</v>
      </c>
      <c r="F77" s="121" t="s">
        <v>200</v>
      </c>
      <c r="G77" s="32">
        <f>(2*255384)/0.848744276774476</f>
        <v>601792.57047964598</v>
      </c>
      <c r="H77" s="32">
        <v>498521.18191358179</v>
      </c>
      <c r="I77" s="32">
        <v>497741.20610919013</v>
      </c>
      <c r="J77" s="32">
        <v>449055.16352750937</v>
      </c>
      <c r="K77" s="32">
        <v>423364.26864116429</v>
      </c>
      <c r="L77" s="32">
        <v>397474.25606457429</v>
      </c>
      <c r="M77" s="32"/>
      <c r="O77" t="s">
        <v>247</v>
      </c>
    </row>
    <row r="78" spans="3:22" x14ac:dyDescent="0.25">
      <c r="C78" s="75"/>
      <c r="D78" s="75" t="s">
        <v>248</v>
      </c>
      <c r="E78" s="81" t="s">
        <v>155</v>
      </c>
      <c r="F78" s="121"/>
      <c r="G78" s="32">
        <f>(2*79408)/0.848744276774476</f>
        <v>187118.78753816892</v>
      </c>
      <c r="H78" s="32">
        <v>191227.20993985131</v>
      </c>
      <c r="I78" s="32">
        <v>191460.49575445789</v>
      </c>
      <c r="J78" s="32">
        <v>181759.10485814212</v>
      </c>
      <c r="K78" s="32">
        <v>185096.97714491194</v>
      </c>
      <c r="L78" s="32">
        <v>179382.65289823577</v>
      </c>
      <c r="M78" s="32"/>
      <c r="O78" t="s">
        <v>161</v>
      </c>
    </row>
    <row r="79" spans="3:22" x14ac:dyDescent="0.25">
      <c r="C79" s="75"/>
      <c r="D79" s="75"/>
      <c r="E79" s="81" t="s">
        <v>86</v>
      </c>
      <c r="F79" s="121"/>
      <c r="G79" s="32"/>
      <c r="H79" s="32">
        <v>2244.4923071996004</v>
      </c>
      <c r="I79" s="32">
        <v>7148.2072586771528</v>
      </c>
      <c r="J79" s="32">
        <v>111525.93612734518</v>
      </c>
      <c r="K79" s="32">
        <v>118938.06269143583</v>
      </c>
      <c r="L79" s="32">
        <v>108554.48751907359</v>
      </c>
      <c r="M79" s="32"/>
      <c r="O79" t="s">
        <v>249</v>
      </c>
    </row>
    <row r="80" spans="3:22" x14ac:dyDescent="0.25">
      <c r="C80" s="75"/>
      <c r="D80" s="75"/>
      <c r="E80" s="81" t="s">
        <v>250</v>
      </c>
      <c r="F80" s="121"/>
      <c r="G80" s="32"/>
      <c r="H80" s="32">
        <v>3445.0895045940324</v>
      </c>
      <c r="I80" s="32">
        <v>10109.051966284815</v>
      </c>
      <c r="J80" s="32">
        <v>121255.6040920981</v>
      </c>
      <c r="K80" s="32">
        <v>107902.93673383402</v>
      </c>
      <c r="L80" s="32">
        <v>18421.331875625066</v>
      </c>
      <c r="M80" s="32"/>
    </row>
    <row r="81" spans="3:15" x14ac:dyDescent="0.25">
      <c r="C81" s="75"/>
      <c r="D81" s="75"/>
      <c r="E81" s="81" t="s">
        <v>251</v>
      </c>
      <c r="F81" s="121"/>
      <c r="G81" s="32"/>
      <c r="H81" s="32">
        <v>3838.6120403445134</v>
      </c>
      <c r="I81" s="32">
        <v>5697.8292900878041</v>
      </c>
    </row>
    <row r="82" spans="3:15" x14ac:dyDescent="0.25">
      <c r="C82" s="75"/>
      <c r="D82" s="75"/>
      <c r="E82" s="81" t="s">
        <v>137</v>
      </c>
      <c r="F82" s="121"/>
      <c r="G82" s="32">
        <f>G77+G78</f>
        <v>788911.35801781493</v>
      </c>
      <c r="H82" s="32">
        <v>593507</v>
      </c>
      <c r="I82" s="32">
        <v>604439</v>
      </c>
      <c r="J82" s="32">
        <v>732972</v>
      </c>
      <c r="K82" s="32">
        <v>708958</v>
      </c>
      <c r="L82" s="32">
        <v>597374</v>
      </c>
      <c r="M82" s="32"/>
    </row>
    <row r="83" spans="3:15" x14ac:dyDescent="0.25">
      <c r="E83" s="82"/>
      <c r="F83" s="83"/>
      <c r="G83" s="32"/>
      <c r="H83" s="32"/>
      <c r="I83" s="32"/>
      <c r="J83" s="32"/>
      <c r="K83" s="32"/>
      <c r="L83" s="32"/>
    </row>
    <row r="84" spans="3:15" x14ac:dyDescent="0.25">
      <c r="D84" t="s">
        <v>252</v>
      </c>
      <c r="E84" t="s">
        <v>246</v>
      </c>
      <c r="F84" s="121" t="s">
        <v>200</v>
      </c>
      <c r="G84" s="32"/>
      <c r="H84" s="32"/>
      <c r="I84" s="32"/>
      <c r="J84" s="32"/>
      <c r="K84" s="32">
        <v>12984</v>
      </c>
      <c r="L84" s="32">
        <v>4984</v>
      </c>
    </row>
    <row r="85" spans="3:15" x14ac:dyDescent="0.25">
      <c r="E85" t="s">
        <v>155</v>
      </c>
      <c r="F85" s="121"/>
      <c r="G85" s="32"/>
      <c r="H85" s="32"/>
      <c r="I85" s="32"/>
      <c r="J85" s="32"/>
      <c r="L85" s="32"/>
    </row>
    <row r="86" spans="3:15" x14ac:dyDescent="0.25">
      <c r="E86" t="s">
        <v>86</v>
      </c>
      <c r="F86" s="121"/>
      <c r="G86" s="32"/>
      <c r="H86" s="32"/>
      <c r="I86" s="32"/>
      <c r="J86" s="32"/>
      <c r="K86" s="32">
        <v>2426</v>
      </c>
      <c r="L86" s="32">
        <v>1257</v>
      </c>
    </row>
    <row r="87" spans="3:15" x14ac:dyDescent="0.25">
      <c r="E87" t="s">
        <v>250</v>
      </c>
      <c r="F87" s="121"/>
      <c r="G87" s="32"/>
      <c r="H87" s="32"/>
      <c r="I87" s="32"/>
      <c r="J87" s="32"/>
      <c r="K87" s="32">
        <v>1943</v>
      </c>
      <c r="L87" s="32">
        <v>751</v>
      </c>
    </row>
    <row r="88" spans="3:15" x14ac:dyDescent="0.25">
      <c r="E88" t="s">
        <v>251</v>
      </c>
      <c r="F88" s="121"/>
      <c r="G88" s="32"/>
      <c r="H88" s="32"/>
      <c r="I88" s="32"/>
      <c r="J88" s="32"/>
      <c r="K88" s="32"/>
      <c r="L88" s="32"/>
    </row>
    <row r="89" spans="3:15" x14ac:dyDescent="0.25">
      <c r="E89" t="s">
        <v>137</v>
      </c>
      <c r="F89" s="121"/>
      <c r="G89" s="32"/>
      <c r="H89" s="32"/>
      <c r="I89" s="32"/>
      <c r="J89" s="32"/>
      <c r="K89" s="32"/>
      <c r="L89" s="32"/>
    </row>
    <row r="90" spans="3:15" x14ac:dyDescent="0.25">
      <c r="F90" s="83"/>
      <c r="G90" s="32"/>
      <c r="H90" s="32"/>
      <c r="I90" s="32"/>
      <c r="J90" s="32"/>
      <c r="K90" s="32"/>
      <c r="L90" s="32"/>
    </row>
    <row r="91" spans="3:15" x14ac:dyDescent="0.25">
      <c r="F91" s="83"/>
      <c r="G91" s="32"/>
      <c r="H91" s="32"/>
      <c r="I91" s="32"/>
      <c r="J91" s="32"/>
      <c r="K91" s="32"/>
      <c r="L91" s="32"/>
    </row>
    <row r="92" spans="3:15" x14ac:dyDescent="0.25">
      <c r="D92" t="s">
        <v>238</v>
      </c>
      <c r="E92" t="s">
        <v>253</v>
      </c>
      <c r="F92" t="s">
        <v>183</v>
      </c>
      <c r="G92">
        <f>2*3247</f>
        <v>6494</v>
      </c>
      <c r="H92">
        <f>2*3091</f>
        <v>6182</v>
      </c>
      <c r="I92">
        <f>3170*2</f>
        <v>6340</v>
      </c>
      <c r="J92">
        <f>2*4941</f>
        <v>9882</v>
      </c>
      <c r="K92">
        <f>2*7170</f>
        <v>14340</v>
      </c>
      <c r="L92" s="32">
        <v>21020</v>
      </c>
      <c r="O92" t="s">
        <v>254</v>
      </c>
    </row>
    <row r="93" spans="3:15" x14ac:dyDescent="0.25">
      <c r="E93" t="s">
        <v>255</v>
      </c>
      <c r="F93" t="s">
        <v>183</v>
      </c>
    </row>
    <row r="94" spans="3:15" x14ac:dyDescent="0.25">
      <c r="D94" t="s">
        <v>95</v>
      </c>
      <c r="E94" t="s">
        <v>253</v>
      </c>
      <c r="F94" t="s">
        <v>183</v>
      </c>
    </row>
    <row r="95" spans="3:15" x14ac:dyDescent="0.25">
      <c r="E95" t="s">
        <v>255</v>
      </c>
      <c r="F95" t="s">
        <v>183</v>
      </c>
      <c r="G95">
        <v>3436</v>
      </c>
      <c r="H95">
        <v>3322</v>
      </c>
      <c r="I95">
        <v>3331</v>
      </c>
      <c r="J95">
        <v>3457</v>
      </c>
    </row>
    <row r="96" spans="3:15" x14ac:dyDescent="0.25">
      <c r="D96" t="s">
        <v>96</v>
      </c>
      <c r="E96" t="s">
        <v>253</v>
      </c>
      <c r="F96" t="s">
        <v>183</v>
      </c>
    </row>
    <row r="97" spans="3:15" x14ac:dyDescent="0.25">
      <c r="E97" t="s">
        <v>255</v>
      </c>
      <c r="F97" t="s">
        <v>183</v>
      </c>
      <c r="G97">
        <v>76</v>
      </c>
      <c r="H97">
        <v>136</v>
      </c>
      <c r="I97">
        <v>357</v>
      </c>
      <c r="J97">
        <v>420</v>
      </c>
    </row>
    <row r="99" spans="3:15" x14ac:dyDescent="0.25">
      <c r="C99" s="84" t="s">
        <v>141</v>
      </c>
      <c r="D99" s="84"/>
      <c r="E99" s="84"/>
      <c r="F99" s="84"/>
      <c r="G99" s="85">
        <v>2015</v>
      </c>
      <c r="H99" s="85">
        <v>2014</v>
      </c>
      <c r="I99" s="85">
        <v>2013</v>
      </c>
      <c r="J99" s="85">
        <v>2012</v>
      </c>
      <c r="K99" s="85">
        <v>2011</v>
      </c>
      <c r="L99" s="85">
        <v>2010</v>
      </c>
    </row>
    <row r="100" spans="3:15" x14ac:dyDescent="0.25">
      <c r="C100" s="75"/>
      <c r="D100" s="75"/>
      <c r="E100" s="43" t="s">
        <v>256</v>
      </c>
      <c r="F100" s="43" t="s">
        <v>257</v>
      </c>
      <c r="G100">
        <f>489203*(3.6/1000)</f>
        <v>1761.1307999999999</v>
      </c>
      <c r="H100">
        <f>470117*(3.6/1000)</f>
        <v>1692.4212</v>
      </c>
      <c r="I100">
        <f>485654*(3.6/1000)</f>
        <v>1748.3543999999999</v>
      </c>
      <c r="J100">
        <f>647893*(3.6/1000)</f>
        <v>2332.4148</v>
      </c>
      <c r="K100">
        <f>461484*(3.6/1000)</f>
        <v>1661.3424</v>
      </c>
      <c r="L100">
        <f>483541*(3.6/1000)</f>
        <v>1740.7475999999999</v>
      </c>
    </row>
    <row r="101" spans="3:15" x14ac:dyDescent="0.25">
      <c r="C101" s="75"/>
      <c r="D101" s="75"/>
      <c r="E101" s="43" t="s">
        <v>258</v>
      </c>
      <c r="F101" s="43" t="s">
        <v>257</v>
      </c>
      <c r="G101">
        <f>140882*(3.6/1000)</f>
        <v>507.17519999999996</v>
      </c>
      <c r="H101">
        <f>108600*(3.6/1000)</f>
        <v>390.96</v>
      </c>
      <c r="I101">
        <f>101732*(3.6/1000)</f>
        <v>366.23519999999996</v>
      </c>
      <c r="J101">
        <f>125548*(3.6/1000)</f>
        <v>451.97280000000001</v>
      </c>
      <c r="K101">
        <f>140406*(3.6/1000)</f>
        <v>505.46159999999998</v>
      </c>
      <c r="L101">
        <f>156199*(3.6/1000)</f>
        <v>562.31639999999993</v>
      </c>
    </row>
    <row r="102" spans="3:15" x14ac:dyDescent="0.25">
      <c r="C102" s="75"/>
      <c r="D102" s="75"/>
      <c r="M102" s="86"/>
    </row>
    <row r="105" spans="3:15" x14ac:dyDescent="0.25">
      <c r="C105" s="55" t="s">
        <v>147</v>
      </c>
      <c r="D105" s="55"/>
      <c r="E105" s="55"/>
      <c r="F105" s="55"/>
      <c r="G105" s="55"/>
      <c r="H105" s="56">
        <v>2015</v>
      </c>
      <c r="I105" s="56">
        <v>2014</v>
      </c>
      <c r="J105" s="56">
        <v>2013</v>
      </c>
      <c r="K105" s="56">
        <v>2012</v>
      </c>
      <c r="L105" s="56">
        <v>2011</v>
      </c>
      <c r="M105" s="56">
        <v>2010</v>
      </c>
    </row>
    <row r="106" spans="3:15" x14ac:dyDescent="0.25">
      <c r="O106" t="s">
        <v>259</v>
      </c>
    </row>
    <row r="107" spans="3:15" x14ac:dyDescent="0.25">
      <c r="C107" t="s">
        <v>78</v>
      </c>
      <c r="D107" t="s">
        <v>260</v>
      </c>
      <c r="F107" t="s">
        <v>200</v>
      </c>
      <c r="H107">
        <f>2102451</f>
        <v>2102451</v>
      </c>
      <c r="I107" s="87">
        <v>2144.895</v>
      </c>
      <c r="J107" s="87">
        <v>2043000</v>
      </c>
      <c r="K107" s="87">
        <v>2659000</v>
      </c>
      <c r="L107">
        <v>2548000</v>
      </c>
      <c r="M107">
        <f>M108+M109+M110</f>
        <v>590020</v>
      </c>
      <c r="O107" t="s">
        <v>261</v>
      </c>
    </row>
    <row r="108" spans="3:15" x14ac:dyDescent="0.25">
      <c r="D108" s="82" t="s">
        <v>262</v>
      </c>
      <c r="F108" s="32"/>
      <c r="G108" s="32"/>
      <c r="H108" s="31">
        <f>12%*H107</f>
        <v>252294.12</v>
      </c>
      <c r="I108" s="87">
        <v>259100.00000000003</v>
      </c>
      <c r="J108" s="87">
        <v>244600</v>
      </c>
      <c r="K108" s="87">
        <v>229200</v>
      </c>
      <c r="L108">
        <v>232000</v>
      </c>
      <c r="M108">
        <v>241327</v>
      </c>
      <c r="O108" t="s">
        <v>263</v>
      </c>
    </row>
    <row r="109" spans="3:15" x14ac:dyDescent="0.25">
      <c r="D109" s="82" t="s">
        <v>264</v>
      </c>
      <c r="F109" s="32"/>
      <c r="G109" s="32"/>
      <c r="H109" s="31">
        <f>10%*H107</f>
        <v>210245.1</v>
      </c>
      <c r="I109" s="87">
        <v>202600</v>
      </c>
      <c r="J109" s="87">
        <v>188900</v>
      </c>
      <c r="K109" s="87">
        <v>182700</v>
      </c>
      <c r="L109">
        <v>173000</v>
      </c>
      <c r="M109">
        <v>169580</v>
      </c>
      <c r="O109" t="s">
        <v>265</v>
      </c>
    </row>
    <row r="110" spans="3:15" x14ac:dyDescent="0.25">
      <c r="D110" s="82" t="s">
        <v>266</v>
      </c>
      <c r="F110" s="32"/>
      <c r="G110" s="32"/>
      <c r="H110" s="31">
        <f>17%*H107</f>
        <v>357416.67000000004</v>
      </c>
      <c r="I110" s="87">
        <v>348600</v>
      </c>
      <c r="J110" s="87">
        <v>341800</v>
      </c>
      <c r="K110" s="87">
        <v>312300</v>
      </c>
      <c r="L110">
        <v>259000</v>
      </c>
      <c r="M110">
        <v>179113</v>
      </c>
      <c r="O110" t="s">
        <v>267</v>
      </c>
    </row>
    <row r="111" spans="3:15" x14ac:dyDescent="0.25">
      <c r="D111" s="82"/>
      <c r="F111" s="32"/>
      <c r="G111" s="32"/>
      <c r="H111" s="31"/>
      <c r="I111" s="87"/>
      <c r="J111" s="87"/>
      <c r="K111" s="87"/>
    </row>
    <row r="113" spans="3:15" x14ac:dyDescent="0.25">
      <c r="C113" t="s">
        <v>95</v>
      </c>
      <c r="D113" t="s">
        <v>260</v>
      </c>
      <c r="H113">
        <f>99.8*1000</f>
        <v>99800</v>
      </c>
    </row>
    <row r="114" spans="3:15" x14ac:dyDescent="0.25">
      <c r="D114" t="s">
        <v>268</v>
      </c>
      <c r="F114" t="s">
        <v>183</v>
      </c>
      <c r="H114">
        <v>34875</v>
      </c>
      <c r="I114">
        <v>34257</v>
      </c>
      <c r="J114">
        <v>41197</v>
      </c>
      <c r="K114">
        <v>43451</v>
      </c>
      <c r="L114">
        <v>36403</v>
      </c>
      <c r="M114">
        <v>29948</v>
      </c>
      <c r="O114" t="s">
        <v>269</v>
      </c>
    </row>
    <row r="115" spans="3:15" x14ac:dyDescent="0.25">
      <c r="D115" t="s">
        <v>262</v>
      </c>
      <c r="H115">
        <f>5%*H113</f>
        <v>4990</v>
      </c>
      <c r="I115">
        <v>5136</v>
      </c>
      <c r="J115">
        <v>6442</v>
      </c>
      <c r="K115">
        <v>6152</v>
      </c>
      <c r="L115">
        <v>4891</v>
      </c>
      <c r="M115">
        <v>4509</v>
      </c>
      <c r="O115" t="s">
        <v>259</v>
      </c>
    </row>
    <row r="116" spans="3:15" x14ac:dyDescent="0.25">
      <c r="D116" t="s">
        <v>264</v>
      </c>
      <c r="H116">
        <f>4%*H113</f>
        <v>3992</v>
      </c>
      <c r="I116">
        <v>4739</v>
      </c>
      <c r="J116">
        <v>3664</v>
      </c>
      <c r="K116">
        <v>3851</v>
      </c>
      <c r="L116">
        <v>3637</v>
      </c>
      <c r="M116">
        <v>2939</v>
      </c>
      <c r="O116" t="s">
        <v>263</v>
      </c>
    </row>
    <row r="117" spans="3:15" x14ac:dyDescent="0.25">
      <c r="D117" t="s">
        <v>266</v>
      </c>
      <c r="H117">
        <f>29%*H113</f>
        <v>28941.999999999996</v>
      </c>
      <c r="I117">
        <v>24382</v>
      </c>
      <c r="J117">
        <v>31219</v>
      </c>
      <c r="K117">
        <v>33449</v>
      </c>
      <c r="L117">
        <v>27875</v>
      </c>
      <c r="M117">
        <v>22500</v>
      </c>
      <c r="O117" t="s">
        <v>270</v>
      </c>
    </row>
    <row r="118" spans="3:15" x14ac:dyDescent="0.25">
      <c r="O118" t="s">
        <v>271</v>
      </c>
    </row>
    <row r="119" spans="3:15" x14ac:dyDescent="0.25">
      <c r="O119" t="s">
        <v>272</v>
      </c>
    </row>
    <row r="122" spans="3:15" x14ac:dyDescent="0.25">
      <c r="E122" s="60" t="s">
        <v>101</v>
      </c>
      <c r="F122" s="61"/>
      <c r="G122" s="61"/>
      <c r="H122" s="60">
        <v>2015</v>
      </c>
      <c r="I122" s="60">
        <v>2014</v>
      </c>
      <c r="J122" s="60">
        <v>2013</v>
      </c>
      <c r="K122" s="60">
        <v>2012</v>
      </c>
      <c r="L122" s="60">
        <v>2011</v>
      </c>
      <c r="M122" s="60">
        <v>2010</v>
      </c>
    </row>
    <row r="123" spans="3:15" x14ac:dyDescent="0.25">
      <c r="E123" t="s">
        <v>118</v>
      </c>
      <c r="F123" t="s">
        <v>273</v>
      </c>
      <c r="G123" s="53" t="s">
        <v>274</v>
      </c>
      <c r="H123" s="88">
        <v>0.54538436497990594</v>
      </c>
      <c r="I123" s="88">
        <v>0.56380155406565058</v>
      </c>
      <c r="J123" s="88">
        <v>0.52986432122259763</v>
      </c>
      <c r="K123" s="88">
        <v>0.53106605540952989</v>
      </c>
      <c r="L123" s="88">
        <v>0.49437381675214487</v>
      </c>
      <c r="M123" s="88">
        <v>0.45738602855862465</v>
      </c>
    </row>
    <row r="124" spans="3:15" x14ac:dyDescent="0.25">
      <c r="E124" s="62" t="s">
        <v>169</v>
      </c>
      <c r="F124" t="s">
        <v>8</v>
      </c>
      <c r="H124" s="39">
        <f>H128</f>
        <v>0.85742033110675886</v>
      </c>
      <c r="I124" s="39">
        <f t="shared" ref="I124:M124" si="10">I128</f>
        <v>0.74430247605156441</v>
      </c>
      <c r="J124" s="39">
        <f t="shared" si="10"/>
        <v>0.77258906957205575</v>
      </c>
      <c r="K124" s="39">
        <f t="shared" si="10"/>
        <v>0.80315443476341097</v>
      </c>
      <c r="L124" s="39">
        <f t="shared" si="10"/>
        <v>0.84482253619437742</v>
      </c>
      <c r="M124" s="39">
        <f t="shared" si="10"/>
        <v>0.8694970624531001</v>
      </c>
      <c r="O124" s="75"/>
    </row>
    <row r="125" spans="3:15" x14ac:dyDescent="0.25">
      <c r="O125" s="75"/>
    </row>
    <row r="126" spans="3:15" x14ac:dyDescent="0.25">
      <c r="E126" t="s">
        <v>275</v>
      </c>
      <c r="F126" t="s">
        <v>276</v>
      </c>
      <c r="H126">
        <v>2.4704066219648402</v>
      </c>
      <c r="I126">
        <v>2.8322304435457846</v>
      </c>
      <c r="J126">
        <v>2.5355388497660258</v>
      </c>
      <c r="K126">
        <v>2.4240495884612634</v>
      </c>
      <c r="L126">
        <v>2.3238099048978804</v>
      </c>
      <c r="M126">
        <v>2.156240391971783</v>
      </c>
      <c r="O126" s="75" t="s">
        <v>277</v>
      </c>
    </row>
    <row r="127" spans="3:15" x14ac:dyDescent="0.25">
      <c r="O127" s="75"/>
    </row>
    <row r="128" spans="3:15" x14ac:dyDescent="0.25">
      <c r="E128" s="62" t="s">
        <v>169</v>
      </c>
      <c r="F128" t="s">
        <v>8</v>
      </c>
      <c r="H128" s="39">
        <v>0.85742033110675886</v>
      </c>
      <c r="I128" s="39">
        <v>0.74430247605156441</v>
      </c>
      <c r="J128" s="39">
        <v>0.77258906957205575</v>
      </c>
      <c r="K128" s="39">
        <v>0.80315443476341097</v>
      </c>
      <c r="L128" s="39">
        <v>0.84482253619437742</v>
      </c>
      <c r="M128" s="39">
        <v>0.8694970624531001</v>
      </c>
      <c r="O128" s="75"/>
    </row>
    <row r="130" spans="5:16" x14ac:dyDescent="0.25">
      <c r="H130" s="60">
        <v>2010</v>
      </c>
      <c r="I130" s="60">
        <v>2011</v>
      </c>
      <c r="J130" s="60">
        <v>2012</v>
      </c>
      <c r="K130" s="60">
        <v>2013</v>
      </c>
      <c r="L130" s="60">
        <v>2014</v>
      </c>
      <c r="M130" s="60">
        <v>2015</v>
      </c>
    </row>
    <row r="131" spans="5:16" x14ac:dyDescent="0.25">
      <c r="F131" t="s">
        <v>91</v>
      </c>
      <c r="H131">
        <f>((L41+L47+L53+L59)*277778)/277778</f>
        <v>18.549999999999997</v>
      </c>
      <c r="I131">
        <f>((K41+K47+K53+K59)*277778)/277778</f>
        <v>19.049999999999997</v>
      </c>
      <c r="J131">
        <f>((J41+J47+J53+J59)*277778)/277778</f>
        <v>18.37</v>
      </c>
      <c r="K131">
        <f>((I41+I47+I53+I59)*277778)/277778</f>
        <v>18.590000000000003</v>
      </c>
      <c r="L131">
        <f>((H41+H47+H53+H59)*277778)/277778</f>
        <v>16.362640000000003</v>
      </c>
      <c r="M131">
        <f>((G41+G47+G53+G59)*277778)/277778</f>
        <v>18.751970999999998</v>
      </c>
      <c r="N131" s="63">
        <f>M131/SUM($M$131:$M$137)</f>
        <v>0.41753890332115023</v>
      </c>
      <c r="O131" s="32"/>
    </row>
    <row r="132" spans="5:16" x14ac:dyDescent="0.25">
      <c r="E132" s="62"/>
      <c r="F132" t="s">
        <v>139</v>
      </c>
      <c r="H132">
        <f>(K18*277.778)/277778</f>
        <v>4.9687847999999999</v>
      </c>
      <c r="I132">
        <f>(J18*277.778)/277778</f>
        <v>5.3890000000000002</v>
      </c>
      <c r="J132">
        <f>(I18*277.778)/277778</f>
        <v>5.3483000000000001</v>
      </c>
      <c r="K132">
        <f>(H18*277.778)/277778</f>
        <v>4.9687847999999999</v>
      </c>
      <c r="L132">
        <f>(G18*277.778)/277778</f>
        <v>3.9940000000000007</v>
      </c>
      <c r="M132">
        <f>(F18*277.778)/277778</f>
        <v>5.8350000000000009</v>
      </c>
      <c r="N132" s="63">
        <f t="shared" ref="N132:N137" si="11">M132/SUM($M$131:$M$137)</f>
        <v>0.12992444905545728</v>
      </c>
    </row>
    <row r="133" spans="5:16" x14ac:dyDescent="0.25">
      <c r="F133" t="s">
        <v>63</v>
      </c>
      <c r="H133">
        <f>(K4*277.776)/277778</f>
        <v>11.762915306467756</v>
      </c>
      <c r="I133">
        <f>(J4*277.776)/277778</f>
        <v>12.560909560872352</v>
      </c>
      <c r="J133">
        <f>(I4*277.776)/277778</f>
        <v>11.95791390246888</v>
      </c>
      <c r="K133">
        <f>(H4*277.776)/277778</f>
        <v>12.223911987270411</v>
      </c>
      <c r="L133">
        <f>(G4*277.776)/277778</f>
        <v>10.007927942457647</v>
      </c>
      <c r="M133">
        <f>(F4*277.776)/277778</f>
        <v>11.265918884864893</v>
      </c>
      <c r="N133" s="63">
        <f t="shared" si="11"/>
        <v>0.25085146601877339</v>
      </c>
    </row>
    <row r="134" spans="5:16" x14ac:dyDescent="0.25">
      <c r="F134" t="s">
        <v>141</v>
      </c>
      <c r="H134">
        <f>((L100+L101)*277.778)/277778</f>
        <v>2.303064</v>
      </c>
      <c r="I134">
        <f>((K100+K101)*277.778)/277778</f>
        <v>2.1668040000000004</v>
      </c>
      <c r="J134">
        <f>((J100+J101)*277.778)/277778</f>
        <v>2.7843876000000001</v>
      </c>
      <c r="K134">
        <f>((I100+I101)*277.778)/277778</f>
        <v>2.1145896</v>
      </c>
      <c r="L134">
        <f>((H100+H101)*277.778)/277778</f>
        <v>2.0833812000000003</v>
      </c>
      <c r="M134">
        <f>((G100+G101)*277.778)/277778</f>
        <v>2.2683059999999999</v>
      </c>
      <c r="N134" s="63">
        <f t="shared" si="11"/>
        <v>5.0507010683665469E-2</v>
      </c>
    </row>
    <row r="135" spans="5:16" x14ac:dyDescent="0.25">
      <c r="F135" t="s">
        <v>144</v>
      </c>
      <c r="H135">
        <f>(L73)/277778</f>
        <v>1.0531863574509139</v>
      </c>
      <c r="I135">
        <f>(K73)/277778</f>
        <v>1.0342935725651419</v>
      </c>
      <c r="J135">
        <f>(J73)/277778</f>
        <v>1.0273023781580974</v>
      </c>
      <c r="K135">
        <f>(I73)/277778</f>
        <v>0.97626161899070485</v>
      </c>
      <c r="L135">
        <f>(H73)/277778</f>
        <v>1.0270359783712173</v>
      </c>
      <c r="M135">
        <f>(G73)/277778</f>
        <v>0.99760240191807847</v>
      </c>
      <c r="N135" s="63">
        <f t="shared" si="11"/>
        <v>2.2213014986393692E-2</v>
      </c>
    </row>
    <row r="136" spans="5:16" x14ac:dyDescent="0.25">
      <c r="E136" s="75"/>
      <c r="F136" s="75" t="s">
        <v>147</v>
      </c>
      <c r="G136" s="75"/>
      <c r="H136" s="75">
        <f>(M108+M109+M110)/277778</f>
        <v>2.1240703007437594</v>
      </c>
      <c r="I136" s="75">
        <f>(L108+L109+L110)/277778</f>
        <v>2.3903980876815298</v>
      </c>
      <c r="J136" s="75">
        <f>(K108+K109+K110)/277778</f>
        <v>2.6071179143056686</v>
      </c>
      <c r="K136" s="75">
        <f>(J108+J109+J110)/277778</f>
        <v>2.7910777671377862</v>
      </c>
      <c r="L136" s="75">
        <f>(I108+I109+I110)/277778</f>
        <v>2.917077666337867</v>
      </c>
      <c r="M136" s="75">
        <f>(H108+H109+H110)/277778</f>
        <v>2.9518388425289261</v>
      </c>
      <c r="N136" s="63">
        <f t="shared" si="11"/>
        <v>6.5726826960765969E-2</v>
      </c>
      <c r="O136" s="75"/>
      <c r="P136" s="75"/>
    </row>
    <row r="137" spans="5:16" x14ac:dyDescent="0.25">
      <c r="E137" s="75"/>
      <c r="F137" s="75" t="s">
        <v>152</v>
      </c>
      <c r="G137" s="75"/>
      <c r="H137" s="75">
        <f>(L82)/277778</f>
        <v>2.1505446795642564</v>
      </c>
      <c r="I137" s="75">
        <f>(K82)/277778</f>
        <v>2.5522467582025934</v>
      </c>
      <c r="J137" s="75">
        <f>(J82)/277778</f>
        <v>2.6386970890423287</v>
      </c>
      <c r="K137" s="75">
        <f>(I82)/277778</f>
        <v>2.1759786592170727</v>
      </c>
      <c r="L137" s="75">
        <f>(H82)/277778</f>
        <v>2.1366234907012074</v>
      </c>
      <c r="M137" s="75">
        <f>(G82)/277778</f>
        <v>2.8400786168012404</v>
      </c>
      <c r="N137" s="63">
        <f t="shared" si="11"/>
        <v>6.3238328973793709E-2</v>
      </c>
      <c r="O137" s="75"/>
      <c r="P137" s="75"/>
    </row>
    <row r="138" spans="5:16" x14ac:dyDescent="0.25">
      <c r="E138" s="75"/>
      <c r="F138" s="75" t="s">
        <v>278</v>
      </c>
      <c r="G138" s="75"/>
      <c r="H138" s="89">
        <f>M123</f>
        <v>0.45738602855862465</v>
      </c>
      <c r="I138" s="89">
        <f>L123</f>
        <v>0.49437381675214487</v>
      </c>
      <c r="J138" s="89">
        <f>K123</f>
        <v>0.53106605540952989</v>
      </c>
      <c r="K138" s="89">
        <f>J123</f>
        <v>0.52986432122259763</v>
      </c>
      <c r="L138" s="89">
        <f>I123</f>
        <v>0.56380155406565058</v>
      </c>
      <c r="M138" s="89">
        <f>H123</f>
        <v>0.54538436497990594</v>
      </c>
      <c r="N138" s="75"/>
      <c r="O138" s="75"/>
      <c r="P138" s="75"/>
    </row>
    <row r="139" spans="5:16" x14ac:dyDescent="0.25">
      <c r="E139" s="75"/>
      <c r="F139" s="75" t="s">
        <v>279</v>
      </c>
      <c r="G139" s="75"/>
      <c r="H139" s="75">
        <v>0.1306603893174019</v>
      </c>
      <c r="I139" s="75">
        <v>0.13906626722640067</v>
      </c>
      <c r="J139" s="75">
        <v>0.15359925093887539</v>
      </c>
      <c r="K139" s="75">
        <v>0.14891947129072777</v>
      </c>
      <c r="L139" s="75">
        <v>0.16766094910060764</v>
      </c>
      <c r="M139" s="75">
        <v>0.1462655041995686</v>
      </c>
      <c r="N139" t="s">
        <v>280</v>
      </c>
      <c r="O139" s="75"/>
      <c r="P139" s="75"/>
    </row>
    <row r="140" spans="5:16" x14ac:dyDescent="0.25">
      <c r="E140" s="75"/>
      <c r="F140" s="75"/>
      <c r="G140" s="75"/>
      <c r="H140" s="75">
        <v>7.2872132846492799E-2</v>
      </c>
      <c r="I140" s="75">
        <v>7.4179533842003278E-2</v>
      </c>
      <c r="J140" s="75">
        <v>7.8706436637654337E-2</v>
      </c>
      <c r="K140" s="75">
        <v>7.6460289878564791E-2</v>
      </c>
      <c r="L140" s="75">
        <v>8.2058082268925997E-2</v>
      </c>
      <c r="M140" s="75">
        <v>7.5121733555531561E-2</v>
      </c>
      <c r="N140" s="75" t="s">
        <v>281</v>
      </c>
      <c r="O140" s="75"/>
      <c r="P140" s="75"/>
    </row>
    <row r="141" spans="5:16" x14ac:dyDescent="0.25">
      <c r="E141" s="75"/>
      <c r="F141" s="75"/>
      <c r="G141" s="75"/>
      <c r="H141" s="75"/>
      <c r="I141" s="75"/>
      <c r="J141" s="75"/>
      <c r="K141" s="75"/>
      <c r="L141" s="75"/>
      <c r="M141" s="75"/>
      <c r="N141" s="75"/>
      <c r="O141" s="75"/>
      <c r="P141" s="75"/>
    </row>
    <row r="142" spans="5:16" x14ac:dyDescent="0.25">
      <c r="E142" s="75" t="s">
        <v>95</v>
      </c>
      <c r="F142" t="s">
        <v>282</v>
      </c>
      <c r="H142">
        <v>0.61596811333477253</v>
      </c>
      <c r="I142">
        <v>0.6536826147892536</v>
      </c>
      <c r="J142">
        <v>0.70110336978554666</v>
      </c>
      <c r="K142">
        <v>0.71261847575056769</v>
      </c>
      <c r="L142">
        <v>0.84223684878532246</v>
      </c>
      <c r="M142">
        <v>0.66253323956757237</v>
      </c>
      <c r="P142" s="75"/>
    </row>
    <row r="143" spans="5:16" x14ac:dyDescent="0.25">
      <c r="E143" s="75"/>
      <c r="P143" s="75"/>
    </row>
    <row r="144" spans="5:16" x14ac:dyDescent="0.25">
      <c r="E144" s="75"/>
      <c r="F144" s="75"/>
      <c r="G144" s="75"/>
      <c r="H144" s="75">
        <f t="shared" ref="H144:M144" si="12">H138/H140</f>
        <v>6.276556081075892</v>
      </c>
      <c r="I144" s="75">
        <f t="shared" si="12"/>
        <v>6.6645581489514774</v>
      </c>
      <c r="J144" s="75">
        <f t="shared" si="12"/>
        <v>6.7474285216904351</v>
      </c>
      <c r="K144" s="75">
        <f t="shared" si="12"/>
        <v>6.9299282289425648</v>
      </c>
      <c r="L144" s="75">
        <f t="shared" si="12"/>
        <v>6.8707620075487998</v>
      </c>
      <c r="M144" s="75">
        <f t="shared" si="12"/>
        <v>7.2600077123718982</v>
      </c>
      <c r="N144" s="75" t="s">
        <v>283</v>
      </c>
      <c r="O144" s="75"/>
      <c r="P144" s="75"/>
    </row>
    <row r="145" spans="5:16" x14ac:dyDescent="0.25">
      <c r="E145" s="75"/>
      <c r="F145" s="75"/>
      <c r="G145" s="75"/>
      <c r="H145" s="75"/>
      <c r="I145" s="75"/>
      <c r="J145" s="75"/>
      <c r="K145" s="75"/>
      <c r="L145" s="75"/>
      <c r="M145" s="75"/>
      <c r="N145" s="75"/>
      <c r="O145" s="75"/>
      <c r="P145" s="75"/>
    </row>
    <row r="146" spans="5:16" x14ac:dyDescent="0.25">
      <c r="E146" s="75"/>
      <c r="F146" t="s">
        <v>284</v>
      </c>
      <c r="G146" s="75"/>
      <c r="H146" s="75">
        <f>SUM(H131:H137)</f>
        <v>42.912565444226679</v>
      </c>
      <c r="I146" s="75">
        <f t="shared" ref="I146:M146" si="13">SUM(I131:I137)</f>
        <v>45.143651979321611</v>
      </c>
      <c r="J146" s="75">
        <f t="shared" si="13"/>
        <v>44.73371888397498</v>
      </c>
      <c r="K146" s="75">
        <f t="shared" si="13"/>
        <v>43.840604432615983</v>
      </c>
      <c r="L146" s="75">
        <f t="shared" si="13"/>
        <v>38.528686277867934</v>
      </c>
      <c r="M146" s="75">
        <f t="shared" si="13"/>
        <v>44.910715746113148</v>
      </c>
      <c r="N146" s="75" t="s">
        <v>210</v>
      </c>
      <c r="O146" s="75"/>
      <c r="P146" s="75"/>
    </row>
    <row r="147" spans="5:16" x14ac:dyDescent="0.25">
      <c r="F147" s="75" t="s">
        <v>285</v>
      </c>
      <c r="G147" s="75"/>
      <c r="H147" s="75"/>
      <c r="I147" s="75"/>
      <c r="J147" s="75"/>
      <c r="K147" s="75"/>
      <c r="L147" s="75"/>
      <c r="M147" s="75">
        <f>(K6+K7+K19/35*1000+(L43+L49+L55+L61)/35*10^6+L74+L75+M114+L92+K9+L95+L97)/1000</f>
        <v>156.95322328571427</v>
      </c>
      <c r="N147" s="75"/>
      <c r="O147" s="75"/>
    </row>
    <row r="148" spans="5:16" x14ac:dyDescent="0.25">
      <c r="F148" s="75" t="s">
        <v>286</v>
      </c>
      <c r="H148">
        <f>M126</f>
        <v>2.156240391971783</v>
      </c>
      <c r="I148">
        <f>L126</f>
        <v>2.3238099048978804</v>
      </c>
      <c r="J148">
        <f>K126</f>
        <v>2.4240495884612634</v>
      </c>
      <c r="K148">
        <f>J126</f>
        <v>2.5355388497660258</v>
      </c>
      <c r="L148">
        <f>I126</f>
        <v>2.8322304435457846</v>
      </c>
      <c r="M148">
        <f>H126</f>
        <v>2.4704066219648402</v>
      </c>
      <c r="N148" s="75"/>
      <c r="O148" s="75"/>
    </row>
    <row r="150" spans="5:16" x14ac:dyDescent="0.25">
      <c r="H150" s="31">
        <v>80778.119000000006</v>
      </c>
      <c r="I150" s="31">
        <v>67775.264999999999</v>
      </c>
      <c r="J150" s="31">
        <v>81866.501000000004</v>
      </c>
      <c r="K150" s="31">
        <v>82449.676999999996</v>
      </c>
      <c r="L150" s="31">
        <v>90293.845000000001</v>
      </c>
      <c r="M150" s="31">
        <v>91961.225000000006</v>
      </c>
    </row>
    <row r="151" spans="5:16" x14ac:dyDescent="0.25">
      <c r="G151" s="75" t="s">
        <v>133</v>
      </c>
      <c r="H151" s="90">
        <v>74177.119000000021</v>
      </c>
      <c r="I151" s="90">
        <v>71598.264999999985</v>
      </c>
      <c r="J151" s="90">
        <v>87021.501000000018</v>
      </c>
      <c r="K151" s="90">
        <v>87948.676999999996</v>
      </c>
      <c r="L151" s="90">
        <v>92893.845000000001</v>
      </c>
      <c r="M151" s="90">
        <v>93524.22500000002</v>
      </c>
    </row>
    <row r="152" spans="5:16" x14ac:dyDescent="0.25">
      <c r="G152" t="s">
        <v>287</v>
      </c>
      <c r="H152" s="31">
        <v>276663.7265094156</v>
      </c>
      <c r="I152" s="31">
        <v>215610.37539158107</v>
      </c>
      <c r="J152" s="31">
        <v>272180.67630547448</v>
      </c>
      <c r="K152" s="31">
        <v>269416.42540391983</v>
      </c>
      <c r="L152" s="31">
        <v>292760.70091155887</v>
      </c>
      <c r="M152" s="31">
        <v>273522.80918953195</v>
      </c>
    </row>
    <row r="153" spans="5:16" x14ac:dyDescent="0.25">
      <c r="G153" t="s">
        <v>288</v>
      </c>
      <c r="H153">
        <f>H152/H151/1000*1000</f>
        <v>3.7297717980852765</v>
      </c>
      <c r="I153">
        <f t="shared" ref="I153:M153" si="14">I152/I151/1000*1000</f>
        <v>3.0113910636183867</v>
      </c>
      <c r="J153">
        <f t="shared" si="14"/>
        <v>3.1277405374273473</v>
      </c>
      <c r="K153">
        <f t="shared" si="14"/>
        <v>3.0633368754815931</v>
      </c>
      <c r="L153">
        <f t="shared" si="14"/>
        <v>3.1515618813233415</v>
      </c>
      <c r="M153">
        <f t="shared" si="14"/>
        <v>2.9246198959631249</v>
      </c>
    </row>
    <row r="155" spans="5:16" x14ac:dyDescent="0.25">
      <c r="H155" s="60">
        <v>2010</v>
      </c>
      <c r="I155" s="60">
        <v>2011</v>
      </c>
      <c r="J155" s="60">
        <v>2012</v>
      </c>
      <c r="K155" s="60">
        <v>2013</v>
      </c>
      <c r="L155" s="60">
        <v>2014</v>
      </c>
      <c r="M155" s="60">
        <v>2015</v>
      </c>
      <c r="O155" t="s">
        <v>289</v>
      </c>
    </row>
    <row r="156" spans="5:16" x14ac:dyDescent="0.25">
      <c r="F156" t="s">
        <v>290</v>
      </c>
      <c r="M156">
        <f>M146/(R41+R46+R51+R56)*X57</f>
        <v>177.0247543635823</v>
      </c>
      <c r="N156" t="s">
        <v>210</v>
      </c>
      <c r="O156" s="39">
        <f>(R41+R46+R51+R56)</f>
        <v>0.7463217076013815</v>
      </c>
    </row>
    <row r="157" spans="5:16" x14ac:dyDescent="0.25">
      <c r="F157" t="s">
        <v>291</v>
      </c>
      <c r="M157">
        <v>2.2639718251347336</v>
      </c>
      <c r="N157" t="s">
        <v>182</v>
      </c>
    </row>
    <row r="158" spans="5:16" x14ac:dyDescent="0.25">
      <c r="F158" t="s">
        <v>292</v>
      </c>
      <c r="M158">
        <v>0.60716991861171132</v>
      </c>
      <c r="N158" t="s">
        <v>182</v>
      </c>
      <c r="P158" s="88"/>
    </row>
  </sheetData>
  <mergeCells count="3">
    <mergeCell ref="O36:AH37"/>
    <mergeCell ref="F77:F82"/>
    <mergeCell ref="F84:F89"/>
  </mergeCells>
  <pageMargins left="0.7" right="0.7" top="0.78740157499999996" bottom="0.78740157499999996" header="0.3" footer="0.3"/>
  <pageSetup paperSize="9" orientation="portrait" r:id="rId1"/>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1:O92"/>
  <sheetViews>
    <sheetView topLeftCell="A46" zoomScale="55" zoomScaleNormal="55" workbookViewId="0">
      <selection activeCell="Q66" sqref="Q66"/>
    </sheetView>
  </sheetViews>
  <sheetFormatPr baseColWidth="10" defaultRowHeight="15" x14ac:dyDescent="0.25"/>
  <cols>
    <col min="3" max="3" width="54.85546875" bestFit="1" customWidth="1"/>
    <col min="4" max="4" width="38.85546875" bestFit="1" customWidth="1"/>
    <col min="5" max="5" width="16.7109375" bestFit="1" customWidth="1"/>
  </cols>
  <sheetData>
    <row r="1" spans="3:13" x14ac:dyDescent="0.25">
      <c r="C1" s="30" t="s">
        <v>63</v>
      </c>
      <c r="D1" s="30"/>
      <c r="E1" s="30"/>
      <c r="F1" s="30">
        <v>2015</v>
      </c>
      <c r="G1" s="30">
        <v>2014</v>
      </c>
      <c r="H1" s="30">
        <v>2013</v>
      </c>
      <c r="I1" s="30">
        <v>2012</v>
      </c>
      <c r="J1" s="30">
        <v>2011</v>
      </c>
      <c r="K1" s="30">
        <v>2010</v>
      </c>
    </row>
    <row r="2" spans="3:13" s="75" customFormat="1" x14ac:dyDescent="0.25">
      <c r="C2" s="76" t="s">
        <v>293</v>
      </c>
      <c r="D2" s="76" t="s">
        <v>294</v>
      </c>
      <c r="E2" s="76" t="s">
        <v>295</v>
      </c>
      <c r="F2" s="91">
        <v>14491</v>
      </c>
      <c r="G2" s="91">
        <v>10353</v>
      </c>
      <c r="H2" s="91">
        <v>14515</v>
      </c>
      <c r="I2" s="91">
        <v>15961</v>
      </c>
      <c r="J2" s="91">
        <v>18115</v>
      </c>
      <c r="K2" s="91">
        <v>17482</v>
      </c>
      <c r="M2" s="75" t="s">
        <v>296</v>
      </c>
    </row>
    <row r="3" spans="3:13" s="75" customFormat="1" x14ac:dyDescent="0.25">
      <c r="C3" s="76" t="s">
        <v>297</v>
      </c>
      <c r="D3" s="76"/>
      <c r="E3" s="76"/>
      <c r="F3" s="91">
        <v>750</v>
      </c>
      <c r="G3" s="91">
        <v>758</v>
      </c>
      <c r="H3" s="91">
        <v>838</v>
      </c>
      <c r="I3" s="91">
        <v>792</v>
      </c>
      <c r="J3" s="91">
        <v>769</v>
      </c>
      <c r="K3" s="91">
        <v>715</v>
      </c>
      <c r="M3" s="75" t="s">
        <v>298</v>
      </c>
    </row>
    <row r="4" spans="3:13" s="75" customFormat="1" x14ac:dyDescent="0.25">
      <c r="C4" s="76" t="s">
        <v>299</v>
      </c>
      <c r="D4" s="76"/>
      <c r="E4" s="76"/>
      <c r="F4" s="91">
        <v>1523</v>
      </c>
      <c r="G4" s="91">
        <v>1690</v>
      </c>
      <c r="H4" s="91">
        <v>1969</v>
      </c>
      <c r="I4" s="91">
        <v>1989</v>
      </c>
      <c r="J4" s="91">
        <v>1817</v>
      </c>
      <c r="K4" s="91">
        <v>1494</v>
      </c>
    </row>
    <row r="5" spans="3:13" s="75" customFormat="1" x14ac:dyDescent="0.25">
      <c r="C5" s="76" t="s">
        <v>300</v>
      </c>
      <c r="D5" s="76"/>
      <c r="E5" s="76"/>
      <c r="F5" s="91">
        <v>6447</v>
      </c>
      <c r="G5" s="91">
        <v>6389</v>
      </c>
      <c r="H5" s="91">
        <v>5775</v>
      </c>
      <c r="I5" s="91">
        <v>4408</v>
      </c>
      <c r="J5" s="91">
        <v>4007</v>
      </c>
      <c r="K5" s="91">
        <v>4729</v>
      </c>
    </row>
    <row r="6" spans="3:13" s="75" customFormat="1" x14ac:dyDescent="0.25">
      <c r="C6" s="76" t="s">
        <v>155</v>
      </c>
      <c r="D6" s="76"/>
      <c r="E6" s="76"/>
      <c r="F6" s="91">
        <v>2165</v>
      </c>
      <c r="G6" s="91">
        <v>2175</v>
      </c>
      <c r="H6" s="91">
        <v>2344</v>
      </c>
      <c r="I6" s="91">
        <v>2214</v>
      </c>
      <c r="J6" s="91">
        <v>2337</v>
      </c>
      <c r="K6" s="91">
        <v>2659</v>
      </c>
    </row>
    <row r="7" spans="3:13" s="75" customFormat="1" x14ac:dyDescent="0.25">
      <c r="C7" s="76"/>
      <c r="D7" s="76"/>
      <c r="E7" s="76"/>
      <c r="F7" s="91"/>
      <c r="G7" s="91"/>
      <c r="H7" s="91"/>
      <c r="I7" s="91"/>
      <c r="J7" s="91"/>
      <c r="K7" s="91"/>
    </row>
    <row r="8" spans="3:13" s="75" customFormat="1" x14ac:dyDescent="0.25">
      <c r="C8" s="76" t="s">
        <v>293</v>
      </c>
      <c r="D8" s="76" t="s">
        <v>301</v>
      </c>
      <c r="E8" s="76" t="s">
        <v>295</v>
      </c>
      <c r="F8" s="91">
        <v>21140</v>
      </c>
      <c r="G8" s="91">
        <v>16247</v>
      </c>
      <c r="H8" s="91">
        <v>24735</v>
      </c>
      <c r="I8" s="91">
        <v>26012</v>
      </c>
      <c r="J8" s="91">
        <v>28044</v>
      </c>
      <c r="K8" s="91">
        <v>18115</v>
      </c>
    </row>
    <row r="9" spans="3:13" s="75" customFormat="1" x14ac:dyDescent="0.25">
      <c r="C9" s="76" t="s">
        <v>297</v>
      </c>
      <c r="D9" s="92" t="s">
        <v>302</v>
      </c>
      <c r="E9" s="76"/>
      <c r="F9" s="91">
        <v>1261</v>
      </c>
      <c r="G9" s="91">
        <v>1255</v>
      </c>
      <c r="H9" s="91">
        <v>1244</v>
      </c>
      <c r="I9" s="91">
        <v>1251</v>
      </c>
      <c r="J9" s="91">
        <v>1244</v>
      </c>
      <c r="K9" s="91">
        <v>769</v>
      </c>
    </row>
    <row r="10" spans="3:13" s="75" customFormat="1" x14ac:dyDescent="0.25">
      <c r="C10" s="76" t="s">
        <v>299</v>
      </c>
      <c r="D10" s="76"/>
      <c r="E10" s="76"/>
      <c r="F10" s="91">
        <v>3311</v>
      </c>
      <c r="G10" s="91">
        <v>3573</v>
      </c>
      <c r="H10" s="91">
        <v>3544</v>
      </c>
      <c r="I10" s="91">
        <v>3585</v>
      </c>
      <c r="J10" s="91">
        <v>3355</v>
      </c>
      <c r="K10" s="91">
        <v>1817</v>
      </c>
    </row>
    <row r="11" spans="3:13" s="75" customFormat="1" x14ac:dyDescent="0.25">
      <c r="C11" s="76" t="s">
        <v>300</v>
      </c>
      <c r="F11" s="91">
        <v>10725</v>
      </c>
      <c r="G11" s="91">
        <v>10386</v>
      </c>
      <c r="H11" s="91">
        <v>7852</v>
      </c>
      <c r="I11" s="91">
        <v>6003</v>
      </c>
      <c r="J11" s="91">
        <v>5528</v>
      </c>
      <c r="K11" s="91">
        <v>4007</v>
      </c>
    </row>
    <row r="12" spans="3:13" x14ac:dyDescent="0.25">
      <c r="C12" s="76" t="s">
        <v>155</v>
      </c>
      <c r="F12" s="91">
        <v>3264</v>
      </c>
      <c r="G12" s="91">
        <v>3314</v>
      </c>
      <c r="H12" s="91">
        <v>3336</v>
      </c>
      <c r="I12" s="91">
        <v>3263</v>
      </c>
      <c r="J12" s="91">
        <v>3697</v>
      </c>
      <c r="K12" s="91">
        <v>2337</v>
      </c>
    </row>
    <row r="13" spans="3:13" x14ac:dyDescent="0.25">
      <c r="C13" s="34" t="s">
        <v>67</v>
      </c>
      <c r="D13" s="35"/>
      <c r="E13" s="34" t="s">
        <v>68</v>
      </c>
      <c r="F13" s="36">
        <v>2015</v>
      </c>
      <c r="G13" s="36">
        <v>2014</v>
      </c>
      <c r="H13" s="36">
        <v>2013</v>
      </c>
      <c r="I13" s="36">
        <v>2012</v>
      </c>
      <c r="J13" s="36">
        <v>2011</v>
      </c>
      <c r="K13" s="36">
        <v>2010</v>
      </c>
      <c r="L13" s="34"/>
    </row>
    <row r="14" spans="3:13" x14ac:dyDescent="0.25">
      <c r="D14" t="s">
        <v>294</v>
      </c>
      <c r="E14" t="s">
        <v>295</v>
      </c>
      <c r="F14" s="32">
        <f>8326566/1000</f>
        <v>8326.5660000000007</v>
      </c>
      <c r="G14" s="32">
        <f>6206167/1000</f>
        <v>6206.1670000000004</v>
      </c>
      <c r="H14" s="33">
        <v>8284.0390000000007</v>
      </c>
      <c r="I14" s="33">
        <v>8667.8960000000006</v>
      </c>
      <c r="J14" s="33">
        <v>7912.5950000000003</v>
      </c>
      <c r="K14" s="33">
        <v>8005.0919999999996</v>
      </c>
      <c r="M14" t="s">
        <v>303</v>
      </c>
    </row>
    <row r="15" spans="3:13" x14ac:dyDescent="0.25">
      <c r="D15" t="s">
        <v>304</v>
      </c>
      <c r="E15" t="s">
        <v>295</v>
      </c>
      <c r="F15" s="91">
        <v>13400</v>
      </c>
      <c r="G15" s="93">
        <v>9.5</v>
      </c>
      <c r="H15" s="91">
        <v>31000</v>
      </c>
      <c r="I15" s="91">
        <v>27000</v>
      </c>
      <c r="J15" s="91">
        <v>26870</v>
      </c>
      <c r="K15" s="91">
        <v>20200</v>
      </c>
      <c r="M15" t="s">
        <v>305</v>
      </c>
    </row>
    <row r="16" spans="3:13" x14ac:dyDescent="0.25">
      <c r="M16" t="s">
        <v>306</v>
      </c>
    </row>
    <row r="19" spans="3:14" x14ac:dyDescent="0.25">
      <c r="C19" s="40" t="s">
        <v>91</v>
      </c>
      <c r="D19" s="40"/>
      <c r="E19" s="41"/>
      <c r="F19" s="40" t="s">
        <v>68</v>
      </c>
      <c r="G19" s="42">
        <v>2015</v>
      </c>
      <c r="H19" s="42">
        <v>2014</v>
      </c>
      <c r="I19" s="42">
        <v>2013</v>
      </c>
      <c r="J19" s="42">
        <v>2012</v>
      </c>
      <c r="K19" s="42">
        <v>2011</v>
      </c>
      <c r="L19" s="42">
        <v>2010</v>
      </c>
    </row>
    <row r="21" spans="3:14" x14ac:dyDescent="0.25">
      <c r="C21" s="67" t="s">
        <v>307</v>
      </c>
      <c r="D21" s="123" t="s">
        <v>239</v>
      </c>
      <c r="G21" s="79">
        <v>33197</v>
      </c>
      <c r="H21" s="79">
        <v>27137</v>
      </c>
      <c r="I21" s="79">
        <v>33412</v>
      </c>
      <c r="J21" s="79">
        <v>34911</v>
      </c>
      <c r="K21" s="79">
        <v>36340</v>
      </c>
      <c r="L21" s="67">
        <v>33817</v>
      </c>
      <c r="N21" s="67" t="s">
        <v>308</v>
      </c>
    </row>
    <row r="22" spans="3:14" x14ac:dyDescent="0.25">
      <c r="C22" s="67" t="s">
        <v>309</v>
      </c>
      <c r="D22" s="123"/>
      <c r="G22" s="79">
        <v>29570</v>
      </c>
      <c r="H22" s="79">
        <v>22876</v>
      </c>
      <c r="I22" s="79">
        <v>28311</v>
      </c>
      <c r="J22" s="79">
        <v>28755</v>
      </c>
      <c r="K22" s="79">
        <v>31248</v>
      </c>
      <c r="L22" s="67">
        <v>28874</v>
      </c>
      <c r="N22" s="67" t="s">
        <v>310</v>
      </c>
    </row>
    <row r="23" spans="3:14" x14ac:dyDescent="0.25">
      <c r="C23" s="67" t="s">
        <v>311</v>
      </c>
      <c r="D23" s="123"/>
      <c r="G23" s="79">
        <v>3627</v>
      </c>
      <c r="H23" s="79">
        <v>4215</v>
      </c>
      <c r="I23" s="79">
        <v>5101</v>
      </c>
      <c r="J23" s="79">
        <v>6156</v>
      </c>
      <c r="K23" s="79">
        <v>5092</v>
      </c>
      <c r="L23" s="67">
        <v>4943</v>
      </c>
      <c r="M23" s="67"/>
    </row>
    <row r="24" spans="3:14" x14ac:dyDescent="0.25">
      <c r="C24" s="67" t="s">
        <v>312</v>
      </c>
      <c r="D24" s="123"/>
      <c r="G24" s="79">
        <v>14408</v>
      </c>
      <c r="H24" s="79">
        <v>13581</v>
      </c>
      <c r="I24" s="79">
        <v>17138</v>
      </c>
      <c r="J24" s="79">
        <v>18437</v>
      </c>
      <c r="K24" s="79">
        <v>18983</v>
      </c>
      <c r="L24" s="67">
        <v>18483</v>
      </c>
      <c r="M24" s="67"/>
    </row>
    <row r="25" spans="3:14" x14ac:dyDescent="0.25">
      <c r="C25" s="67" t="s">
        <v>313</v>
      </c>
      <c r="D25" s="123"/>
      <c r="G25" s="79">
        <v>546</v>
      </c>
      <c r="H25" s="79">
        <v>1470</v>
      </c>
      <c r="I25" s="79">
        <v>1484</v>
      </c>
      <c r="J25" s="79">
        <v>1326</v>
      </c>
      <c r="K25" s="79">
        <v>924</v>
      </c>
      <c r="L25" s="67">
        <v>935</v>
      </c>
      <c r="M25" s="67"/>
    </row>
    <row r="26" spans="3:14" x14ac:dyDescent="0.25">
      <c r="C26" s="67" t="s">
        <v>314</v>
      </c>
      <c r="D26" s="123"/>
      <c r="G26" s="79">
        <v>4415</v>
      </c>
      <c r="H26" s="79">
        <v>6148</v>
      </c>
      <c r="I26" s="79">
        <v>8034</v>
      </c>
      <c r="J26" s="79">
        <v>9142</v>
      </c>
      <c r="K26" s="79">
        <v>10638</v>
      </c>
      <c r="L26" s="67">
        <v>10673</v>
      </c>
      <c r="M26" s="67"/>
    </row>
    <row r="27" spans="3:14" x14ac:dyDescent="0.25">
      <c r="C27" s="67" t="s">
        <v>315</v>
      </c>
      <c r="D27" s="123"/>
      <c r="G27" s="79">
        <v>9343</v>
      </c>
      <c r="H27" s="79">
        <v>259</v>
      </c>
      <c r="I27" s="79">
        <v>1507</v>
      </c>
      <c r="J27" s="79">
        <v>1502</v>
      </c>
      <c r="K27" s="79">
        <v>1535</v>
      </c>
      <c r="L27" s="67"/>
      <c r="M27" s="67"/>
    </row>
    <row r="28" spans="3:14" x14ac:dyDescent="0.25">
      <c r="C28" s="67" t="s">
        <v>316</v>
      </c>
      <c r="D28" s="123"/>
      <c r="G28" s="79">
        <v>4695</v>
      </c>
      <c r="H28" s="79">
        <v>3369</v>
      </c>
      <c r="I28" s="79">
        <v>6372</v>
      </c>
      <c r="J28" s="79">
        <v>4407</v>
      </c>
      <c r="K28" s="79">
        <v>4323</v>
      </c>
      <c r="L28" s="67">
        <v>3636</v>
      </c>
      <c r="M28" s="67"/>
    </row>
    <row r="29" spans="3:14" x14ac:dyDescent="0.25">
      <c r="C29" s="67" t="s">
        <v>317</v>
      </c>
      <c r="D29" s="123"/>
      <c r="G29" s="79">
        <v>60170</v>
      </c>
      <c r="H29" s="79">
        <v>51462</v>
      </c>
      <c r="I29" s="79">
        <v>50159</v>
      </c>
      <c r="J29" s="79">
        <v>53731</v>
      </c>
      <c r="K29" s="79">
        <v>51260</v>
      </c>
      <c r="L29" s="67">
        <v>53014</v>
      </c>
      <c r="M29" s="67"/>
    </row>
    <row r="30" spans="3:14" x14ac:dyDescent="0.25">
      <c r="C30" s="70" t="s">
        <v>318</v>
      </c>
      <c r="D30" s="123"/>
      <c r="G30" s="80">
        <v>278</v>
      </c>
      <c r="H30" s="80">
        <v>557</v>
      </c>
      <c r="I30" s="80">
        <v>363</v>
      </c>
      <c r="J30" s="80">
        <v>765</v>
      </c>
      <c r="K30" s="80">
        <v>1761</v>
      </c>
    </row>
    <row r="33" spans="3:15" x14ac:dyDescent="0.25">
      <c r="C33" s="94" t="s">
        <v>141</v>
      </c>
      <c r="D33" s="94"/>
      <c r="E33" s="95"/>
      <c r="F33" s="94" t="s">
        <v>68</v>
      </c>
      <c r="G33" s="96">
        <v>2015</v>
      </c>
      <c r="H33" s="96">
        <v>2014</v>
      </c>
      <c r="I33" s="96">
        <v>2013</v>
      </c>
      <c r="J33" s="96">
        <v>2012</v>
      </c>
      <c r="K33" s="96">
        <v>2011</v>
      </c>
      <c r="L33" s="96">
        <v>2010</v>
      </c>
    </row>
    <row r="35" spans="3:15" x14ac:dyDescent="0.25">
      <c r="C35" t="s">
        <v>319</v>
      </c>
      <c r="D35" t="s">
        <v>320</v>
      </c>
      <c r="F35" t="s">
        <v>295</v>
      </c>
      <c r="G35">
        <f>(2488*(10^6))/(10^6)</f>
        <v>2488</v>
      </c>
      <c r="H35">
        <f>(2335*(10^6))/(10^6)</f>
        <v>2335</v>
      </c>
      <c r="I35">
        <f>(2633*(10^6))/(10^6)</f>
        <v>2633</v>
      </c>
      <c r="J35">
        <f>(2540*(10^6))/(10^6)</f>
        <v>2540</v>
      </c>
      <c r="K35">
        <f>(2441*(10^6))/(10^6)</f>
        <v>2441</v>
      </c>
      <c r="L35">
        <f>(2601*(10^6))/(10^6)</f>
        <v>2601</v>
      </c>
      <c r="N35" t="s">
        <v>321</v>
      </c>
      <c r="O35" t="s">
        <v>322</v>
      </c>
    </row>
    <row r="36" spans="3:15" x14ac:dyDescent="0.25">
      <c r="C36" t="s">
        <v>323</v>
      </c>
      <c r="D36" t="s">
        <v>320</v>
      </c>
      <c r="F36" t="s">
        <v>295</v>
      </c>
      <c r="G36">
        <f>(513*(10^6))/(10^6)</f>
        <v>513</v>
      </c>
      <c r="H36">
        <f>(429*(10^6))/(10^6)</f>
        <v>429</v>
      </c>
      <c r="I36">
        <f>(0*(10^6))/(10^6)</f>
        <v>0</v>
      </c>
      <c r="J36">
        <f>(0*(10^6))/(10^6)</f>
        <v>0</v>
      </c>
      <c r="K36">
        <f>0/(10^6)</f>
        <v>0</v>
      </c>
      <c r="L36">
        <f>0/(10^6)</f>
        <v>0</v>
      </c>
    </row>
    <row r="37" spans="3:15" x14ac:dyDescent="0.25">
      <c r="C37" t="s">
        <v>324</v>
      </c>
      <c r="D37" t="s">
        <v>325</v>
      </c>
      <c r="G37">
        <v>15664</v>
      </c>
      <c r="H37">
        <v>25524</v>
      </c>
      <c r="I37">
        <v>25909</v>
      </c>
      <c r="J37">
        <v>24390</v>
      </c>
      <c r="K37">
        <v>24308</v>
      </c>
      <c r="L37">
        <v>23439</v>
      </c>
      <c r="N37" t="s">
        <v>326</v>
      </c>
    </row>
    <row r="39" spans="3:15" x14ac:dyDescent="0.25">
      <c r="C39" s="57" t="s">
        <v>152</v>
      </c>
      <c r="D39" s="57"/>
      <c r="E39" s="57"/>
      <c r="F39" s="57"/>
      <c r="G39" s="58">
        <v>2015</v>
      </c>
      <c r="H39" s="58">
        <v>2014</v>
      </c>
      <c r="I39" s="58">
        <v>2013</v>
      </c>
      <c r="J39" s="58">
        <v>2012</v>
      </c>
      <c r="K39" s="58">
        <v>2011</v>
      </c>
      <c r="L39" s="58">
        <v>2010</v>
      </c>
    </row>
    <row r="41" spans="3:15" x14ac:dyDescent="0.25">
      <c r="C41" s="62" t="s">
        <v>327</v>
      </c>
    </row>
    <row r="42" spans="3:15" x14ac:dyDescent="0.25">
      <c r="C42" t="s">
        <v>246</v>
      </c>
      <c r="F42" t="s">
        <v>295</v>
      </c>
      <c r="G42">
        <f>2*1296</f>
        <v>2592</v>
      </c>
      <c r="H42" s="32">
        <v>5672</v>
      </c>
      <c r="I42" s="32">
        <v>1717</v>
      </c>
      <c r="J42" s="32">
        <v>3040</v>
      </c>
      <c r="K42" s="32">
        <v>3528</v>
      </c>
      <c r="L42" s="32">
        <v>5760</v>
      </c>
      <c r="N42" t="s">
        <v>328</v>
      </c>
    </row>
    <row r="43" spans="3:15" x14ac:dyDescent="0.25">
      <c r="C43" t="s">
        <v>86</v>
      </c>
      <c r="H43" s="32">
        <v>2192</v>
      </c>
      <c r="I43" s="32">
        <v>4662</v>
      </c>
      <c r="J43" s="32">
        <v>2192</v>
      </c>
      <c r="K43" s="32">
        <v>4662</v>
      </c>
      <c r="L43" s="32">
        <v>1113</v>
      </c>
      <c r="N43" t="s">
        <v>329</v>
      </c>
    </row>
    <row r="44" spans="3:15" x14ac:dyDescent="0.25">
      <c r="C44" t="s">
        <v>250</v>
      </c>
      <c r="H44" s="32">
        <v>1402</v>
      </c>
      <c r="I44" s="32">
        <v>4186</v>
      </c>
      <c r="J44" s="32">
        <v>1402</v>
      </c>
      <c r="K44" s="32">
        <v>4186</v>
      </c>
      <c r="L44">
        <v>388</v>
      </c>
      <c r="N44" t="s">
        <v>330</v>
      </c>
    </row>
    <row r="45" spans="3:15" x14ac:dyDescent="0.25">
      <c r="C45" t="s">
        <v>155</v>
      </c>
      <c r="G45">
        <f>2*1082</f>
        <v>2164</v>
      </c>
      <c r="H45" s="32">
        <v>3313</v>
      </c>
      <c r="I45" s="32">
        <v>3336</v>
      </c>
      <c r="J45" s="32">
        <v>3263</v>
      </c>
      <c r="K45" s="32">
        <v>2300</v>
      </c>
      <c r="L45" s="32">
        <v>2659</v>
      </c>
      <c r="N45" t="s">
        <v>331</v>
      </c>
    </row>
    <row r="46" spans="3:15" x14ac:dyDescent="0.25">
      <c r="C46" t="s">
        <v>54</v>
      </c>
      <c r="H46" s="32"/>
      <c r="I46" s="32"/>
      <c r="L46" s="32">
        <v>1974</v>
      </c>
    </row>
    <row r="47" spans="3:15" x14ac:dyDescent="0.25">
      <c r="H47" s="32"/>
      <c r="I47" s="32"/>
      <c r="L47" s="32"/>
    </row>
    <row r="48" spans="3:15" x14ac:dyDescent="0.25">
      <c r="C48" t="s">
        <v>332</v>
      </c>
      <c r="F48" t="s">
        <v>295</v>
      </c>
      <c r="G48">
        <f>G42</f>
        <v>2592</v>
      </c>
      <c r="H48" s="32">
        <v>2691</v>
      </c>
      <c r="I48" s="32">
        <f>1139+578</f>
        <v>1717</v>
      </c>
      <c r="J48">
        <f>6634-4020</f>
        <v>2614</v>
      </c>
      <c r="K48">
        <f>12376-8584</f>
        <v>3792</v>
      </c>
      <c r="L48">
        <f>7261-4138</f>
        <v>3123</v>
      </c>
    </row>
    <row r="49" spans="3:14" x14ac:dyDescent="0.25">
      <c r="C49" s="82" t="s">
        <v>333</v>
      </c>
      <c r="G49">
        <f>G45</f>
        <v>2164</v>
      </c>
      <c r="H49">
        <f t="shared" ref="H49:L49" si="0">H45</f>
        <v>3313</v>
      </c>
      <c r="I49">
        <f t="shared" si="0"/>
        <v>3336</v>
      </c>
      <c r="J49">
        <f t="shared" si="0"/>
        <v>3263</v>
      </c>
      <c r="K49">
        <f t="shared" si="0"/>
        <v>2300</v>
      </c>
      <c r="L49">
        <f t="shared" si="0"/>
        <v>2659</v>
      </c>
    </row>
    <row r="50" spans="3:14" x14ac:dyDescent="0.25">
      <c r="C50" s="82"/>
    </row>
    <row r="51" spans="3:14" x14ac:dyDescent="0.25">
      <c r="C51" s="62" t="s">
        <v>334</v>
      </c>
    </row>
    <row r="52" spans="3:14" x14ac:dyDescent="0.25">
      <c r="C52" s="82" t="s">
        <v>246</v>
      </c>
      <c r="F52" t="s">
        <v>295</v>
      </c>
      <c r="G52">
        <f>2*1268</f>
        <v>2536</v>
      </c>
      <c r="H52">
        <v>2981</v>
      </c>
      <c r="I52">
        <v>4179</v>
      </c>
      <c r="J52">
        <v>4020</v>
      </c>
      <c r="K52">
        <v>8584</v>
      </c>
      <c r="L52">
        <v>4138</v>
      </c>
    </row>
    <row r="53" spans="3:14" x14ac:dyDescent="0.25">
      <c r="C53" s="82" t="s">
        <v>155</v>
      </c>
      <c r="F53" t="s">
        <v>295</v>
      </c>
      <c r="G53">
        <f>2*550</f>
        <v>1100</v>
      </c>
      <c r="H53">
        <v>1138</v>
      </c>
      <c r="I53">
        <v>992</v>
      </c>
      <c r="J53">
        <v>1139</v>
      </c>
      <c r="K53">
        <v>941</v>
      </c>
      <c r="L53">
        <v>1404</v>
      </c>
    </row>
    <row r="54" spans="3:14" x14ac:dyDescent="0.25">
      <c r="C54" s="82"/>
    </row>
    <row r="55" spans="3:14" x14ac:dyDescent="0.25">
      <c r="C55" s="55" t="s">
        <v>147</v>
      </c>
      <c r="D55" s="55"/>
      <c r="E55" s="55"/>
      <c r="F55" s="55"/>
      <c r="G55" s="56">
        <v>2015</v>
      </c>
      <c r="H55" s="56">
        <v>2014</v>
      </c>
      <c r="I55" s="56">
        <v>2013</v>
      </c>
      <c r="J55" s="56">
        <v>2012</v>
      </c>
      <c r="K55" s="56">
        <v>2011</v>
      </c>
      <c r="L55" s="56">
        <v>2010</v>
      </c>
    </row>
    <row r="56" spans="3:14" x14ac:dyDescent="0.25">
      <c r="C56" t="s">
        <v>335</v>
      </c>
      <c r="F56" s="32"/>
      <c r="G56">
        <v>18.3</v>
      </c>
    </row>
    <row r="57" spans="3:14" x14ac:dyDescent="0.25">
      <c r="C57" t="s">
        <v>268</v>
      </c>
      <c r="F57" t="s">
        <v>336</v>
      </c>
      <c r="G57">
        <v>6.3</v>
      </c>
      <c r="H57" s="97">
        <v>6.6</v>
      </c>
      <c r="I57" s="97">
        <v>6</v>
      </c>
      <c r="J57" s="97">
        <v>6.5</v>
      </c>
      <c r="K57" s="97">
        <v>6.1</v>
      </c>
      <c r="L57" s="97">
        <v>5.9</v>
      </c>
      <c r="N57" t="s">
        <v>337</v>
      </c>
    </row>
    <row r="58" spans="3:14" x14ac:dyDescent="0.25">
      <c r="C58" t="s">
        <v>262</v>
      </c>
      <c r="D58" s="32"/>
      <c r="E58" s="32"/>
      <c r="F58" s="124" t="s">
        <v>295</v>
      </c>
      <c r="G58" s="32">
        <f>10^3*G56*7%</f>
        <v>1281.0000000000002</v>
      </c>
      <c r="H58">
        <f>10^3*1.9</f>
        <v>1900</v>
      </c>
      <c r="I58">
        <f>1.9*10^3</f>
        <v>1900</v>
      </c>
      <c r="J58">
        <f>10^3*2.2</f>
        <v>2200</v>
      </c>
      <c r="K58">
        <v>2273.1909999999998</v>
      </c>
      <c r="L58">
        <v>3836</v>
      </c>
      <c r="N58" t="s">
        <v>338</v>
      </c>
    </row>
    <row r="59" spans="3:14" x14ac:dyDescent="0.25">
      <c r="C59" t="s">
        <v>264</v>
      </c>
      <c r="F59" s="124"/>
      <c r="G59">
        <f>10^3*G56*8%</f>
        <v>1464</v>
      </c>
      <c r="H59">
        <f>10^3*1.3</f>
        <v>1300</v>
      </c>
      <c r="I59">
        <f>10^3*1.1</f>
        <v>1100</v>
      </c>
      <c r="J59">
        <f>10^3*1.6</f>
        <v>1600</v>
      </c>
      <c r="K59">
        <v>1137.5640000000001</v>
      </c>
      <c r="L59">
        <v>1293.7570000000001</v>
      </c>
      <c r="N59" t="s">
        <v>339</v>
      </c>
    </row>
    <row r="60" spans="3:14" x14ac:dyDescent="0.25">
      <c r="C60" t="s">
        <v>266</v>
      </c>
      <c r="E60" s="32"/>
      <c r="F60" s="124"/>
      <c r="G60">
        <f>G56*10^3*20%</f>
        <v>3660</v>
      </c>
      <c r="H60" s="32">
        <f>10^3*3.4</f>
        <v>3400</v>
      </c>
      <c r="I60">
        <f>10^3*2.9</f>
        <v>2900</v>
      </c>
      <c r="J60">
        <f>10^3*2.6</f>
        <v>2600</v>
      </c>
      <c r="K60">
        <v>2733</v>
      </c>
      <c r="L60">
        <v>732</v>
      </c>
      <c r="N60" t="s">
        <v>340</v>
      </c>
    </row>
    <row r="61" spans="3:14" x14ac:dyDescent="0.25">
      <c r="E61" s="32"/>
      <c r="F61" s="124"/>
      <c r="H61" s="32"/>
      <c r="N61" t="s">
        <v>341</v>
      </c>
    </row>
    <row r="62" spans="3:14" x14ac:dyDescent="0.25">
      <c r="N62" t="s">
        <v>342</v>
      </c>
    </row>
    <row r="63" spans="3:14" x14ac:dyDescent="0.25">
      <c r="D63" s="32"/>
      <c r="E63" s="32"/>
      <c r="F63" s="32"/>
      <c r="G63" s="32"/>
    </row>
    <row r="64" spans="3:14" x14ac:dyDescent="0.25">
      <c r="C64" s="51" t="s">
        <v>144</v>
      </c>
      <c r="D64" s="51"/>
      <c r="E64" s="78"/>
      <c r="F64" s="51" t="s">
        <v>68</v>
      </c>
      <c r="G64" s="52">
        <v>2015</v>
      </c>
      <c r="H64" s="52">
        <v>2014</v>
      </c>
      <c r="I64" s="52">
        <v>2013</v>
      </c>
      <c r="J64" s="52">
        <v>2012</v>
      </c>
      <c r="K64" s="52">
        <v>2011</v>
      </c>
      <c r="L64" s="52">
        <v>2010</v>
      </c>
    </row>
    <row r="65" spans="3:14" x14ac:dyDescent="0.25">
      <c r="E65" s="32"/>
      <c r="G65" s="32"/>
    </row>
    <row r="66" spans="3:14" x14ac:dyDescent="0.25">
      <c r="C66" t="s">
        <v>343</v>
      </c>
      <c r="E66" s="32"/>
      <c r="F66" s="32"/>
      <c r="G66" s="32"/>
      <c r="H66" s="32"/>
    </row>
    <row r="67" spans="3:14" x14ac:dyDescent="0.25">
      <c r="D67" t="s">
        <v>344</v>
      </c>
      <c r="E67" s="32"/>
      <c r="F67" s="32" t="s">
        <v>295</v>
      </c>
      <c r="G67" s="32">
        <v>2638.7</v>
      </c>
      <c r="H67" s="32">
        <v>2126.6999999999998</v>
      </c>
      <c r="I67">
        <v>2026.1</v>
      </c>
      <c r="J67">
        <v>2090.6</v>
      </c>
      <c r="K67">
        <v>2184.9</v>
      </c>
      <c r="L67">
        <v>2091.5</v>
      </c>
      <c r="N67" t="s">
        <v>345</v>
      </c>
    </row>
    <row r="68" spans="3:14" x14ac:dyDescent="0.25">
      <c r="D68" t="s">
        <v>346</v>
      </c>
      <c r="E68" s="32"/>
      <c r="F68" s="32"/>
      <c r="G68" s="32">
        <v>88.36</v>
      </c>
      <c r="H68" s="32">
        <v>88.05</v>
      </c>
      <c r="I68">
        <v>63</v>
      </c>
      <c r="J68">
        <v>74.3</v>
      </c>
      <c r="N68" t="s">
        <v>347</v>
      </c>
    </row>
    <row r="69" spans="3:14" x14ac:dyDescent="0.25">
      <c r="J69">
        <f>J67+J68</f>
        <v>2164.9</v>
      </c>
      <c r="K69">
        <f>K67</f>
        <v>2184.9</v>
      </c>
      <c r="L69">
        <f>L67</f>
        <v>2091.5</v>
      </c>
    </row>
    <row r="70" spans="3:14" x14ac:dyDescent="0.25">
      <c r="D70" t="s">
        <v>348</v>
      </c>
      <c r="G70">
        <v>1870.11</v>
      </c>
      <c r="H70">
        <v>2214.75</v>
      </c>
      <c r="I70">
        <v>2089.1</v>
      </c>
    </row>
    <row r="71" spans="3:14" x14ac:dyDescent="0.25">
      <c r="D71" t="s">
        <v>349</v>
      </c>
      <c r="G71" s="32">
        <v>1290</v>
      </c>
      <c r="H71" s="32">
        <v>1007</v>
      </c>
      <c r="I71">
        <v>1008</v>
      </c>
    </row>
    <row r="72" spans="3:14" x14ac:dyDescent="0.25">
      <c r="D72" t="s">
        <v>101</v>
      </c>
    </row>
    <row r="74" spans="3:14" x14ac:dyDescent="0.25">
      <c r="C74" t="s">
        <v>334</v>
      </c>
      <c r="D74" t="s">
        <v>101</v>
      </c>
      <c r="F74" t="s">
        <v>295</v>
      </c>
      <c r="G74">
        <v>1341</v>
      </c>
      <c r="H74">
        <v>1318</v>
      </c>
      <c r="I74">
        <v>1195</v>
      </c>
      <c r="J74">
        <v>1706</v>
      </c>
      <c r="K74">
        <v>2205</v>
      </c>
      <c r="L74">
        <v>2992</v>
      </c>
    </row>
    <row r="77" spans="3:14" x14ac:dyDescent="0.25">
      <c r="D77" s="60" t="s">
        <v>101</v>
      </c>
      <c r="E77" s="61"/>
      <c r="F77" s="61"/>
      <c r="G77" s="60">
        <v>2015</v>
      </c>
      <c r="H77" s="60">
        <v>2014</v>
      </c>
      <c r="I77" s="60">
        <v>2013</v>
      </c>
      <c r="J77" s="60">
        <v>2012</v>
      </c>
      <c r="K77" s="60">
        <v>2011</v>
      </c>
      <c r="L77" s="60">
        <v>2010</v>
      </c>
    </row>
    <row r="78" spans="3:14" x14ac:dyDescent="0.25">
      <c r="D78" t="s">
        <v>350</v>
      </c>
      <c r="E78" s="53" t="s">
        <v>351</v>
      </c>
      <c r="F78" t="s">
        <v>295</v>
      </c>
      <c r="G78">
        <v>1.0166659634841202</v>
      </c>
      <c r="H78">
        <v>0.97586700135093829</v>
      </c>
      <c r="I78">
        <v>0.95412486768961413</v>
      </c>
      <c r="J78">
        <v>0.9590621889422779</v>
      </c>
      <c r="K78">
        <v>0.88181110760853432</v>
      </c>
      <c r="L78">
        <v>0.83040633957644161</v>
      </c>
    </row>
    <row r="79" spans="3:14" x14ac:dyDescent="0.25">
      <c r="D79" t="s">
        <v>352</v>
      </c>
      <c r="E79" s="53" t="s">
        <v>351</v>
      </c>
      <c r="G79">
        <v>1.5001896373993107</v>
      </c>
      <c r="H79">
        <v>1.6268864470632849</v>
      </c>
      <c r="I79">
        <v>1.7342153475320432</v>
      </c>
      <c r="J79">
        <v>1.7095372836234004</v>
      </c>
      <c r="K79">
        <v>1.5173383991039391</v>
      </c>
      <c r="L79">
        <v>1.2475759285898822</v>
      </c>
    </row>
    <row r="80" spans="3:14" x14ac:dyDescent="0.25">
      <c r="D80" t="s">
        <v>353</v>
      </c>
      <c r="G80" s="63">
        <f>G79/(G79+G78)</f>
        <v>0.59605709476250268</v>
      </c>
      <c r="H80" s="63">
        <f t="shared" ref="H80:L80" si="1">H79/(H79+H78)</f>
        <v>0.62506360256846316</v>
      </c>
      <c r="I80" s="63">
        <f t="shared" si="1"/>
        <v>0.64508775255183048</v>
      </c>
      <c r="J80" s="63">
        <f t="shared" si="1"/>
        <v>0.64061216424501333</v>
      </c>
      <c r="K80" s="63">
        <f t="shared" si="1"/>
        <v>0.63244845511238279</v>
      </c>
      <c r="L80" s="63">
        <f t="shared" si="1"/>
        <v>0.60037852473629716</v>
      </c>
    </row>
    <row r="81" spans="4:12" x14ac:dyDescent="0.25">
      <c r="D81" t="s">
        <v>354</v>
      </c>
      <c r="E81" s="53" t="s">
        <v>355</v>
      </c>
      <c r="G81" s="98">
        <v>0.27265754080981736</v>
      </c>
      <c r="H81" s="98">
        <v>0.29019924911986056</v>
      </c>
      <c r="I81" s="98">
        <v>0.26815878169306184</v>
      </c>
      <c r="J81" s="98">
        <v>0.27738777940106429</v>
      </c>
      <c r="K81" s="98">
        <v>0.24805152493619545</v>
      </c>
      <c r="L81" s="98">
        <v>0.23722022284462838</v>
      </c>
    </row>
    <row r="82" spans="4:12" x14ac:dyDescent="0.25">
      <c r="D82" t="s">
        <v>356</v>
      </c>
      <c r="E82" s="53" t="s">
        <v>355</v>
      </c>
      <c r="G82" s="43">
        <v>0.42855563973004474</v>
      </c>
      <c r="H82" s="43">
        <v>0.45763957905509511</v>
      </c>
      <c r="I82" s="43">
        <v>0.50158389080659604</v>
      </c>
      <c r="J82" s="43">
        <v>0.48046901486320781</v>
      </c>
      <c r="K82" s="43">
        <v>0.45121974969040285</v>
      </c>
      <c r="L82" s="43">
        <v>0.33458480649544703</v>
      </c>
    </row>
    <row r="83" spans="4:12" x14ac:dyDescent="0.25">
      <c r="G83" s="63"/>
      <c r="H83" s="63"/>
      <c r="I83" s="63"/>
      <c r="J83" s="63"/>
      <c r="K83" s="63"/>
      <c r="L83" s="63"/>
    </row>
    <row r="85" spans="4:12" x14ac:dyDescent="0.25">
      <c r="D85" t="s">
        <v>169</v>
      </c>
      <c r="E85" t="s">
        <v>8</v>
      </c>
      <c r="G85" s="63">
        <v>0.85742033110675886</v>
      </c>
      <c r="H85" s="63">
        <v>0.74430247605156441</v>
      </c>
      <c r="I85" s="63">
        <v>0.77258906957205575</v>
      </c>
      <c r="J85" s="63">
        <v>0.80315443476341097</v>
      </c>
      <c r="K85" s="63">
        <v>0.84482253619437742</v>
      </c>
      <c r="L85" s="63">
        <v>0.8694970624531001</v>
      </c>
    </row>
    <row r="87" spans="4:12" x14ac:dyDescent="0.25">
      <c r="G87" s="99">
        <f>L77</f>
        <v>2010</v>
      </c>
      <c r="H87" s="99">
        <f>K77</f>
        <v>2011</v>
      </c>
      <c r="I87" s="99">
        <f>J77</f>
        <v>2012</v>
      </c>
      <c r="J87" s="99">
        <f>I77</f>
        <v>2013</v>
      </c>
      <c r="K87" s="99">
        <f>H77</f>
        <v>2014</v>
      </c>
      <c r="L87" s="99">
        <f>G77</f>
        <v>2015</v>
      </c>
    </row>
    <row r="88" spans="4:12" x14ac:dyDescent="0.25">
      <c r="D88" t="s">
        <v>357</v>
      </c>
      <c r="E88" t="s">
        <v>295</v>
      </c>
      <c r="F88" s="53" t="s">
        <v>351</v>
      </c>
      <c r="G88">
        <f>L78</f>
        <v>0.83040633957644161</v>
      </c>
      <c r="H88">
        <f>K78</f>
        <v>0.88181110760853432</v>
      </c>
      <c r="I88">
        <f>J78</f>
        <v>0.9590621889422779</v>
      </c>
      <c r="J88">
        <f>I78</f>
        <v>0.95412486768961413</v>
      </c>
      <c r="K88">
        <f>H78</f>
        <v>0.97586700135093829</v>
      </c>
      <c r="L88">
        <f>G78</f>
        <v>1.0166659634841202</v>
      </c>
    </row>
    <row r="89" spans="4:12" x14ac:dyDescent="0.25">
      <c r="E89" t="s">
        <v>295</v>
      </c>
      <c r="F89" s="53" t="s">
        <v>358</v>
      </c>
      <c r="G89">
        <v>0.23722022284462838</v>
      </c>
      <c r="H89">
        <v>0.24805152493619545</v>
      </c>
      <c r="I89">
        <v>0.27738777940106429</v>
      </c>
      <c r="J89">
        <v>0.26815878169306184</v>
      </c>
      <c r="K89">
        <v>0.29019924911986056</v>
      </c>
      <c r="L89">
        <v>0.27265754080981736</v>
      </c>
    </row>
    <row r="92" spans="4:12" x14ac:dyDescent="0.25">
      <c r="D92" t="s">
        <v>359</v>
      </c>
      <c r="E92" t="s">
        <v>295</v>
      </c>
      <c r="G92">
        <v>0.3563920766147316</v>
      </c>
      <c r="H92">
        <v>0.42682395412631224</v>
      </c>
      <c r="I92">
        <v>0.49444630012013013</v>
      </c>
      <c r="J92">
        <v>0.4874048361339704</v>
      </c>
      <c r="K92">
        <v>0.48379669021235838</v>
      </c>
      <c r="L92">
        <v>0.40233275429020166</v>
      </c>
    </row>
  </sheetData>
  <mergeCells count="2">
    <mergeCell ref="D21:D30"/>
    <mergeCell ref="F58:F61"/>
  </mergeCells>
  <pageMargins left="0.7" right="0.7" top="0.78740157499999996" bottom="0.78740157499999996"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K91"/>
  <sheetViews>
    <sheetView topLeftCell="A4" zoomScale="55" zoomScaleNormal="55" workbookViewId="0">
      <selection activeCell="K27" sqref="K27"/>
    </sheetView>
  </sheetViews>
  <sheetFormatPr baseColWidth="10" defaultRowHeight="15" x14ac:dyDescent="0.25"/>
  <cols>
    <col min="2" max="2" width="19.85546875" customWidth="1"/>
    <col min="3" max="3" width="34" bestFit="1" customWidth="1"/>
    <col min="6" max="6" width="11.5703125" bestFit="1" customWidth="1"/>
    <col min="10" max="10" width="35" customWidth="1"/>
  </cols>
  <sheetData>
    <row r="2" spans="2:11" x14ac:dyDescent="0.25">
      <c r="B2" s="62" t="s">
        <v>14</v>
      </c>
      <c r="C2" s="62"/>
      <c r="D2" s="62">
        <v>2015</v>
      </c>
      <c r="E2" s="62">
        <v>2014</v>
      </c>
      <c r="F2" s="62">
        <v>2013</v>
      </c>
      <c r="G2" s="62">
        <v>2012</v>
      </c>
      <c r="H2" s="62">
        <v>2011</v>
      </c>
      <c r="I2" s="62">
        <v>2010</v>
      </c>
    </row>
    <row r="3" spans="2:11" x14ac:dyDescent="0.25">
      <c r="B3" t="s">
        <v>360</v>
      </c>
      <c r="C3" t="s">
        <v>91</v>
      </c>
      <c r="D3">
        <v>18.010000000000002</v>
      </c>
      <c r="E3">
        <v>15.46</v>
      </c>
      <c r="F3">
        <v>19.149999999999999</v>
      </c>
      <c r="G3">
        <v>20.079999999999998</v>
      </c>
      <c r="H3">
        <v>18.77</v>
      </c>
      <c r="I3">
        <v>17.649999999999999</v>
      </c>
      <c r="K3" t="s">
        <v>361</v>
      </c>
    </row>
    <row r="4" spans="2:11" x14ac:dyDescent="0.25">
      <c r="C4" t="s">
        <v>139</v>
      </c>
      <c r="D4">
        <f>11.2*365/1000</f>
        <v>4.0879999999999992</v>
      </c>
      <c r="E4">
        <f>365/1000*7.16</f>
        <v>2.6133999999999999</v>
      </c>
      <c r="F4">
        <f>365/1000*11.9</f>
        <v>4.3434999999999997</v>
      </c>
      <c r="G4">
        <f>365/1000*8.5</f>
        <v>3.1025</v>
      </c>
      <c r="H4">
        <f>365/1000*10.58</f>
        <v>3.8616999999999999</v>
      </c>
      <c r="I4">
        <f>365/1000*14.1</f>
        <v>5.1464999999999996</v>
      </c>
      <c r="K4" t="s">
        <v>362</v>
      </c>
    </row>
    <row r="5" spans="2:11" x14ac:dyDescent="0.25">
      <c r="C5" t="s">
        <v>63</v>
      </c>
      <c r="D5">
        <v>27.706</v>
      </c>
      <c r="E5">
        <v>30.734999999999999</v>
      </c>
      <c r="F5">
        <v>18.536000000000001</v>
      </c>
      <c r="G5">
        <v>18.462</v>
      </c>
      <c r="H5">
        <v>18.881</v>
      </c>
      <c r="I5">
        <v>16.925999999999998</v>
      </c>
      <c r="K5" t="s">
        <v>363</v>
      </c>
    </row>
    <row r="6" spans="2:11" x14ac:dyDescent="0.25">
      <c r="C6" t="s">
        <v>141</v>
      </c>
      <c r="D6">
        <v>5.734</v>
      </c>
      <c r="E6">
        <v>4.8070000000000004</v>
      </c>
      <c r="F6">
        <v>4.2359999999999998</v>
      </c>
      <c r="H6">
        <v>6.3739999999999997</v>
      </c>
      <c r="I6">
        <v>6.8529999999999998</v>
      </c>
      <c r="K6" t="s">
        <v>364</v>
      </c>
    </row>
    <row r="7" spans="2:11" x14ac:dyDescent="0.25">
      <c r="C7" t="s">
        <v>144</v>
      </c>
      <c r="D7" s="121" t="s">
        <v>365</v>
      </c>
      <c r="E7" s="121"/>
      <c r="F7" s="121"/>
      <c r="G7" s="121"/>
      <c r="H7" s="121"/>
      <c r="I7" s="121"/>
    </row>
    <row r="8" spans="2:11" x14ac:dyDescent="0.25">
      <c r="C8" t="s">
        <v>147</v>
      </c>
      <c r="D8" s="121"/>
      <c r="E8" s="121"/>
      <c r="F8" s="121"/>
      <c r="G8" s="121"/>
      <c r="H8" s="121"/>
      <c r="I8" s="121"/>
    </row>
    <row r="9" spans="2:11" x14ac:dyDescent="0.25">
      <c r="C9" t="s">
        <v>152</v>
      </c>
      <c r="D9" s="121"/>
      <c r="E9" s="121"/>
      <c r="F9" s="121"/>
      <c r="G9" s="121"/>
      <c r="H9" s="121"/>
      <c r="I9" s="121"/>
    </row>
    <row r="10" spans="2:11" x14ac:dyDescent="0.25">
      <c r="B10" t="s">
        <v>169</v>
      </c>
      <c r="D10" s="39">
        <v>1</v>
      </c>
      <c r="E10" s="39">
        <v>1</v>
      </c>
      <c r="F10" s="39">
        <v>1</v>
      </c>
      <c r="G10" s="39">
        <v>0.96937697980291981</v>
      </c>
      <c r="H10" s="39">
        <v>1</v>
      </c>
      <c r="I10" s="39">
        <v>1</v>
      </c>
    </row>
    <row r="12" spans="2:11" x14ac:dyDescent="0.25">
      <c r="B12" s="62" t="s">
        <v>14</v>
      </c>
      <c r="D12" s="62">
        <v>2015</v>
      </c>
      <c r="E12" s="62">
        <v>2014</v>
      </c>
      <c r="F12" s="62">
        <v>2013</v>
      </c>
      <c r="G12" s="62">
        <v>2012</v>
      </c>
      <c r="H12" s="62">
        <v>2011</v>
      </c>
      <c r="I12" s="62">
        <v>2010</v>
      </c>
    </row>
    <row r="13" spans="2:11" x14ac:dyDescent="0.25">
      <c r="B13" t="s">
        <v>78</v>
      </c>
      <c r="C13" t="s">
        <v>91</v>
      </c>
      <c r="D13" s="43">
        <v>41.963414876335108</v>
      </c>
      <c r="E13" s="43">
        <v>38.572762984812719</v>
      </c>
      <c r="F13" s="43">
        <v>40.661775998756234</v>
      </c>
      <c r="G13" s="43">
        <v>39.545446019921961</v>
      </c>
      <c r="H13" s="43">
        <v>40.16630919368145</v>
      </c>
      <c r="I13" s="43">
        <v>41.078447655428214</v>
      </c>
    </row>
    <row r="14" spans="2:11" x14ac:dyDescent="0.25">
      <c r="C14" t="s">
        <v>139</v>
      </c>
      <c r="D14" s="43">
        <v>13.135697451760201</v>
      </c>
      <c r="E14" s="43">
        <v>9.4802157140721324</v>
      </c>
      <c r="F14" s="43">
        <v>10.929120099334474</v>
      </c>
      <c r="G14" s="43">
        <v>11.576374402334517</v>
      </c>
      <c r="H14" s="43">
        <v>11.411655833064247</v>
      </c>
      <c r="I14" s="43">
        <v>11.003232685600397</v>
      </c>
    </row>
    <row r="15" spans="2:11" x14ac:dyDescent="0.25">
      <c r="C15" t="s">
        <v>63</v>
      </c>
      <c r="D15" s="43">
        <v>8.3166801550123264</v>
      </c>
      <c r="E15" s="43">
        <v>3.1622594056155453</v>
      </c>
      <c r="F15" s="43">
        <v>10.464119667966411</v>
      </c>
      <c r="G15" s="43">
        <v>8.4389285746092604</v>
      </c>
      <c r="H15" s="43">
        <v>11.046390782319692</v>
      </c>
      <c r="I15" s="43">
        <v>9.8155540371986731</v>
      </c>
    </row>
    <row r="16" spans="2:11" x14ac:dyDescent="0.25">
      <c r="C16" t="s">
        <v>141</v>
      </c>
      <c r="D16" s="44">
        <v>5.1063892620415379</v>
      </c>
      <c r="E16" s="44">
        <v>4.9451435129300076</v>
      </c>
      <c r="F16" s="44">
        <v>4.6511581059424518</v>
      </c>
      <c r="G16" s="44">
        <v>6.0267960546000863</v>
      </c>
      <c r="H16" s="44">
        <v>4.5883877353325184</v>
      </c>
      <c r="I16" s="44">
        <v>5.1000697558545092</v>
      </c>
    </row>
    <row r="17" spans="2:10" x14ac:dyDescent="0.25">
      <c r="C17" t="s">
        <v>144</v>
      </c>
      <c r="D17" s="43">
        <v>2.2457932011559825</v>
      </c>
      <c r="E17" s="43">
        <v>2.4377873362724736</v>
      </c>
      <c r="F17" s="43">
        <v>2.1473420387053443</v>
      </c>
      <c r="G17" s="43">
        <v>2.2235919738920353</v>
      </c>
      <c r="H17" s="43">
        <v>2.1902026870409834</v>
      </c>
      <c r="I17" s="43">
        <v>2.3322512482996487</v>
      </c>
    </row>
    <row r="18" spans="2:10" x14ac:dyDescent="0.25">
      <c r="C18" t="s">
        <v>147</v>
      </c>
      <c r="D18" s="43">
        <v>6.6451520071660655</v>
      </c>
      <c r="E18" s="43">
        <v>6.9240174090097906</v>
      </c>
      <c r="F18" s="43">
        <v>6.139131669302957</v>
      </c>
      <c r="G18" s="43">
        <v>5.6430965142261824</v>
      </c>
      <c r="H18" s="43">
        <v>5.061866817709511</v>
      </c>
      <c r="I18" s="43">
        <v>4.7036932973343504</v>
      </c>
    </row>
    <row r="19" spans="2:10" x14ac:dyDescent="0.25">
      <c r="C19" t="s">
        <v>152</v>
      </c>
      <c r="D19" s="43">
        <v>6.3935584317934335</v>
      </c>
      <c r="E19" s="43">
        <v>5.0715201781675603</v>
      </c>
      <c r="F19" s="43">
        <v>4.7861867755214895</v>
      </c>
      <c r="G19" s="43">
        <v>5.7114495142576551</v>
      </c>
      <c r="H19" s="43">
        <v>5.4045948423941255</v>
      </c>
      <c r="I19" s="43">
        <v>4.7623200566113182</v>
      </c>
    </row>
    <row r="20" spans="2:10" x14ac:dyDescent="0.25">
      <c r="C20" t="s">
        <v>169</v>
      </c>
      <c r="D20" s="39">
        <v>0.85742033110675886</v>
      </c>
      <c r="E20" s="39">
        <v>0.74430247605156441</v>
      </c>
      <c r="F20" s="39">
        <v>0.77258906957205575</v>
      </c>
      <c r="G20" s="39">
        <v>0.80315443476341097</v>
      </c>
      <c r="H20" s="39">
        <v>0.84482253619437742</v>
      </c>
      <c r="I20" s="39">
        <v>0.8694970624531001</v>
      </c>
    </row>
    <row r="24" spans="2:10" x14ac:dyDescent="0.25">
      <c r="B24" t="s">
        <v>366</v>
      </c>
    </row>
    <row r="25" spans="2:10" x14ac:dyDescent="0.25">
      <c r="B25" t="s">
        <v>95</v>
      </c>
      <c r="C25">
        <v>0.1795099</v>
      </c>
      <c r="D25" t="s">
        <v>367</v>
      </c>
      <c r="E25">
        <v>37.632203958900298</v>
      </c>
      <c r="F25" t="s">
        <v>368</v>
      </c>
      <c r="G25">
        <v>0.84</v>
      </c>
      <c r="H25" t="s">
        <v>369</v>
      </c>
      <c r="I25">
        <f>C25/E25*G25</f>
        <v>4.0068956940359432E-3</v>
      </c>
      <c r="J25" t="s">
        <v>370</v>
      </c>
    </row>
    <row r="26" spans="2:10" x14ac:dyDescent="0.25">
      <c r="G26">
        <v>42.5</v>
      </c>
      <c r="H26" t="s">
        <v>218</v>
      </c>
    </row>
    <row r="27" spans="2:10" x14ac:dyDescent="0.25">
      <c r="B27" s="62" t="s">
        <v>14</v>
      </c>
    </row>
    <row r="28" spans="2:10" x14ac:dyDescent="0.25">
      <c r="B28" t="s">
        <v>223</v>
      </c>
      <c r="C28" t="s">
        <v>91</v>
      </c>
      <c r="D28" s="43">
        <v>0.28853558001018992</v>
      </c>
      <c r="E28" s="43">
        <v>0.27498416020574212</v>
      </c>
      <c r="F28" s="43">
        <v>0.26712637960239616</v>
      </c>
      <c r="G28" s="43">
        <v>0.22559832899193963</v>
      </c>
      <c r="H28" s="43">
        <v>0.24243402518536808</v>
      </c>
      <c r="I28" s="43">
        <v>0.22896546823062533</v>
      </c>
    </row>
    <row r="29" spans="2:10" x14ac:dyDescent="0.25">
      <c r="C29" t="s">
        <v>139</v>
      </c>
      <c r="D29" s="43">
        <v>6.7209993219987677E-2</v>
      </c>
      <c r="E29" s="43">
        <v>5.4185660139055437E-2</v>
      </c>
      <c r="F29" s="43">
        <v>6.1865706297687534E-2</v>
      </c>
      <c r="G29" s="43">
        <v>4.9977325340065111E-2</v>
      </c>
      <c r="H29" s="43">
        <v>8.1484769576193133E-2</v>
      </c>
      <c r="I29" s="43">
        <v>8.0167411704019365E-2</v>
      </c>
    </row>
    <row r="30" spans="2:10" x14ac:dyDescent="0.25">
      <c r="C30" t="s">
        <v>63</v>
      </c>
      <c r="D30" s="43">
        <v>8.7141967553893696E-2</v>
      </c>
      <c r="E30" s="43">
        <v>8.7254160633326708E-2</v>
      </c>
      <c r="F30" s="43">
        <v>0.10116209558732546</v>
      </c>
      <c r="G30" s="43">
        <v>0.11169221747125192</v>
      </c>
      <c r="H30" s="43">
        <v>0.10417928804493452</v>
      </c>
      <c r="I30" s="43">
        <v>9.4025814356247434E-2</v>
      </c>
    </row>
    <row r="31" spans="2:10" x14ac:dyDescent="0.25">
      <c r="C31" t="s">
        <v>141</v>
      </c>
      <c r="D31" s="43">
        <v>2.6538431491781918E-3</v>
      </c>
      <c r="E31" s="43">
        <v>2.5993092987823623E-3</v>
      </c>
      <c r="F31" s="43">
        <v>2.5473398616307165E-3</v>
      </c>
      <c r="G31" s="43">
        <v>2.308288464524532E-3</v>
      </c>
      <c r="H31" s="43">
        <v>2.0060082533664607E-3</v>
      </c>
      <c r="I31" s="43" t="s">
        <v>43</v>
      </c>
    </row>
    <row r="32" spans="2:10" x14ac:dyDescent="0.25">
      <c r="C32" t="s">
        <v>144</v>
      </c>
      <c r="D32" s="43">
        <v>2.0956064479807981E-3</v>
      </c>
      <c r="E32" s="43">
        <v>3.754461265311679E-3</v>
      </c>
      <c r="F32" s="43">
        <v>3.0893165801017123E-3</v>
      </c>
      <c r="G32" s="43">
        <v>1.622792756084557E-3</v>
      </c>
      <c r="H32" s="43">
        <v>1.7189582527414196E-3</v>
      </c>
      <c r="I32" s="43">
        <v>2.0475236996523672E-3</v>
      </c>
    </row>
    <row r="33" spans="2:10" x14ac:dyDescent="0.25">
      <c r="C33" t="s">
        <v>147</v>
      </c>
      <c r="D33" s="43">
        <v>0.1397404873295035</v>
      </c>
      <c r="E33" s="43">
        <v>0.13726422579058931</v>
      </c>
      <c r="F33" s="43">
        <v>0.16507208190719877</v>
      </c>
      <c r="G33" s="43">
        <v>0.17410362480155578</v>
      </c>
      <c r="H33" s="43">
        <v>0.14586302394999043</v>
      </c>
      <c r="I33" s="43">
        <v>0.11999851224498843</v>
      </c>
    </row>
    <row r="34" spans="2:10" x14ac:dyDescent="0.25">
      <c r="C34" t="s">
        <v>152</v>
      </c>
      <c r="D34" s="43">
        <v>3.9788474241776915E-2</v>
      </c>
      <c r="E34" s="43">
        <v>3.8081536676117599E-2</v>
      </c>
      <c r="F34" s="43">
        <v>3.8750688257021611E-2</v>
      </c>
      <c r="G34" s="43">
        <v>5.3447981662745447E-2</v>
      </c>
      <c r="H34" s="43">
        <v>5.7458884252475431E-2</v>
      </c>
      <c r="I34" s="43">
        <v>8.4224947488635515E-2</v>
      </c>
    </row>
    <row r="35" spans="2:10" x14ac:dyDescent="0.25">
      <c r="C35" t="s">
        <v>169</v>
      </c>
      <c r="D35" s="39">
        <v>0.85742033110675886</v>
      </c>
      <c r="E35" s="39">
        <v>0.74430247605156441</v>
      </c>
      <c r="F35" s="39">
        <v>0.77258906957205575</v>
      </c>
      <c r="G35" s="39">
        <v>0.80315443476341097</v>
      </c>
      <c r="H35" s="39">
        <v>0.84482253619437742</v>
      </c>
      <c r="I35" s="39">
        <v>0.8488073075103354</v>
      </c>
    </row>
    <row r="39" spans="2:10" x14ac:dyDescent="0.25">
      <c r="B39" s="62" t="s">
        <v>371</v>
      </c>
    </row>
    <row r="40" spans="2:10" x14ac:dyDescent="0.25">
      <c r="B40" t="s">
        <v>360</v>
      </c>
      <c r="C40" t="s">
        <v>91</v>
      </c>
      <c r="D40" s="43">
        <v>0.49607492080980592</v>
      </c>
      <c r="E40" s="43">
        <v>0.52242084276687062</v>
      </c>
      <c r="F40" s="43">
        <v>0.53017718715393125</v>
      </c>
      <c r="G40" s="43">
        <v>0.56673534475459342</v>
      </c>
      <c r="H40" s="43">
        <v>0.48530134188277269</v>
      </c>
      <c r="I40" s="43">
        <v>0.42522947936492633</v>
      </c>
      <c r="J40" s="125"/>
    </row>
    <row r="41" spans="2:10" x14ac:dyDescent="0.25">
      <c r="C41" t="s">
        <v>139</v>
      </c>
      <c r="D41" s="43">
        <v>0.34614733276883985</v>
      </c>
      <c r="E41" s="43">
        <v>0.42905926777212283</v>
      </c>
      <c r="F41" s="43">
        <v>0.36740822195905937</v>
      </c>
      <c r="G41" s="43">
        <v>0.28729511991851098</v>
      </c>
      <c r="H41" s="43">
        <v>0.32081914098197228</v>
      </c>
      <c r="I41" s="43">
        <v>0.42762775238886575</v>
      </c>
      <c r="J41" s="125"/>
    </row>
    <row r="42" spans="2:10" x14ac:dyDescent="0.25">
      <c r="C42" t="s">
        <v>63</v>
      </c>
      <c r="D42" s="43">
        <v>1.7290314528207686</v>
      </c>
      <c r="E42" s="43">
        <v>2.2086087956309282</v>
      </c>
      <c r="F42" s="43">
        <v>1.0771108141088968</v>
      </c>
      <c r="G42" s="43">
        <v>1.1104294478527608</v>
      </c>
      <c r="H42" s="43">
        <v>0.95267167869216407</v>
      </c>
      <c r="I42" s="43">
        <v>0.88289604089510187</v>
      </c>
      <c r="J42" s="125"/>
    </row>
    <row r="43" spans="2:10" x14ac:dyDescent="0.25">
      <c r="C43" t="s">
        <v>141</v>
      </c>
      <c r="D43" s="43">
        <v>1.5723550692546451</v>
      </c>
      <c r="E43" s="43">
        <v>1.4830629399324029</v>
      </c>
      <c r="F43" s="43">
        <v>1.7824524374279664</v>
      </c>
      <c r="G43" s="43">
        <v>0</v>
      </c>
      <c r="H43" s="43">
        <v>2.1747994179153105</v>
      </c>
      <c r="I43" s="43">
        <v>3.1317620445795109</v>
      </c>
      <c r="J43" s="125"/>
    </row>
    <row r="44" spans="2:10" x14ac:dyDescent="0.25">
      <c r="C44" t="s">
        <v>144</v>
      </c>
      <c r="D44" s="43">
        <v>0</v>
      </c>
      <c r="E44" s="43">
        <v>0</v>
      </c>
      <c r="F44" s="43">
        <v>0</v>
      </c>
      <c r="G44" s="43">
        <v>0</v>
      </c>
      <c r="H44" s="43">
        <v>0</v>
      </c>
      <c r="I44" s="43">
        <v>0</v>
      </c>
      <c r="J44" s="125"/>
    </row>
    <row r="45" spans="2:10" x14ac:dyDescent="0.25">
      <c r="C45" t="s">
        <v>147</v>
      </c>
      <c r="D45" s="43">
        <v>0</v>
      </c>
      <c r="E45" s="43">
        <v>0</v>
      </c>
      <c r="F45" s="43">
        <v>0</v>
      </c>
      <c r="G45" s="43">
        <v>0</v>
      </c>
      <c r="H45" s="43">
        <v>0</v>
      </c>
      <c r="I45" s="43">
        <v>0</v>
      </c>
      <c r="J45" s="125"/>
    </row>
    <row r="46" spans="2:10" x14ac:dyDescent="0.25">
      <c r="C46" t="s">
        <v>152</v>
      </c>
      <c r="D46" s="43">
        <v>0</v>
      </c>
      <c r="E46" s="43">
        <v>0</v>
      </c>
      <c r="F46" s="43">
        <v>0</v>
      </c>
      <c r="G46" s="43">
        <v>0</v>
      </c>
      <c r="H46" s="43">
        <v>0</v>
      </c>
      <c r="I46" s="43">
        <v>0</v>
      </c>
      <c r="J46" s="125"/>
    </row>
    <row r="47" spans="2:10" x14ac:dyDescent="0.25">
      <c r="B47" t="s">
        <v>78</v>
      </c>
      <c r="C47" t="s">
        <v>91</v>
      </c>
      <c r="D47" s="43">
        <v>1.1558577296883379</v>
      </c>
      <c r="E47" s="43">
        <v>1.303442131071967</v>
      </c>
      <c r="F47" s="43">
        <v>1.125741306720826</v>
      </c>
      <c r="G47" s="43">
        <v>1.1161255967915655</v>
      </c>
      <c r="H47" s="43">
        <v>1.0385063265941374</v>
      </c>
      <c r="I47" s="43">
        <v>0.98967517901626745</v>
      </c>
    </row>
    <row r="48" spans="2:10" x14ac:dyDescent="0.25">
      <c r="C48" t="s">
        <v>139</v>
      </c>
      <c r="D48" s="43">
        <v>1.1122521127654701</v>
      </c>
      <c r="E48" s="43">
        <v>1.5564300958910084</v>
      </c>
      <c r="F48" s="43">
        <v>0.92447302481259297</v>
      </c>
      <c r="G48" s="43">
        <v>1.0719857766769625</v>
      </c>
      <c r="H48" s="43">
        <v>0.94804817089509408</v>
      </c>
      <c r="I48" s="43">
        <v>0.91426943793937654</v>
      </c>
    </row>
    <row r="49" spans="1:9" x14ac:dyDescent="0.25">
      <c r="C49" t="s">
        <v>63</v>
      </c>
      <c r="D49" s="43">
        <v>0.51901398870521254</v>
      </c>
      <c r="E49" s="43">
        <v>0.22723910646849274</v>
      </c>
      <c r="F49" s="43">
        <v>0.60806087907295081</v>
      </c>
      <c r="G49" s="43">
        <v>0.50757419551360883</v>
      </c>
      <c r="H49" s="43">
        <v>0.55736368042382023</v>
      </c>
      <c r="I49" s="43">
        <v>0.51200010626460135</v>
      </c>
    </row>
    <row r="50" spans="1:9" x14ac:dyDescent="0.25">
      <c r="C50" t="s">
        <v>141</v>
      </c>
      <c r="D50" s="43">
        <v>1.4002541056432678</v>
      </c>
      <c r="E50" s="43">
        <v>1.5256831863269458</v>
      </c>
      <c r="F50" s="43">
        <v>1.9571454444759131</v>
      </c>
      <c r="G50" s="43">
        <v>1.9171168203985609</v>
      </c>
      <c r="H50" s="43">
        <v>1.5655511415078307</v>
      </c>
      <c r="I50" s="43">
        <v>2.3306880032238499</v>
      </c>
    </row>
    <row r="51" spans="1:9" x14ac:dyDescent="0.25">
      <c r="C51" t="s">
        <v>144</v>
      </c>
      <c r="D51" s="43">
        <v>0.91255310896220343</v>
      </c>
      <c r="E51" s="43">
        <v>0.98337528691910991</v>
      </c>
      <c r="F51" s="43">
        <v>0.93322122499145777</v>
      </c>
      <c r="G51" s="43">
        <v>0.93624925216506749</v>
      </c>
      <c r="H51" s="43">
        <v>0.95019639351018803</v>
      </c>
      <c r="I51" s="43">
        <v>0.96894526310745688</v>
      </c>
    </row>
    <row r="52" spans="1:9" x14ac:dyDescent="0.25">
      <c r="C52" t="s">
        <v>147</v>
      </c>
      <c r="D52" s="43">
        <v>1.3036458102166741</v>
      </c>
      <c r="E52" s="43">
        <v>1.3186092951837345</v>
      </c>
      <c r="F52" s="43">
        <v>1.1500808672354734</v>
      </c>
      <c r="G52" s="43">
        <v>1.0593385609585475</v>
      </c>
      <c r="H52" s="43">
        <v>0.96711249860709037</v>
      </c>
      <c r="I52" s="43">
        <v>0.90351388730971005</v>
      </c>
    </row>
    <row r="53" spans="1:9" x14ac:dyDescent="0.25">
      <c r="C53" t="s">
        <v>152</v>
      </c>
      <c r="D53" s="43">
        <v>1.1765841795718501</v>
      </c>
      <c r="E53" s="43">
        <v>0.70398669880171583</v>
      </c>
      <c r="F53" s="43">
        <v>0.71435623515246116</v>
      </c>
      <c r="G53" s="43">
        <v>0.65288631850224677</v>
      </c>
      <c r="H53" s="43">
        <v>0.58170216794684371</v>
      </c>
      <c r="I53" s="43">
        <v>0.50410924702141613</v>
      </c>
    </row>
    <row r="54" spans="1:9" x14ac:dyDescent="0.25">
      <c r="B54" t="s">
        <v>223</v>
      </c>
      <c r="C54" t="s">
        <v>91</v>
      </c>
      <c r="D54" s="43">
        <v>7.9475438647621521E-3</v>
      </c>
      <c r="E54" s="43">
        <v>9.2922028927699823E-3</v>
      </c>
      <c r="F54" s="43">
        <v>7.3955254596455196E-3</v>
      </c>
      <c r="G54" s="43">
        <v>6.3672583046467677E-3</v>
      </c>
      <c r="H54" s="43">
        <v>6.2681703644379885E-3</v>
      </c>
      <c r="I54" s="43">
        <v>5.516309736445066E-3</v>
      </c>
    </row>
    <row r="55" spans="1:9" x14ac:dyDescent="0.25">
      <c r="C55" t="s">
        <v>139</v>
      </c>
      <c r="D55" s="43">
        <v>5.6909393073655947E-3</v>
      </c>
      <c r="E55" s="43">
        <v>8.8960203807347624E-3</v>
      </c>
      <c r="F55" s="43">
        <v>5.233099839087086E-3</v>
      </c>
      <c r="G55" s="43">
        <v>4.6279586387688778E-3</v>
      </c>
      <c r="H55" s="43">
        <v>6.7695247633291636E-3</v>
      </c>
      <c r="I55" s="43">
        <v>6.6611891735786763E-3</v>
      </c>
    </row>
    <row r="56" spans="1:9" x14ac:dyDescent="0.25">
      <c r="C56" t="s">
        <v>63</v>
      </c>
      <c r="D56" s="43">
        <v>5.438215648645388E-3</v>
      </c>
      <c r="E56" s="43">
        <v>6.2700604076837245E-3</v>
      </c>
      <c r="F56" s="43">
        <v>5.8784412567450435E-3</v>
      </c>
      <c r="G56" s="43">
        <v>6.7179247847499049E-3</v>
      </c>
      <c r="H56" s="43">
        <v>5.2565360535311838E-3</v>
      </c>
      <c r="I56" s="43">
        <v>4.9045857991887451E-3</v>
      </c>
    </row>
    <row r="57" spans="1:9" x14ac:dyDescent="0.25">
      <c r="C57" t="s">
        <v>141</v>
      </c>
      <c r="D57" s="43">
        <v>7.2772649609644945E-4</v>
      </c>
      <c r="E57" s="43">
        <v>8.0194285218344148E-4</v>
      </c>
      <c r="F57" s="43">
        <v>1.0718867198586141E-3</v>
      </c>
      <c r="G57" s="43">
        <v>7.3426387778532346E-4</v>
      </c>
      <c r="H57" s="43">
        <v>6.8444706334400509E-4</v>
      </c>
      <c r="I57" s="43"/>
    </row>
    <row r="58" spans="1:9" x14ac:dyDescent="0.25">
      <c r="C58" t="s">
        <v>144</v>
      </c>
      <c r="D58" s="43">
        <v>1.0400031999904706E-3</v>
      </c>
      <c r="E58" s="43">
        <v>1.8641813631140414E-3</v>
      </c>
      <c r="F58" s="43">
        <v>1.5346828515160021E-3</v>
      </c>
      <c r="G58" s="43">
        <v>8.0655703582731459E-4</v>
      </c>
      <c r="H58" s="43">
        <v>8.5477784820557905E-4</v>
      </c>
      <c r="I58" s="43">
        <v>1.0186685072897349E-3</v>
      </c>
    </row>
    <row r="59" spans="1:9" x14ac:dyDescent="0.25">
      <c r="C59" t="s">
        <v>147</v>
      </c>
      <c r="D59" s="43">
        <v>5.403731141898821E-2</v>
      </c>
      <c r="E59" s="43">
        <v>5.5934892335203469E-2</v>
      </c>
      <c r="F59" s="43">
        <v>6.9299782496724929E-2</v>
      </c>
      <c r="G59" s="43">
        <v>6.779736168284882E-2</v>
      </c>
      <c r="H59" s="43">
        <v>6.3116842903500836E-2</v>
      </c>
      <c r="I59" s="43">
        <v>5.2700268882296196E-2</v>
      </c>
    </row>
    <row r="60" spans="1:9" x14ac:dyDescent="0.25">
      <c r="C60" t="s">
        <v>152</v>
      </c>
      <c r="D60" s="43">
        <v>7.3221336477322253E-3</v>
      </c>
      <c r="E60" s="43">
        <v>5.2861655574843978E-3</v>
      </c>
      <c r="F60" s="43">
        <v>5.7836848144808377E-3</v>
      </c>
      <c r="G60" s="43">
        <v>6.1097372728332704E-3</v>
      </c>
      <c r="H60" s="43">
        <v>6.1843595148504396E-3</v>
      </c>
      <c r="I60" s="43">
        <v>8.9155231807595547E-3</v>
      </c>
    </row>
    <row r="63" spans="1:9" x14ac:dyDescent="0.25">
      <c r="A63" s="60" t="s">
        <v>101</v>
      </c>
      <c r="B63" s="61"/>
      <c r="C63" s="61"/>
      <c r="D63" s="60">
        <v>2015</v>
      </c>
      <c r="E63" s="60">
        <v>2014</v>
      </c>
      <c r="F63" s="60">
        <v>2013</v>
      </c>
      <c r="G63" s="60">
        <v>2012</v>
      </c>
      <c r="H63" s="60">
        <v>2011</v>
      </c>
      <c r="I63" s="60">
        <v>2010</v>
      </c>
    </row>
    <row r="64" spans="1:9" x14ac:dyDescent="0.25">
      <c r="D64" s="60">
        <v>2015</v>
      </c>
      <c r="E64" s="60">
        <v>2014</v>
      </c>
      <c r="F64" s="60">
        <v>2013</v>
      </c>
      <c r="G64" s="60">
        <v>2012</v>
      </c>
      <c r="H64" s="60">
        <v>2011</v>
      </c>
      <c r="I64" s="60">
        <v>2010</v>
      </c>
    </row>
    <row r="65" spans="2:10" x14ac:dyDescent="0.25">
      <c r="B65" s="121" t="s">
        <v>371</v>
      </c>
      <c r="C65" t="s">
        <v>360</v>
      </c>
      <c r="D65" s="43">
        <v>0.68753767341376193</v>
      </c>
      <c r="E65" s="43">
        <v>0.79107621342387968</v>
      </c>
      <c r="F65" s="43">
        <v>0.56513347260315905</v>
      </c>
      <c r="G65" s="43">
        <v>0.50508991078279175</v>
      </c>
      <c r="H65" s="43">
        <v>0.53034290432531694</v>
      </c>
      <c r="I65" s="43">
        <v>0.50646889490652169</v>
      </c>
    </row>
    <row r="66" spans="2:10" x14ac:dyDescent="0.25">
      <c r="B66" s="121"/>
      <c r="C66" t="s">
        <v>78</v>
      </c>
      <c r="D66" s="43">
        <v>1.0374924103551439</v>
      </c>
      <c r="E66" s="43">
        <v>1.0415851054345595</v>
      </c>
      <c r="F66" s="43">
        <v>0.97449913433492619</v>
      </c>
      <c r="G66" s="43">
        <v>0.96016971726695433</v>
      </c>
      <c r="H66" s="43">
        <v>0.88454985931258678</v>
      </c>
      <c r="I66" s="43">
        <v>0.8568347011072015</v>
      </c>
    </row>
    <row r="67" spans="2:10" x14ac:dyDescent="0.25">
      <c r="B67" s="121"/>
      <c r="C67" t="s">
        <v>223</v>
      </c>
      <c r="D67" s="100">
        <v>7.7640573922315602E-3</v>
      </c>
      <c r="E67" s="100">
        <v>8.8251003372532052E-3</v>
      </c>
      <c r="F67" s="100">
        <v>7.8128856159781629E-3</v>
      </c>
      <c r="G67" s="100">
        <v>7.5045843962271309E-3</v>
      </c>
      <c r="H67" s="100">
        <v>7.0341999226533041E-3</v>
      </c>
      <c r="I67" s="100">
        <v>6.6270287039365602E-3</v>
      </c>
    </row>
    <row r="68" spans="2:10" x14ac:dyDescent="0.25">
      <c r="B68" s="121"/>
      <c r="C68" t="s">
        <v>131</v>
      </c>
      <c r="D68" s="43">
        <f>D67+D66+D65</f>
        <v>1.7327941411611374</v>
      </c>
      <c r="E68" s="43">
        <f>E67+E66+E65</f>
        <v>1.8414864191956926</v>
      </c>
      <c r="F68" s="43">
        <f>F67+F66+F65</f>
        <v>1.5474454925540635</v>
      </c>
      <c r="G68" s="43">
        <f t="shared" ref="G68:I68" si="0">G67+G66+G65</f>
        <v>1.4727642124459732</v>
      </c>
      <c r="H68" s="43">
        <f t="shared" si="0"/>
        <v>1.4219269635605571</v>
      </c>
      <c r="I68" s="43">
        <f t="shared" si="0"/>
        <v>1.3699306247176599</v>
      </c>
    </row>
    <row r="69" spans="2:10" x14ac:dyDescent="0.25">
      <c r="D69">
        <f>1000*D67</f>
        <v>7.7640573922315603</v>
      </c>
      <c r="E69">
        <f t="shared" ref="E69:I69" si="1">1000*E67</f>
        <v>8.8251003372532058</v>
      </c>
      <c r="F69">
        <f t="shared" si="1"/>
        <v>7.8128856159781632</v>
      </c>
      <c r="G69">
        <f t="shared" si="1"/>
        <v>7.5045843962271306</v>
      </c>
      <c r="H69">
        <f t="shared" si="1"/>
        <v>7.0341999226533041</v>
      </c>
      <c r="I69">
        <f t="shared" si="1"/>
        <v>6.6270287039365599</v>
      </c>
    </row>
    <row r="70" spans="2:10" x14ac:dyDescent="0.25">
      <c r="D70" s="43"/>
      <c r="E70" s="43"/>
      <c r="F70" s="43"/>
      <c r="G70" s="43"/>
      <c r="H70" s="43"/>
      <c r="I70" s="43"/>
    </row>
    <row r="71" spans="2:10" x14ac:dyDescent="0.25">
      <c r="D71" s="101">
        <f>I64</f>
        <v>2010</v>
      </c>
      <c r="E71" s="101">
        <f>H64</f>
        <v>2011</v>
      </c>
      <c r="F71" s="101">
        <f>G64</f>
        <v>2012</v>
      </c>
      <c r="G71" s="101">
        <f>F64</f>
        <v>2013</v>
      </c>
      <c r="H71" s="101">
        <f>E64</f>
        <v>2014</v>
      </c>
      <c r="I71" s="101">
        <f>D64</f>
        <v>2015</v>
      </c>
    </row>
    <row r="72" spans="2:10" x14ac:dyDescent="0.25">
      <c r="C72" t="s">
        <v>360</v>
      </c>
      <c r="D72" s="43">
        <f t="shared" ref="D72:D73" si="2">I65</f>
        <v>0.50646889490652169</v>
      </c>
      <c r="E72" s="43">
        <f t="shared" ref="E72:E73" si="3">H65</f>
        <v>0.53034290432531694</v>
      </c>
      <c r="F72" s="43">
        <f t="shared" ref="F72:F73" si="4">G65</f>
        <v>0.50508991078279175</v>
      </c>
      <c r="G72" s="43">
        <f t="shared" ref="G72:G73" si="5">F65</f>
        <v>0.56513347260315905</v>
      </c>
      <c r="H72" s="43">
        <f t="shared" ref="H72:H73" si="6">E65</f>
        <v>0.79107621342387968</v>
      </c>
      <c r="I72" s="43">
        <f t="shared" ref="I72:I73" si="7">D65</f>
        <v>0.68753767341376193</v>
      </c>
    </row>
    <row r="73" spans="2:10" x14ac:dyDescent="0.25">
      <c r="C73" t="s">
        <v>78</v>
      </c>
      <c r="D73" s="43">
        <f t="shared" si="2"/>
        <v>0.8568347011072015</v>
      </c>
      <c r="E73" s="43">
        <f t="shared" si="3"/>
        <v>0.88454985931258678</v>
      </c>
      <c r="F73" s="43">
        <f t="shared" si="4"/>
        <v>0.96016971726695433</v>
      </c>
      <c r="G73" s="43">
        <f t="shared" si="5"/>
        <v>0.97449913433492619</v>
      </c>
      <c r="H73" s="43">
        <f t="shared" si="6"/>
        <v>1.0415851054345595</v>
      </c>
      <c r="I73" s="43">
        <f t="shared" si="7"/>
        <v>1.0374924103551439</v>
      </c>
      <c r="J73" s="75"/>
    </row>
    <row r="74" spans="2:10" x14ac:dyDescent="0.25">
      <c r="C74" s="75"/>
      <c r="D74" s="102">
        <f>D72+D73</f>
        <v>1.3633035960137232</v>
      </c>
      <c r="E74" s="102">
        <f t="shared" ref="E74:I74" si="8">E72+E73</f>
        <v>1.4148927636379036</v>
      </c>
      <c r="F74" s="102">
        <f t="shared" si="8"/>
        <v>1.4652596280497461</v>
      </c>
      <c r="G74" s="102">
        <f t="shared" si="8"/>
        <v>1.5396326069380852</v>
      </c>
      <c r="H74" s="102">
        <f t="shared" si="8"/>
        <v>1.8326613188584391</v>
      </c>
      <c r="I74" s="102">
        <f t="shared" si="8"/>
        <v>1.7250300837689059</v>
      </c>
      <c r="J74" s="75"/>
    </row>
    <row r="75" spans="2:10" x14ac:dyDescent="0.25">
      <c r="C75" s="75" t="s">
        <v>372</v>
      </c>
      <c r="D75" s="90">
        <v>389.45172674887596</v>
      </c>
      <c r="E75" s="90">
        <v>398.00622220941187</v>
      </c>
      <c r="F75" s="90">
        <v>423.79432653789127</v>
      </c>
      <c r="G75" s="90">
        <v>432.71695153609488</v>
      </c>
      <c r="H75" s="90">
        <v>544.98916131756232</v>
      </c>
      <c r="I75" s="103">
        <v>462.63224830653007</v>
      </c>
      <c r="J75" s="75"/>
    </row>
    <row r="76" spans="2:10" x14ac:dyDescent="0.25">
      <c r="C76" t="s">
        <v>360</v>
      </c>
      <c r="D76" s="90">
        <v>144.68177612285442</v>
      </c>
      <c r="E76" s="90">
        <v>149.18429244303215</v>
      </c>
      <c r="F76" s="90">
        <v>146.08621877215168</v>
      </c>
      <c r="G76" s="90">
        <v>158.83193975878183</v>
      </c>
      <c r="H76" s="90">
        <v>235.24693714859538</v>
      </c>
      <c r="I76" s="90">
        <v>184.38930580961434</v>
      </c>
    </row>
    <row r="77" spans="2:10" x14ac:dyDescent="0.25">
      <c r="C77" t="s">
        <v>78</v>
      </c>
      <c r="D77" s="31">
        <v>244.76995062602154</v>
      </c>
      <c r="E77" s="31">
        <v>248.82192976637978</v>
      </c>
      <c r="F77" s="31">
        <v>277.70810776573961</v>
      </c>
      <c r="G77" s="31">
        <v>273.88501177731308</v>
      </c>
      <c r="H77" s="31">
        <v>309.74222416896697</v>
      </c>
      <c r="I77" s="31">
        <v>278.24294249691565</v>
      </c>
    </row>
    <row r="79" spans="2:10" x14ac:dyDescent="0.25">
      <c r="E79" s="43">
        <f t="shared" ref="E79:I80" si="9">E72-D72</f>
        <v>2.387400941879525E-2</v>
      </c>
      <c r="F79" s="43">
        <f t="shared" si="9"/>
        <v>-2.5252993542525193E-2</v>
      </c>
      <c r="G79" s="43">
        <f t="shared" si="9"/>
        <v>6.0043561820367297E-2</v>
      </c>
      <c r="H79" s="43">
        <f t="shared" si="9"/>
        <v>0.22594274082072063</v>
      </c>
      <c r="I79" s="43">
        <f t="shared" si="9"/>
        <v>-0.10353854001011775</v>
      </c>
    </row>
    <row r="80" spans="2:10" x14ac:dyDescent="0.25">
      <c r="E80" s="43">
        <f t="shared" si="9"/>
        <v>2.7715158205385282E-2</v>
      </c>
      <c r="F80" s="43">
        <f t="shared" si="9"/>
        <v>7.5619857954367542E-2</v>
      </c>
      <c r="G80" s="43">
        <f t="shared" si="9"/>
        <v>1.4329417067971861E-2</v>
      </c>
      <c r="H80" s="43">
        <f t="shared" si="9"/>
        <v>6.7085971099633324E-2</v>
      </c>
      <c r="I80" s="43">
        <f t="shared" si="9"/>
        <v>-4.0926950794155648E-3</v>
      </c>
    </row>
    <row r="82" spans="2:9" x14ac:dyDescent="0.25">
      <c r="D82">
        <f>I75/D75</f>
        <v>1.1879065273854645</v>
      </c>
      <c r="E82" s="31">
        <f>I76-D76</f>
        <v>39.707529686759926</v>
      </c>
    </row>
    <row r="83" spans="2:9" x14ac:dyDescent="0.25">
      <c r="D83">
        <f>I76/D76</f>
        <v>1.2744473474879301</v>
      </c>
      <c r="E83" s="31">
        <f>I77-D77</f>
        <v>33.472991870894106</v>
      </c>
    </row>
    <row r="84" spans="2:9" x14ac:dyDescent="0.25">
      <c r="D84">
        <f>I77/D77</f>
        <v>1.136752864415276</v>
      </c>
    </row>
    <row r="86" spans="2:9" x14ac:dyDescent="0.25">
      <c r="D86" s="60">
        <v>2015</v>
      </c>
      <c r="E86" s="60">
        <v>2014</v>
      </c>
      <c r="F86" s="60">
        <v>2013</v>
      </c>
      <c r="G86" s="60">
        <v>2012</v>
      </c>
      <c r="H86" s="60">
        <v>2011</v>
      </c>
      <c r="I86" s="60">
        <v>2010</v>
      </c>
    </row>
    <row r="87" spans="2:9" x14ac:dyDescent="0.25">
      <c r="B87" t="s">
        <v>373</v>
      </c>
      <c r="C87" t="s">
        <v>374</v>
      </c>
      <c r="D87">
        <v>22017</v>
      </c>
      <c r="E87">
        <v>26000</v>
      </c>
      <c r="F87">
        <v>12017</v>
      </c>
      <c r="G87">
        <v>13470</v>
      </c>
      <c r="H87">
        <v>12100</v>
      </c>
      <c r="I87">
        <v>12449</v>
      </c>
    </row>
    <row r="88" spans="2:9" x14ac:dyDescent="0.25">
      <c r="C88" t="s">
        <v>101</v>
      </c>
      <c r="D88">
        <f>D5</f>
        <v>27.706</v>
      </c>
      <c r="E88">
        <f t="shared" ref="E88:I88" si="10">E5</f>
        <v>30.734999999999999</v>
      </c>
      <c r="F88">
        <f t="shared" si="10"/>
        <v>18.536000000000001</v>
      </c>
      <c r="G88">
        <f t="shared" si="10"/>
        <v>18.462</v>
      </c>
      <c r="H88">
        <f t="shared" si="10"/>
        <v>18.881</v>
      </c>
      <c r="I88">
        <f t="shared" si="10"/>
        <v>16.925999999999998</v>
      </c>
    </row>
    <row r="89" spans="2:9" x14ac:dyDescent="0.25">
      <c r="D89">
        <f>D87/1000/D88</f>
        <v>0.79466541543348013</v>
      </c>
      <c r="E89">
        <f t="shared" ref="E89:I89" si="11">E87/1000/E88</f>
        <v>0.84594110948430135</v>
      </c>
      <c r="F89">
        <f t="shared" si="11"/>
        <v>0.64830599913681475</v>
      </c>
      <c r="G89">
        <f t="shared" si="11"/>
        <v>0.72960675983100431</v>
      </c>
      <c r="H89">
        <f t="shared" si="11"/>
        <v>0.64085588687039874</v>
      </c>
      <c r="I89">
        <f t="shared" si="11"/>
        <v>0.73549568710859037</v>
      </c>
    </row>
    <row r="91" spans="2:9" x14ac:dyDescent="0.25">
      <c r="D91" s="63">
        <v>2.172158140585891</v>
      </c>
      <c r="E91" s="63">
        <v>1.7093556827172793</v>
      </c>
      <c r="F91" s="63">
        <v>2.1769108573234282</v>
      </c>
      <c r="G91" s="63">
        <v>2.3179625612718855</v>
      </c>
      <c r="H91" s="63">
        <v>2.66184925623641</v>
      </c>
      <c r="I91" s="63">
        <v>2.9129032400870085</v>
      </c>
    </row>
  </sheetData>
  <mergeCells count="3">
    <mergeCell ref="D7:I9"/>
    <mergeCell ref="J40:J46"/>
    <mergeCell ref="B65:B68"/>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6</vt:i4>
      </vt:variant>
    </vt:vector>
  </HeadingPairs>
  <TitlesOfParts>
    <vt:vector size="6" baseType="lpstr">
      <vt:lpstr>Introduction</vt:lpstr>
      <vt:lpstr>Data Individual Mines</vt:lpstr>
      <vt:lpstr>Company data_CO2</vt:lpstr>
      <vt:lpstr>Company data_Energy</vt:lpstr>
      <vt:lpstr>Company data_Water</vt:lpstr>
      <vt:lpstr>Company data_SO2</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Benedikt</dc:creator>
  <cp:lastModifiedBy>Benedikt</cp:lastModifiedBy>
  <dcterms:created xsi:type="dcterms:W3CDTF">2017-11-08T16:49:00Z</dcterms:created>
  <dcterms:modified xsi:type="dcterms:W3CDTF">2017-11-08T18:23:22Z</dcterms:modified>
</cp:coreProperties>
</file>