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yang\Documents\MGS_2011\Scientific papers\REE partititioning between fluid and silicate melt\Minerals\R2\"/>
    </mc:Choice>
  </mc:AlternateContent>
  <bookViews>
    <workbookView xWindow="0" yWindow="0" windowWidth="23280" windowHeight="12624" activeTab="2"/>
  </bookViews>
  <sheets>
    <sheet name="Supplementart Table S1" sheetId="9" r:id="rId1"/>
    <sheet name="Supplementary Table S2" sheetId="5" r:id="rId2"/>
    <sheet name="Supplementary Table S3" sheetId="10" r:id="rId3"/>
  </sheets>
  <calcPr calcId="162913"/>
</workbook>
</file>

<file path=xl/calcChain.xml><?xml version="1.0" encoding="utf-8"?>
<calcChain xmlns="http://schemas.openxmlformats.org/spreadsheetml/2006/main">
  <c r="E19" i="10" l="1"/>
  <c r="D19" i="10"/>
  <c r="B18" i="10"/>
  <c r="C19" i="10"/>
  <c r="E40" i="10"/>
  <c r="E38" i="10"/>
  <c r="D38" i="10"/>
  <c r="C38" i="10"/>
  <c r="B38" i="10"/>
  <c r="E37" i="10"/>
  <c r="E36" i="10"/>
  <c r="E35" i="10"/>
  <c r="E34" i="10"/>
  <c r="E33" i="10"/>
  <c r="C33" i="10"/>
  <c r="C29" i="10"/>
  <c r="C40" i="10" s="1"/>
  <c r="C27" i="10"/>
  <c r="C39" i="10" s="1"/>
  <c r="C25" i="10"/>
  <c r="C37" i="10" s="1"/>
  <c r="C23" i="10"/>
  <c r="C35" i="10" s="1"/>
  <c r="C21" i="10"/>
  <c r="D26" i="10"/>
  <c r="C30" i="10"/>
  <c r="C41" i="10" s="1"/>
  <c r="B19" i="10"/>
  <c r="C9" i="10"/>
  <c r="B9" i="10"/>
  <c r="B28" i="10" l="1"/>
  <c r="B29" i="10"/>
  <c r="B40" i="10" s="1"/>
  <c r="B25" i="10"/>
  <c r="B37" i="10" s="1"/>
  <c r="B21" i="10"/>
  <c r="B33" i="10" s="1"/>
  <c r="B27" i="10"/>
  <c r="B39" i="10" s="1"/>
  <c r="B23" i="10"/>
  <c r="B35" i="10" s="1"/>
  <c r="B24" i="10"/>
  <c r="B36" i="10" s="1"/>
  <c r="B30" i="10"/>
  <c r="B41" i="10" s="1"/>
  <c r="B26" i="10"/>
  <c r="B22" i="10"/>
  <c r="B34" i="10" s="1"/>
  <c r="D24" i="10"/>
  <c r="D36" i="10" s="1"/>
  <c r="D28" i="10"/>
  <c r="D22" i="10"/>
  <c r="D34" i="10" s="1"/>
  <c r="D30" i="10"/>
  <c r="D21" i="10"/>
  <c r="D33" i="10" s="1"/>
  <c r="C24" i="10"/>
  <c r="C36" i="10" s="1"/>
  <c r="D25" i="10"/>
  <c r="D37" i="10" s="1"/>
  <c r="C28" i="10"/>
  <c r="D29" i="10"/>
  <c r="D40" i="10" s="1"/>
  <c r="C22" i="10"/>
  <c r="C34" i="10" s="1"/>
  <c r="D23" i="10"/>
  <c r="D35" i="10" s="1"/>
  <c r="C26" i="10"/>
  <c r="D27" i="10"/>
  <c r="E30" i="9" l="1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D24" i="9" l="1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4" i="9"/>
  <c r="D5" i="9"/>
  <c r="D6" i="9"/>
  <c r="D7" i="9"/>
  <c r="D8" i="9"/>
  <c r="D9" i="9"/>
  <c r="D10" i="9"/>
  <c r="D3" i="9"/>
</calcChain>
</file>

<file path=xl/comments1.xml><?xml version="1.0" encoding="utf-8"?>
<comments xmlns="http://schemas.openxmlformats.org/spreadsheetml/2006/main">
  <authors>
    <author>xm yang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xm yang:</t>
        </r>
        <r>
          <rPr>
            <sz val="9"/>
            <color indexed="81"/>
            <rFont val="Tahoma"/>
            <family val="2"/>
          </rPr>
          <t xml:space="preserve">
(estimated from Sm and Tb)</t>
        </r>
      </text>
    </comment>
    <comment ref="B38" authorId="0" shapeId="0">
      <text>
        <r>
          <rPr>
            <b/>
            <sz val="9"/>
            <color indexed="81"/>
            <rFont val="Tahoma"/>
            <family val="2"/>
          </rPr>
          <t>xm yang:</t>
        </r>
        <r>
          <rPr>
            <sz val="9"/>
            <color indexed="81"/>
            <rFont val="Tahoma"/>
            <family val="2"/>
          </rPr>
          <t xml:space="preserve">
estimate from Sm and Tb
</t>
        </r>
      </text>
    </comment>
    <comment ref="C38" authorId="0" shapeId="0">
      <text>
        <r>
          <rPr>
            <b/>
            <sz val="9"/>
            <color indexed="81"/>
            <rFont val="Tahoma"/>
            <family val="2"/>
          </rPr>
          <t>xm yang:</t>
        </r>
        <r>
          <rPr>
            <sz val="9"/>
            <color indexed="81"/>
            <rFont val="Tahoma"/>
            <family val="2"/>
          </rPr>
          <t xml:space="preserve">
estimate from Sm and Tb
</t>
        </r>
      </text>
    </comment>
  </commentList>
</comments>
</file>

<file path=xl/sharedStrings.xml><?xml version="1.0" encoding="utf-8"?>
<sst xmlns="http://schemas.openxmlformats.org/spreadsheetml/2006/main" count="117" uniqueCount="73">
  <si>
    <t>La</t>
  </si>
  <si>
    <t>Ce</t>
  </si>
  <si>
    <t>Nd</t>
  </si>
  <si>
    <t>Sm</t>
  </si>
  <si>
    <t>Eu</t>
  </si>
  <si>
    <t>Tb</t>
  </si>
  <si>
    <t>Yb</t>
  </si>
  <si>
    <t>Lu</t>
  </si>
  <si>
    <t>Gd</t>
  </si>
  <si>
    <t>Experiment</t>
  </si>
  <si>
    <t xml:space="preserve">*Notes: </t>
  </si>
  <si>
    <t>P (kb)</t>
  </si>
  <si>
    <t>ASI</t>
  </si>
  <si>
    <t>References</t>
  </si>
  <si>
    <t>A1_RQ</t>
  </si>
  <si>
    <t>B0_RQ</t>
  </si>
  <si>
    <t>B1_RQ</t>
  </si>
  <si>
    <t>C1_RQ</t>
  </si>
  <si>
    <t>D0_QR</t>
  </si>
  <si>
    <t>D1_RQ</t>
  </si>
  <si>
    <t>Dy</t>
  </si>
  <si>
    <t>Er</t>
  </si>
  <si>
    <t>JN</t>
  </si>
  <si>
    <t>SP_1</t>
  </si>
  <si>
    <t>SP_2</t>
  </si>
  <si>
    <t>SP_3</t>
  </si>
  <si>
    <t>SP_5</t>
  </si>
  <si>
    <t>SP_4</t>
  </si>
  <si>
    <t>SP_6</t>
  </si>
  <si>
    <r>
      <t>T (</t>
    </r>
    <r>
      <rPr>
        <vertAlign val="superscript"/>
        <sz val="10"/>
        <color theme="1"/>
        <rFont val="Arial"/>
        <family val="2"/>
      </rPr>
      <t>o</t>
    </r>
    <r>
      <rPr>
        <sz val="10"/>
        <color theme="1"/>
        <rFont val="Arial"/>
        <family val="2"/>
      </rPr>
      <t xml:space="preserve">C) </t>
    </r>
  </si>
  <si>
    <t>SP_7</t>
  </si>
  <si>
    <t>SP_8</t>
  </si>
  <si>
    <r>
      <t xml:space="preserve">3 - Magmatic vapour phase with 1.23 </t>
    </r>
    <r>
      <rPr>
        <i/>
        <sz val="10"/>
        <rFont val="Arial"/>
        <family val="2"/>
      </rPr>
      <t>M</t>
    </r>
    <r>
      <rPr>
        <sz val="10"/>
        <rFont val="Arial"/>
        <family val="2"/>
      </rPr>
      <t xml:space="preserve"> Cl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 xml:space="preserve"> in equilibrium with granite melt</t>
    </r>
  </si>
  <si>
    <r>
      <t>8 - Calculated fluid with threshold Cl</t>
    </r>
    <r>
      <rPr>
        <vertAlign val="superscript"/>
        <sz val="10"/>
        <color theme="1"/>
        <rFont val="Arial"/>
        <family val="2"/>
      </rPr>
      <t xml:space="preserve">- </t>
    </r>
    <r>
      <rPr>
        <sz val="10"/>
        <color theme="1"/>
        <rFont val="Arial"/>
        <family val="2"/>
      </rPr>
      <t>in equilibrium with granite melt</t>
    </r>
  </si>
  <si>
    <t>1 - The Lake George granodiorite (data from [5])</t>
  </si>
  <si>
    <t xml:space="preserve">2 - Mineralized quartz-feldspar porphyry (data from [26]) </t>
  </si>
  <si>
    <t>5 - The Bakircay granodiorite (data from [4])</t>
  </si>
  <si>
    <t>6 - Potassic altered rock (data from [4])</t>
  </si>
  <si>
    <t xml:space="preserve">[1] </t>
  </si>
  <si>
    <t>[2]</t>
  </si>
  <si>
    <t xml:space="preserve">[3] </t>
  </si>
  <si>
    <r>
      <t xml:space="preserve">7 - Calculated fluid with 3.50 </t>
    </r>
    <r>
      <rPr>
        <i/>
        <sz val="10"/>
        <color theme="1"/>
        <rFont val="Arial"/>
        <family val="2"/>
      </rPr>
      <t>M</t>
    </r>
    <r>
      <rPr>
        <sz val="10"/>
        <color theme="1"/>
        <rFont val="Arial"/>
        <family val="2"/>
      </rPr>
      <t xml:space="preserve"> Cl</t>
    </r>
    <r>
      <rPr>
        <vertAlign val="superscript"/>
        <sz val="10"/>
        <color theme="1"/>
        <rFont val="Arial"/>
        <family val="2"/>
      </rPr>
      <t xml:space="preserve">- </t>
    </r>
    <r>
      <rPr>
        <sz val="10"/>
        <color theme="1"/>
        <rFont val="Arial"/>
        <family val="2"/>
      </rPr>
      <t>in equilibrium with granite melt</t>
    </r>
  </si>
  <si>
    <r>
      <t xml:space="preserve">4 - Magmatic vapour phase with 3.02 </t>
    </r>
    <r>
      <rPr>
        <i/>
        <sz val="10"/>
        <rFont val="Arial"/>
        <family val="2"/>
      </rPr>
      <t>M</t>
    </r>
    <r>
      <rPr>
        <sz val="10"/>
        <rFont val="Arial"/>
        <family val="2"/>
      </rPr>
      <t xml:space="preserve"> Cl</t>
    </r>
    <r>
      <rPr>
        <vertAlign val="superscript"/>
        <sz val="10"/>
        <rFont val="Arial"/>
        <family val="2"/>
      </rPr>
      <t>-</t>
    </r>
    <r>
      <rPr>
        <sz val="10"/>
        <rFont val="Arial"/>
        <family val="2"/>
      </rPr>
      <t xml:space="preserve"> in equilibrium with granite melt</t>
    </r>
  </si>
  <si>
    <t>Tm</t>
  </si>
  <si>
    <r>
      <t>12 - Calculated fluid with threshold Cl</t>
    </r>
    <r>
      <rPr>
        <vertAlign val="superscript"/>
        <sz val="10"/>
        <color theme="1"/>
        <rFont val="Arial"/>
        <family val="2"/>
      </rPr>
      <t xml:space="preserve">- </t>
    </r>
    <r>
      <rPr>
        <sz val="10"/>
        <color theme="1"/>
        <rFont val="Arial"/>
        <family val="2"/>
      </rPr>
      <t>in equilibrium with aplite melt</t>
    </r>
  </si>
  <si>
    <r>
      <t>10 - Calculated fluid with threshold Cl</t>
    </r>
    <r>
      <rPr>
        <vertAlign val="superscript"/>
        <sz val="10"/>
        <color theme="1"/>
        <rFont val="Arial"/>
        <family val="2"/>
      </rPr>
      <t xml:space="preserve">- </t>
    </r>
    <r>
      <rPr>
        <sz val="10"/>
        <color theme="1"/>
        <rFont val="Arial"/>
        <family val="2"/>
      </rPr>
      <t>in equilibrium with porphyritic granite melt</t>
    </r>
  </si>
  <si>
    <r>
      <t>14 - Calculated fluid with threshold Cl</t>
    </r>
    <r>
      <rPr>
        <vertAlign val="superscript"/>
        <sz val="10"/>
        <color theme="1"/>
        <rFont val="Arial"/>
        <family val="2"/>
      </rPr>
      <t>-</t>
    </r>
    <r>
      <rPr>
        <sz val="10"/>
        <color theme="1"/>
        <rFont val="Arial"/>
        <family val="2"/>
      </rPr>
      <t xml:space="preserve"> in equilibrium with granophyric granite melt</t>
    </r>
  </si>
  <si>
    <t>15 and 16 - REE data in fluid inclusions analyzed by ICP-MS [6]</t>
  </si>
  <si>
    <t>Lake Geoge granodiorite [5]</t>
  </si>
  <si>
    <t>Bakircay granodiorite [4]</t>
  </si>
  <si>
    <t>A</t>
  </si>
  <si>
    <t>B</t>
  </si>
  <si>
    <t>D</t>
  </si>
  <si>
    <t>E</t>
  </si>
  <si>
    <t>La (ppm)</t>
  </si>
  <si>
    <t>Cl</t>
  </si>
  <si>
    <t>Calculation of REE fluid-granitic melt partition coefficient</t>
  </si>
  <si>
    <t>Equation</t>
  </si>
  <si>
    <t>at 2 kb [17]</t>
  </si>
  <si>
    <t>from Table 2</t>
  </si>
  <si>
    <t>52% NaCleqv. Fluid inclusion, 18.52 M &gt;Threshold</t>
  </si>
  <si>
    <t>Calculation of REE concentrations (ppm) in MVPs</t>
  </si>
  <si>
    <t>17 wt% NaCleqv. in primary inclusion</t>
  </si>
  <si>
    <t>Whole-rock Cl content 1000</t>
  </si>
  <si>
    <t xml:space="preserve">15 wt% NaCleqv. in primary fluid inclusion in apatite </t>
  </si>
  <si>
    <t>9 - Porphyritic granite (sample A29; data from [39])</t>
  </si>
  <si>
    <t>11 - Aplite (sample A17; data from [39])</t>
  </si>
  <si>
    <t>13 - Granophyric granite (sample A12; data from [39])</t>
  </si>
  <si>
    <r>
      <t xml:space="preserve">Supplementary Table S3. </t>
    </r>
    <r>
      <rPr>
        <sz val="10"/>
        <rFont val="Arial"/>
        <family val="2"/>
      </rPr>
      <t>Procedures of calculating Cl molality of magmatic fluids from whole-rock analysis and salinity of fluid inclusion as well as REE fluid-melt partition coefficient and REE concentrations in magmatic fluid (this is a digital version of Table 4, containing formulas).</t>
    </r>
  </si>
  <si>
    <r>
      <t xml:space="preserve">Supplementary Table S2. </t>
    </r>
    <r>
      <rPr>
        <sz val="10"/>
        <color theme="1"/>
        <rFont val="Arial"/>
        <family val="2"/>
      </rPr>
      <t>REE concentrations (ppm) in rocks, calculated magmatic fluids, and natural fluid inclusions.</t>
    </r>
  </si>
  <si>
    <r>
      <rPr>
        <b/>
        <sz val="12"/>
        <color theme="1"/>
        <rFont val="Arial"/>
        <family val="2"/>
      </rPr>
      <t>Supplementary Table S1</t>
    </r>
    <r>
      <rPr>
        <sz val="12"/>
        <color theme="1"/>
        <rFont val="Arial"/>
        <family val="2"/>
      </rPr>
      <t xml:space="preserve">. Experimental REE fluid-granitic melt partition coefficients and chlorine molalities (unit in </t>
    </r>
    <r>
      <rPr>
        <i/>
        <sz val="12"/>
        <color theme="1"/>
        <rFont val="Arial"/>
        <family val="2"/>
      </rPr>
      <t>M</t>
    </r>
    <r>
      <rPr>
        <sz val="12"/>
        <color theme="1"/>
        <rFont val="Arial"/>
        <family val="2"/>
      </rPr>
      <t>) of fluids in equilibrium with granitic melts*.</t>
    </r>
  </si>
  <si>
    <t xml:space="preserve">Note: The variables are explained in Table 1. </t>
  </si>
  <si>
    <t>Note: The highlighted show Cl molality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</si>
</sst>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_);[Red]\(0.0\)"/>
    <numFmt numFmtId="166" formatCode="0.000"/>
    <numFmt numFmtId="167" formatCode="0_);[Red]\(0\)"/>
    <numFmt numFmtId="168" formatCode="0.0000"/>
    <numFmt numFmtId="169" formatCode="0.00_);[Red]\(0.00\)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vertAlign val="superscript"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10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left" vertical="top"/>
    </xf>
    <xf numFmtId="166" fontId="2" fillId="0" borderId="0" xfId="0" applyNumberFormat="1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166" fontId="2" fillId="0" borderId="1" xfId="0" applyNumberFormat="1" applyFont="1" applyBorder="1" applyAlignment="1">
      <alignment horizontal="left" vertical="top"/>
    </xf>
    <xf numFmtId="166" fontId="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166" fontId="2" fillId="0" borderId="0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  <xf numFmtId="2" fontId="2" fillId="0" borderId="0" xfId="0" applyNumberFormat="1" applyFont="1" applyAlignment="1">
      <alignment horizontal="left" vertical="top"/>
    </xf>
    <xf numFmtId="164" fontId="2" fillId="0" borderId="2" xfId="0" applyNumberFormat="1" applyFont="1" applyBorder="1" applyAlignment="1">
      <alignment horizontal="left" vertical="top"/>
    </xf>
    <xf numFmtId="2" fontId="2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1" fontId="1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165" fontId="2" fillId="0" borderId="0" xfId="0" applyNumberFormat="1" applyFont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165" fontId="2" fillId="0" borderId="2" xfId="0" applyNumberFormat="1" applyFont="1" applyBorder="1" applyAlignment="1">
      <alignment horizontal="left" vertical="top"/>
    </xf>
    <xf numFmtId="164" fontId="1" fillId="0" borderId="0" xfId="0" applyNumberFormat="1" applyFont="1" applyBorder="1" applyAlignment="1">
      <alignment horizontal="left" vertical="top"/>
    </xf>
    <xf numFmtId="165" fontId="2" fillId="0" borderId="0" xfId="0" applyNumberFormat="1" applyFont="1" applyBorder="1" applyAlignment="1">
      <alignment horizontal="left" vertical="top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 vertical="top"/>
    </xf>
    <xf numFmtId="0" fontId="11" fillId="0" borderId="3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0" fontId="13" fillId="0" borderId="0" xfId="0" applyFont="1"/>
    <xf numFmtId="2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1" fontId="15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/>
    </xf>
    <xf numFmtId="164" fontId="15" fillId="0" borderId="0" xfId="0" applyNumberFormat="1" applyFont="1" applyAlignment="1">
      <alignment horizontal="left"/>
    </xf>
    <xf numFmtId="165" fontId="11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169" fontId="11" fillId="0" borderId="0" xfId="0" applyNumberFormat="1" applyFont="1" applyBorder="1" applyAlignment="1">
      <alignment horizontal="left"/>
    </xf>
    <xf numFmtId="168" fontId="11" fillId="0" borderId="0" xfId="0" applyNumberFormat="1" applyFont="1" applyBorder="1" applyAlignment="1">
      <alignment horizontal="left"/>
    </xf>
    <xf numFmtId="0" fontId="11" fillId="0" borderId="0" xfId="0" applyFont="1"/>
    <xf numFmtId="166" fontId="11" fillId="0" borderId="0" xfId="0" applyNumberFormat="1" applyFont="1" applyBorder="1" applyAlignment="1">
      <alignment horizontal="left"/>
    </xf>
    <xf numFmtId="0" fontId="13" fillId="0" borderId="0" xfId="0" applyFont="1" applyAlignment="1">
      <alignment horizontal="center"/>
    </xf>
    <xf numFmtId="169" fontId="11" fillId="0" borderId="0" xfId="0" applyNumberFormat="1" applyFont="1" applyAlignment="1">
      <alignment horizontal="left"/>
    </xf>
    <xf numFmtId="169" fontId="11" fillId="0" borderId="2" xfId="0" applyNumberFormat="1" applyFont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2" fontId="11" fillId="2" borderId="0" xfId="0" applyNumberFormat="1" applyFont="1" applyFill="1" applyAlignment="1">
      <alignment horizontal="left"/>
    </xf>
    <xf numFmtId="168" fontId="11" fillId="0" borderId="0" xfId="0" applyNumberFormat="1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3" borderId="0" xfId="0" applyNumberFormat="1" applyFont="1" applyFill="1" applyBorder="1" applyAlignment="1">
      <alignment horizontal="left"/>
    </xf>
    <xf numFmtId="0" fontId="11" fillId="3" borderId="0" xfId="0" applyFont="1" applyFill="1" applyAlignment="1">
      <alignment horizontal="left"/>
    </xf>
    <xf numFmtId="167" fontId="11" fillId="0" borderId="0" xfId="0" applyNumberFormat="1" applyFont="1" applyBorder="1" applyAlignment="1">
      <alignment horizontal="left" wrapText="1"/>
    </xf>
    <xf numFmtId="166" fontId="11" fillId="2" borderId="0" xfId="0" applyNumberFormat="1" applyFont="1" applyFill="1" applyBorder="1" applyAlignment="1">
      <alignment horizontal="left"/>
    </xf>
    <xf numFmtId="0" fontId="14" fillId="0" borderId="4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13" Type="http://schemas.openxmlformats.org/officeDocument/2006/relationships/image" Target="../media/image23.png"/><Relationship Id="rId18" Type="http://schemas.openxmlformats.org/officeDocument/2006/relationships/image" Target="../media/image28.png"/><Relationship Id="rId3" Type="http://schemas.openxmlformats.org/officeDocument/2006/relationships/image" Target="../media/image13.png"/><Relationship Id="rId21" Type="http://schemas.openxmlformats.org/officeDocument/2006/relationships/image" Target="../media/image31.png"/><Relationship Id="rId7" Type="http://schemas.openxmlformats.org/officeDocument/2006/relationships/image" Target="../media/image17.png"/><Relationship Id="rId12" Type="http://schemas.openxmlformats.org/officeDocument/2006/relationships/image" Target="../media/image22.png"/><Relationship Id="rId17" Type="http://schemas.openxmlformats.org/officeDocument/2006/relationships/image" Target="../media/image27.png"/><Relationship Id="rId2" Type="http://schemas.openxmlformats.org/officeDocument/2006/relationships/image" Target="../media/image1.png"/><Relationship Id="rId16" Type="http://schemas.openxmlformats.org/officeDocument/2006/relationships/image" Target="../media/image26.png"/><Relationship Id="rId20" Type="http://schemas.openxmlformats.org/officeDocument/2006/relationships/image" Target="../media/image30.png"/><Relationship Id="rId1" Type="http://schemas.openxmlformats.org/officeDocument/2006/relationships/image" Target="../media/image12.png"/><Relationship Id="rId6" Type="http://schemas.openxmlformats.org/officeDocument/2006/relationships/image" Target="../media/image16.png"/><Relationship Id="rId11" Type="http://schemas.openxmlformats.org/officeDocument/2006/relationships/image" Target="../media/image21.png"/><Relationship Id="rId5" Type="http://schemas.openxmlformats.org/officeDocument/2006/relationships/image" Target="../media/image15.png"/><Relationship Id="rId15" Type="http://schemas.openxmlformats.org/officeDocument/2006/relationships/image" Target="../media/image25.png"/><Relationship Id="rId10" Type="http://schemas.openxmlformats.org/officeDocument/2006/relationships/image" Target="../media/image20.png"/><Relationship Id="rId19" Type="http://schemas.openxmlformats.org/officeDocument/2006/relationships/image" Target="../media/image29.png"/><Relationship Id="rId4" Type="http://schemas.openxmlformats.org/officeDocument/2006/relationships/image" Target="../media/image14.png"/><Relationship Id="rId9" Type="http://schemas.openxmlformats.org/officeDocument/2006/relationships/image" Target="../media/image19.png"/><Relationship Id="rId14" Type="http://schemas.openxmlformats.org/officeDocument/2006/relationships/image" Target="../media/image24.png"/><Relationship Id="rId22" Type="http://schemas.openxmlformats.org/officeDocument/2006/relationships/image" Target="../media/image3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4</xdr:col>
      <xdr:colOff>243840</xdr:colOff>
      <xdr:row>2</xdr:row>
      <xdr:rowOff>30480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82880"/>
          <a:ext cx="2438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1</xdr:row>
      <xdr:rowOff>0</xdr:rowOff>
    </xdr:from>
    <xdr:to>
      <xdr:col>5</xdr:col>
      <xdr:colOff>228600</xdr:colOff>
      <xdr:row>2</xdr:row>
      <xdr:rowOff>30480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4940" y="182880"/>
          <a:ext cx="2286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1</xdr:row>
      <xdr:rowOff>0</xdr:rowOff>
    </xdr:from>
    <xdr:to>
      <xdr:col>6</xdr:col>
      <xdr:colOff>228600</xdr:colOff>
      <xdr:row>2</xdr:row>
      <xdr:rowOff>38100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182880"/>
          <a:ext cx="22860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0</xdr:colOff>
      <xdr:row>1</xdr:row>
      <xdr:rowOff>0</xdr:rowOff>
    </xdr:from>
    <xdr:to>
      <xdr:col>7</xdr:col>
      <xdr:colOff>251460</xdr:colOff>
      <xdr:row>2</xdr:row>
      <xdr:rowOff>38100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0860" y="182880"/>
          <a:ext cx="25146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0</xdr:colOff>
      <xdr:row>1</xdr:row>
      <xdr:rowOff>0</xdr:rowOff>
    </xdr:from>
    <xdr:to>
      <xdr:col>8</xdr:col>
      <xdr:colOff>266700</xdr:colOff>
      <xdr:row>2</xdr:row>
      <xdr:rowOff>45720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3820" y="205740"/>
          <a:ext cx="26670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1</xdr:row>
      <xdr:rowOff>0</xdr:rowOff>
    </xdr:from>
    <xdr:to>
      <xdr:col>9</xdr:col>
      <xdr:colOff>236220</xdr:colOff>
      <xdr:row>2</xdr:row>
      <xdr:rowOff>38100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6780" y="205740"/>
          <a:ext cx="23622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243840</xdr:colOff>
      <xdr:row>2</xdr:row>
      <xdr:rowOff>45720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9740" y="205740"/>
          <a:ext cx="24384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0</xdr:rowOff>
    </xdr:from>
    <xdr:to>
      <xdr:col>11</xdr:col>
      <xdr:colOff>228600</xdr:colOff>
      <xdr:row>2</xdr:row>
      <xdr:rowOff>45720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205740"/>
          <a:ext cx="22860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0</xdr:colOff>
      <xdr:row>1</xdr:row>
      <xdr:rowOff>0</xdr:rowOff>
    </xdr:from>
    <xdr:to>
      <xdr:col>12</xdr:col>
      <xdr:colOff>243840</xdr:colOff>
      <xdr:row>2</xdr:row>
      <xdr:rowOff>38100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5660" y="205740"/>
          <a:ext cx="2438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0</xdr:colOff>
      <xdr:row>1</xdr:row>
      <xdr:rowOff>0</xdr:rowOff>
    </xdr:from>
    <xdr:to>
      <xdr:col>13</xdr:col>
      <xdr:colOff>236220</xdr:colOff>
      <xdr:row>2</xdr:row>
      <xdr:rowOff>45720</xdr:rowOff>
    </xdr:to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8620" y="205740"/>
          <a:ext cx="2362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228600</xdr:colOff>
      <xdr:row>2</xdr:row>
      <xdr:rowOff>38100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1580" y="205740"/>
          <a:ext cx="22860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0</xdr:col>
      <xdr:colOff>243840</xdr:colOff>
      <xdr:row>18</xdr:row>
      <xdr:rowOff>38100</xdr:rowOff>
    </xdr:to>
    <xdr:pic>
      <xdr:nvPicPr>
        <xdr:cNvPr id="46" name="Picture 4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75660"/>
          <a:ext cx="2438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0</xdr:col>
      <xdr:colOff>243840</xdr:colOff>
      <xdr:row>19</xdr:row>
      <xdr:rowOff>38100</xdr:rowOff>
    </xdr:to>
    <xdr:pic>
      <xdr:nvPicPr>
        <xdr:cNvPr id="47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43300"/>
          <a:ext cx="243840" cy="205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0</xdr:col>
      <xdr:colOff>205740</xdr:colOff>
      <xdr:row>20</xdr:row>
      <xdr:rowOff>30480</xdr:rowOff>
    </xdr:to>
    <xdr:pic>
      <xdr:nvPicPr>
        <xdr:cNvPr id="48" name="Picture 4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10940"/>
          <a:ext cx="205740" cy="198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0</xdr:col>
      <xdr:colOff>220980</xdr:colOff>
      <xdr:row>21</xdr:row>
      <xdr:rowOff>45720</xdr:rowOff>
    </xdr:to>
    <xdr:pic>
      <xdr:nvPicPr>
        <xdr:cNvPr id="49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78580"/>
          <a:ext cx="22098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228600</xdr:colOff>
      <xdr:row>22</xdr:row>
      <xdr:rowOff>45720</xdr:rowOff>
    </xdr:to>
    <xdr:pic>
      <xdr:nvPicPr>
        <xdr:cNvPr id="50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46220"/>
          <a:ext cx="22860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251460</xdr:colOff>
      <xdr:row>23</xdr:row>
      <xdr:rowOff>45720</xdr:rowOff>
    </xdr:to>
    <xdr:pic>
      <xdr:nvPicPr>
        <xdr:cNvPr id="51" name="Picture 5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3860"/>
          <a:ext cx="25146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259080</xdr:colOff>
      <xdr:row>24</xdr:row>
      <xdr:rowOff>45720</xdr:rowOff>
    </xdr:to>
    <xdr:pic>
      <xdr:nvPicPr>
        <xdr:cNvPr id="52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81500"/>
          <a:ext cx="25908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236220</xdr:colOff>
      <xdr:row>25</xdr:row>
      <xdr:rowOff>45720</xdr:rowOff>
    </xdr:to>
    <xdr:pic>
      <xdr:nvPicPr>
        <xdr:cNvPr id="53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49140"/>
          <a:ext cx="2362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243840</xdr:colOff>
      <xdr:row>26</xdr:row>
      <xdr:rowOff>45720</xdr:rowOff>
    </xdr:to>
    <xdr:pic>
      <xdr:nvPicPr>
        <xdr:cNvPr id="54" name="Picture 5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16780"/>
          <a:ext cx="24384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228600</xdr:colOff>
      <xdr:row>27</xdr:row>
      <xdr:rowOff>45720</xdr:rowOff>
    </xdr:to>
    <xdr:pic>
      <xdr:nvPicPr>
        <xdr:cNvPr id="55" name="Picture 5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84420"/>
          <a:ext cx="22860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243840</xdr:colOff>
      <xdr:row>28</xdr:row>
      <xdr:rowOff>45720</xdr:rowOff>
    </xdr:to>
    <xdr:pic>
      <xdr:nvPicPr>
        <xdr:cNvPr id="56" name="Picture 55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52060"/>
          <a:ext cx="24384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236220</xdr:colOff>
      <xdr:row>29</xdr:row>
      <xdr:rowOff>45720</xdr:rowOff>
    </xdr:to>
    <xdr:pic>
      <xdr:nvPicPr>
        <xdr:cNvPr id="57" name="Picture 56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19700"/>
          <a:ext cx="23622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228600</xdr:colOff>
      <xdr:row>30</xdr:row>
      <xdr:rowOff>45720</xdr:rowOff>
    </xdr:to>
    <xdr:pic>
      <xdr:nvPicPr>
        <xdr:cNvPr id="58" name="Picture 57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87340"/>
          <a:ext cx="228600" cy="213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220980</xdr:colOff>
      <xdr:row>33</xdr:row>
      <xdr:rowOff>22860</xdr:rowOff>
    </xdr:to>
    <xdr:pic>
      <xdr:nvPicPr>
        <xdr:cNvPr id="59" name="Picture 58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90260"/>
          <a:ext cx="22098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33</xdr:row>
      <xdr:rowOff>0</xdr:rowOff>
    </xdr:from>
    <xdr:to>
      <xdr:col>0</xdr:col>
      <xdr:colOff>213360</xdr:colOff>
      <xdr:row>34</xdr:row>
      <xdr:rowOff>22860</xdr:rowOff>
    </xdr:to>
    <xdr:pic>
      <xdr:nvPicPr>
        <xdr:cNvPr id="60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57900"/>
          <a:ext cx="21336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0</xdr:col>
      <xdr:colOff>243840</xdr:colOff>
      <xdr:row>35</xdr:row>
      <xdr:rowOff>22860</xdr:rowOff>
    </xdr:to>
    <xdr:pic>
      <xdr:nvPicPr>
        <xdr:cNvPr id="61" name="Picture 60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25540"/>
          <a:ext cx="24384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35</xdr:row>
      <xdr:rowOff>0</xdr:rowOff>
    </xdr:from>
    <xdr:to>
      <xdr:col>0</xdr:col>
      <xdr:colOff>243840</xdr:colOff>
      <xdr:row>36</xdr:row>
      <xdr:rowOff>22860</xdr:rowOff>
    </xdr:to>
    <xdr:pic>
      <xdr:nvPicPr>
        <xdr:cNvPr id="62" name="Picture 61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93180"/>
          <a:ext cx="24384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228600</xdr:colOff>
      <xdr:row>37</xdr:row>
      <xdr:rowOff>22860</xdr:rowOff>
    </xdr:to>
    <xdr:pic>
      <xdr:nvPicPr>
        <xdr:cNvPr id="63" name="Picture 62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60820"/>
          <a:ext cx="2286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228600</xdr:colOff>
      <xdr:row>38</xdr:row>
      <xdr:rowOff>22860</xdr:rowOff>
    </xdr:to>
    <xdr:pic>
      <xdr:nvPicPr>
        <xdr:cNvPr id="64" name="Picture 63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28460"/>
          <a:ext cx="2286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228600</xdr:colOff>
      <xdr:row>39</xdr:row>
      <xdr:rowOff>22860</xdr:rowOff>
    </xdr:to>
    <xdr:pic>
      <xdr:nvPicPr>
        <xdr:cNvPr id="65" name="Picture 64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96100"/>
          <a:ext cx="2286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220980</xdr:colOff>
      <xdr:row>41</xdr:row>
      <xdr:rowOff>22860</xdr:rowOff>
    </xdr:to>
    <xdr:pic>
      <xdr:nvPicPr>
        <xdr:cNvPr id="66" name="Picture 65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1380"/>
          <a:ext cx="22098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228600</xdr:colOff>
      <xdr:row>39</xdr:row>
      <xdr:rowOff>22860</xdr:rowOff>
    </xdr:to>
    <xdr:pic>
      <xdr:nvPicPr>
        <xdr:cNvPr id="24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96100"/>
          <a:ext cx="2286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220980</xdr:colOff>
      <xdr:row>40</xdr:row>
      <xdr:rowOff>22860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63740"/>
          <a:ext cx="22098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220980</xdr:colOff>
      <xdr:row>40</xdr:row>
      <xdr:rowOff>22860</xdr:rowOff>
    </xdr:to>
    <xdr:pic>
      <xdr:nvPicPr>
        <xdr:cNvPr id="30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63740"/>
          <a:ext cx="22098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A31" sqref="A31"/>
    </sheetView>
  </sheetViews>
  <sheetFormatPr defaultRowHeight="13.2" x14ac:dyDescent="0.3"/>
  <cols>
    <col min="1" max="4" width="11.109375" style="1" customWidth="1"/>
    <col min="5" max="5" width="9.6640625" style="2" customWidth="1"/>
    <col min="6" max="6" width="12" style="2" bestFit="1" customWidth="1"/>
    <col min="7" max="7" width="11.88671875" style="2" customWidth="1"/>
    <col min="8" max="15" width="12" style="2" bestFit="1" customWidth="1"/>
    <col min="16" max="16" width="26.21875" style="1" customWidth="1"/>
    <col min="17" max="16384" width="8.88671875" style="1"/>
  </cols>
  <sheetData>
    <row r="1" spans="1:16" ht="16.2" thickBot="1" x14ac:dyDescent="0.35">
      <c r="A1" s="10" t="s">
        <v>70</v>
      </c>
      <c r="B1" s="10"/>
      <c r="C1" s="10"/>
      <c r="D1" s="10"/>
    </row>
    <row r="2" spans="1:16" ht="15.6" x14ac:dyDescent="0.3">
      <c r="A2" s="3" t="s">
        <v>9</v>
      </c>
      <c r="B2" s="3" t="s">
        <v>11</v>
      </c>
      <c r="C2" s="3" t="s">
        <v>29</v>
      </c>
      <c r="D2" s="3" t="s">
        <v>12</v>
      </c>
      <c r="E2" s="4"/>
      <c r="F2" s="5"/>
      <c r="G2" s="4"/>
      <c r="H2" s="4"/>
      <c r="I2" s="4"/>
      <c r="J2" s="4"/>
      <c r="K2" s="4"/>
      <c r="L2" s="4"/>
      <c r="M2" s="4"/>
      <c r="N2" s="4"/>
      <c r="O2" s="4"/>
      <c r="P2" s="3" t="s">
        <v>13</v>
      </c>
    </row>
    <row r="3" spans="1:16" x14ac:dyDescent="0.3">
      <c r="A3" s="1" t="s">
        <v>23</v>
      </c>
      <c r="B3" s="11">
        <v>4</v>
      </c>
      <c r="C3" s="1">
        <v>800</v>
      </c>
      <c r="D3" s="12">
        <f>(2*15.26/101.96)/(1.03/56.08+2*4.87/61.98+2*4.12/94.2)</f>
        <v>1.1382024566489761</v>
      </c>
      <c r="E3" s="2">
        <v>0.44900000000000001</v>
      </c>
      <c r="K3" s="2">
        <v>8.3999999999999995E-3</v>
      </c>
      <c r="P3" s="1" t="s">
        <v>38</v>
      </c>
    </row>
    <row r="4" spans="1:16" x14ac:dyDescent="0.3">
      <c r="A4" s="1" t="s">
        <v>24</v>
      </c>
      <c r="B4" s="11">
        <v>4</v>
      </c>
      <c r="C4" s="1">
        <v>800</v>
      </c>
      <c r="D4" s="12">
        <f t="shared" ref="D4:D10" si="0">(2*15.26/101.96)/(1.03/56.08+2*4.87/61.98+2*4.12/94.2)</f>
        <v>1.1382024566489761</v>
      </c>
      <c r="E4" s="2">
        <v>0.64600000000000002</v>
      </c>
      <c r="G4" s="2">
        <v>2.86E-2</v>
      </c>
      <c r="J4" s="2">
        <v>6.13E-2</v>
      </c>
      <c r="K4" s="2">
        <v>2.0400000000000001E-2</v>
      </c>
      <c r="N4" s="2">
        <v>1.7000000000000001E-2</v>
      </c>
      <c r="P4" s="1" t="s">
        <v>38</v>
      </c>
    </row>
    <row r="5" spans="1:16" x14ac:dyDescent="0.3">
      <c r="A5" s="1" t="s">
        <v>25</v>
      </c>
      <c r="B5" s="11">
        <v>4</v>
      </c>
      <c r="C5" s="1">
        <v>800</v>
      </c>
      <c r="D5" s="12">
        <f t="shared" si="0"/>
        <v>1.1382024566489761</v>
      </c>
      <c r="E5" s="2">
        <v>0.71599999999999997</v>
      </c>
      <c r="G5" s="2">
        <v>3.3300000000000003E-2</v>
      </c>
      <c r="J5" s="2">
        <v>6.9000000000000006E-2</v>
      </c>
      <c r="K5" s="2">
        <v>2.4400000000000002E-2</v>
      </c>
      <c r="N5" s="2">
        <v>2.1999999999999999E-2</v>
      </c>
      <c r="P5" s="1" t="s">
        <v>38</v>
      </c>
    </row>
    <row r="6" spans="1:16" x14ac:dyDescent="0.3">
      <c r="A6" s="1" t="s">
        <v>27</v>
      </c>
      <c r="B6" s="11">
        <v>4</v>
      </c>
      <c r="C6" s="1">
        <v>800</v>
      </c>
      <c r="D6" s="12">
        <f t="shared" si="0"/>
        <v>1.1382024566489761</v>
      </c>
      <c r="E6" s="2">
        <v>0.753</v>
      </c>
      <c r="G6" s="2">
        <v>4.1700000000000001E-2</v>
      </c>
      <c r="J6" s="2">
        <v>9.8000000000000004E-2</v>
      </c>
      <c r="K6" s="2">
        <v>3.6999999999999998E-2</v>
      </c>
      <c r="N6" s="2">
        <v>2.3E-2</v>
      </c>
      <c r="P6" s="1" t="s">
        <v>38</v>
      </c>
    </row>
    <row r="7" spans="1:16" x14ac:dyDescent="0.3">
      <c r="A7" s="1" t="s">
        <v>26</v>
      </c>
      <c r="B7" s="11">
        <v>4</v>
      </c>
      <c r="C7" s="1">
        <v>800</v>
      </c>
      <c r="D7" s="12">
        <f t="shared" si="0"/>
        <v>1.1382024566489761</v>
      </c>
      <c r="E7" s="2">
        <v>0.86</v>
      </c>
      <c r="G7" s="2">
        <v>6.6600000000000006E-2</v>
      </c>
      <c r="J7" s="2">
        <v>0.15870000000000001</v>
      </c>
      <c r="K7" s="2">
        <v>4.5499999999999999E-2</v>
      </c>
      <c r="N7" s="2">
        <v>3.0300000000000001E-2</v>
      </c>
      <c r="P7" s="1" t="s">
        <v>38</v>
      </c>
    </row>
    <row r="8" spans="1:16" x14ac:dyDescent="0.3">
      <c r="A8" s="1" t="s">
        <v>28</v>
      </c>
      <c r="B8" s="11">
        <v>4</v>
      </c>
      <c r="C8" s="1">
        <v>800</v>
      </c>
      <c r="D8" s="12">
        <f t="shared" si="0"/>
        <v>1.1382024566489761</v>
      </c>
      <c r="E8" s="2">
        <v>0.89600000000000002</v>
      </c>
      <c r="K8" s="2">
        <v>0.05</v>
      </c>
      <c r="P8" s="1" t="s">
        <v>38</v>
      </c>
    </row>
    <row r="9" spans="1:16" x14ac:dyDescent="0.3">
      <c r="A9" s="1" t="s">
        <v>30</v>
      </c>
      <c r="B9" s="11">
        <v>4</v>
      </c>
      <c r="C9" s="1">
        <v>800</v>
      </c>
      <c r="D9" s="12">
        <f t="shared" si="0"/>
        <v>1.1382024566489761</v>
      </c>
      <c r="E9" s="2">
        <v>0.91400000000000003</v>
      </c>
      <c r="G9" s="2">
        <v>8.9300000000000004E-2</v>
      </c>
      <c r="J9" s="2">
        <v>0.27800000000000002</v>
      </c>
      <c r="K9" s="2">
        <v>5.5E-2</v>
      </c>
      <c r="N9" s="2">
        <v>4.2000000000000003E-2</v>
      </c>
      <c r="P9" s="1" t="s">
        <v>38</v>
      </c>
    </row>
    <row r="10" spans="1:16" x14ac:dyDescent="0.3">
      <c r="A10" s="1" t="s">
        <v>31</v>
      </c>
      <c r="B10" s="12">
        <v>1.25</v>
      </c>
      <c r="C10" s="1">
        <v>800</v>
      </c>
      <c r="D10" s="12">
        <f t="shared" si="0"/>
        <v>1.1382024566489761</v>
      </c>
      <c r="E10" s="2">
        <v>0.91400000000000003</v>
      </c>
      <c r="G10" s="2">
        <v>0.189</v>
      </c>
      <c r="J10" s="2">
        <v>0.11899999999999999</v>
      </c>
      <c r="K10" s="2">
        <v>0.182</v>
      </c>
      <c r="N10" s="2">
        <v>8.3000000000000004E-2</v>
      </c>
      <c r="P10" s="1" t="s">
        <v>38</v>
      </c>
    </row>
    <row r="11" spans="1:16" x14ac:dyDescent="0.3">
      <c r="A11" s="1" t="s">
        <v>22</v>
      </c>
      <c r="B11" s="11">
        <v>4</v>
      </c>
      <c r="C11" s="1">
        <v>800</v>
      </c>
      <c r="D11" s="12">
        <f>(2*27.8/101.96)/(2*17/61.98)</f>
        <v>0.99407149285763741</v>
      </c>
      <c r="E11" s="2">
        <v>0.91400000000000003</v>
      </c>
      <c r="G11" s="2">
        <v>1.43E-2</v>
      </c>
      <c r="J11" s="2">
        <v>1.7000000000000001E-2</v>
      </c>
      <c r="K11" s="2">
        <v>1.4E-2</v>
      </c>
      <c r="N11" s="2">
        <v>1.49E-2</v>
      </c>
      <c r="P11" s="1" t="s">
        <v>38</v>
      </c>
    </row>
    <row r="12" spans="1:16" x14ac:dyDescent="0.3">
      <c r="A12" s="1">
        <v>13</v>
      </c>
      <c r="B12" s="11">
        <v>2</v>
      </c>
      <c r="C12" s="1">
        <v>800</v>
      </c>
      <c r="D12" s="12">
        <f>(7.53/26.98)/(0.84/40.08+2.84/22.99+3.6/39.09)</f>
        <v>1.179683275502718</v>
      </c>
      <c r="E12" s="2">
        <f>1000*2.35/35.5/(100-2.35)</f>
        <v>0.6779025406921817</v>
      </c>
      <c r="F12" s="2">
        <v>6.1250000000000002E-3</v>
      </c>
      <c r="G12" s="2">
        <v>3.8095238095238095E-3</v>
      </c>
      <c r="H12" s="2">
        <v>2.9230769230769228E-3</v>
      </c>
      <c r="I12" s="2">
        <v>2.195121951219512E-3</v>
      </c>
      <c r="J12" s="2">
        <v>5.7142857142857143E-3</v>
      </c>
      <c r="K12" s="2">
        <v>2.2123893805309734E-3</v>
      </c>
      <c r="L12" s="2">
        <v>1.8604651162790699E-3</v>
      </c>
      <c r="M12" s="2">
        <v>1.4516129032258066E-3</v>
      </c>
      <c r="N12" s="2">
        <v>1.4560439560439562E-3</v>
      </c>
      <c r="O12" s="2">
        <v>1.3148148148148147E-3</v>
      </c>
      <c r="P12" s="1" t="s">
        <v>39</v>
      </c>
    </row>
    <row r="13" spans="1:16" x14ac:dyDescent="0.3">
      <c r="A13" s="1">
        <v>16</v>
      </c>
      <c r="B13" s="11">
        <v>2</v>
      </c>
      <c r="C13" s="1">
        <v>800</v>
      </c>
      <c r="D13" s="12">
        <f>(7.52/26.98)/(2.5/22.99+4/39.09+1.07/40.08)</f>
        <v>1.1722585379561132</v>
      </c>
      <c r="E13" s="2">
        <f>1000*2.5/35.5/(100-2.5)</f>
        <v>0.72228241242325741</v>
      </c>
      <c r="F13" s="2">
        <v>7.1428571428571435E-3</v>
      </c>
      <c r="G13" s="2">
        <v>3.821656050955414E-3</v>
      </c>
      <c r="H13" s="2">
        <v>2.1044546850998466E-3</v>
      </c>
      <c r="I13" s="2">
        <v>1.7500000000000003E-3</v>
      </c>
      <c r="J13" s="2">
        <v>4.5152354570637118E-3</v>
      </c>
      <c r="K13" s="2">
        <v>1.3761467889908258E-3</v>
      </c>
      <c r="L13" s="2">
        <v>1.6341463414634148E-3</v>
      </c>
      <c r="M13" s="2">
        <v>1.3810316139767054E-3</v>
      </c>
      <c r="N13" s="2">
        <v>1.2994350282485875E-3</v>
      </c>
      <c r="O13" s="2">
        <v>1.25E-3</v>
      </c>
      <c r="P13" s="1" t="s">
        <v>39</v>
      </c>
    </row>
    <row r="14" spans="1:16" x14ac:dyDescent="0.3">
      <c r="A14" s="1">
        <v>17</v>
      </c>
      <c r="B14" s="11">
        <v>2</v>
      </c>
      <c r="C14" s="1">
        <v>800</v>
      </c>
      <c r="D14" s="12">
        <f>(7/26.98)/(2.24/22.99+3.18/39.09+0.85/40.08)</f>
        <v>1.2973092449498318</v>
      </c>
      <c r="E14" s="2">
        <f>1000*5.2/35.5/(100-5.2)</f>
        <v>1.5451357936649432</v>
      </c>
      <c r="F14" s="2">
        <v>0.11449275362318841</v>
      </c>
      <c r="G14" s="2">
        <v>0.10726256983240223</v>
      </c>
      <c r="H14" s="2">
        <v>0.10128205128205128</v>
      </c>
      <c r="I14" s="2">
        <v>0.08</v>
      </c>
      <c r="J14" s="2">
        <v>0.1340057636887608</v>
      </c>
      <c r="K14" s="2">
        <v>7.301587301587302E-2</v>
      </c>
      <c r="L14" s="2">
        <v>6.0147058823529408E-2</v>
      </c>
      <c r="N14" s="2">
        <v>3.7037037037037035E-2</v>
      </c>
      <c r="O14" s="2">
        <v>3.4000000000000002E-2</v>
      </c>
      <c r="P14" s="1" t="s">
        <v>39</v>
      </c>
    </row>
    <row r="15" spans="1:16" x14ac:dyDescent="0.3">
      <c r="A15" s="1">
        <v>18</v>
      </c>
      <c r="B15" s="11">
        <v>2</v>
      </c>
      <c r="C15" s="1">
        <v>800</v>
      </c>
      <c r="D15" s="12">
        <f>(7.6/26.98)/(2.41/22.99+4.21/39.09+0.51/40.08)</f>
        <v>1.2505504730955401</v>
      </c>
      <c r="E15" s="2">
        <f>1000*5.2/35.5/(100-5.2)</f>
        <v>1.5451357936649432</v>
      </c>
      <c r="F15" s="2">
        <v>0.12266666666666666</v>
      </c>
      <c r="G15" s="2">
        <v>0.11734693877551021</v>
      </c>
      <c r="H15" s="2">
        <v>0.11686746987951807</v>
      </c>
      <c r="I15" s="2">
        <v>9.1249999999999998E-2</v>
      </c>
      <c r="J15" s="2">
        <v>0.1236842105263158</v>
      </c>
      <c r="K15" s="2">
        <v>0.08</v>
      </c>
      <c r="L15" s="2">
        <v>6.9014084507042259E-2</v>
      </c>
      <c r="N15" s="2">
        <v>3.9750000000000001E-2</v>
      </c>
      <c r="O15" s="2">
        <v>3.318181818181818E-2</v>
      </c>
      <c r="P15" s="1" t="s">
        <v>39</v>
      </c>
    </row>
    <row r="16" spans="1:16" x14ac:dyDescent="0.3">
      <c r="A16" s="1">
        <v>21</v>
      </c>
      <c r="B16" s="11">
        <v>2</v>
      </c>
      <c r="C16" s="1">
        <v>800</v>
      </c>
      <c r="D16" s="12">
        <f>(7.68/26.98)/(2.55/22.99+4.23/39.09+0.455/40.08)</f>
        <v>1.2350440294932923</v>
      </c>
      <c r="E16" s="2">
        <f>1000*12.6/35.5/(100-12.6)</f>
        <v>4.060979147194379</v>
      </c>
      <c r="F16" s="2">
        <v>1.855072463768116</v>
      </c>
      <c r="G16" s="2">
        <v>1.8705035971223021</v>
      </c>
      <c r="H16" s="2">
        <v>1.7133956386292835</v>
      </c>
      <c r="I16" s="2">
        <v>1.4285714285714286</v>
      </c>
      <c r="J16" s="2">
        <v>1.0683760683760684</v>
      </c>
      <c r="K16" s="2">
        <v>1.1724137931034482</v>
      </c>
      <c r="L16" s="2">
        <v>1.1134903640256959</v>
      </c>
      <c r="M16" s="2">
        <v>0.8666666666666667</v>
      </c>
      <c r="N16" s="2">
        <v>0.54940711462450598</v>
      </c>
      <c r="O16" s="2">
        <v>0.48974358974358978</v>
      </c>
      <c r="P16" s="1" t="s">
        <v>39</v>
      </c>
    </row>
    <row r="17" spans="1:16" x14ac:dyDescent="0.3">
      <c r="A17" s="1">
        <v>22</v>
      </c>
      <c r="B17" s="11">
        <v>2</v>
      </c>
      <c r="C17" s="1">
        <v>800</v>
      </c>
      <c r="D17" s="12">
        <f>(7.88/26.98)/(2.33/22.99+4.8/39.09+0.54/40.08)</f>
        <v>1.2291655602292328</v>
      </c>
      <c r="E17" s="2">
        <f>1000*13.4/35.5/(100-13.4)</f>
        <v>4.3587158052239534</v>
      </c>
      <c r="F17" s="2">
        <v>1.7692307692307692</v>
      </c>
      <c r="G17" s="2">
        <v>1.6819923371647507</v>
      </c>
      <c r="H17" s="2">
        <v>1.7647058823529411</v>
      </c>
      <c r="I17" s="2">
        <v>1.3714285714285714</v>
      </c>
      <c r="J17" s="2">
        <v>1.0271739130434783</v>
      </c>
      <c r="K17" s="2">
        <v>1.2232142857142858</v>
      </c>
      <c r="L17" s="2">
        <v>1.0625</v>
      </c>
      <c r="M17" s="2">
        <v>0.82352941176470584</v>
      </c>
      <c r="N17" s="2">
        <v>0.52558139534883719</v>
      </c>
      <c r="O17" s="2">
        <v>0.42394366197183098</v>
      </c>
      <c r="P17" s="1" t="s">
        <v>39</v>
      </c>
    </row>
    <row r="18" spans="1:16" x14ac:dyDescent="0.3">
      <c r="A18" s="1">
        <v>23</v>
      </c>
      <c r="B18" s="11">
        <v>2</v>
      </c>
      <c r="C18" s="1">
        <v>800</v>
      </c>
      <c r="D18" s="12">
        <f>7.04/26.98/(2.34/22.99+4.3/39.09+0.81/40.08)</f>
        <v>1.1247373298312584</v>
      </c>
      <c r="E18" s="2">
        <f>1000*13.4/35.5/(100-13.4)</f>
        <v>4.3587158052239534</v>
      </c>
      <c r="F18" s="2">
        <v>1.8282548476454292</v>
      </c>
      <c r="G18" s="2">
        <v>1.6688311688311688</v>
      </c>
      <c r="H18" s="2">
        <v>1.6718266253869969</v>
      </c>
      <c r="I18" s="2">
        <v>1.352549889135255</v>
      </c>
      <c r="J18" s="2">
        <v>1.0952380952380951</v>
      </c>
      <c r="K18" s="2">
        <v>1.1232876712328768</v>
      </c>
      <c r="L18" s="2">
        <v>1.0185185185185186</v>
      </c>
      <c r="M18" s="2">
        <v>0.80219780219780223</v>
      </c>
      <c r="N18" s="2">
        <v>0.49642857142857144</v>
      </c>
      <c r="O18" s="2">
        <v>0.45714285714285713</v>
      </c>
      <c r="P18" s="1" t="s">
        <v>39</v>
      </c>
    </row>
    <row r="19" spans="1:16" x14ac:dyDescent="0.3">
      <c r="A19" s="1">
        <v>24</v>
      </c>
      <c r="B19" s="11">
        <v>2</v>
      </c>
      <c r="C19" s="1">
        <v>800</v>
      </c>
      <c r="D19" s="12">
        <f>7.38/26.98/(2.32/22.99+5/39.09+0.42/40.08)</f>
        <v>1.1430554552142727</v>
      </c>
      <c r="E19" s="2">
        <f>1000*13.1/35.5/(100-13.1)</f>
        <v>4.2464221462260321</v>
      </c>
      <c r="F19" s="2">
        <v>2.5308641975308643</v>
      </c>
      <c r="G19" s="2">
        <v>2.5077399380804954</v>
      </c>
      <c r="H19" s="2">
        <v>2.4492753623188408</v>
      </c>
      <c r="I19" s="2">
        <v>2.0638297872340425</v>
      </c>
      <c r="J19" s="2">
        <v>1.1500000000000001</v>
      </c>
      <c r="K19" s="2">
        <v>1.8656716417910448</v>
      </c>
      <c r="L19" s="2">
        <v>1.5357142857142858</v>
      </c>
      <c r="M19" s="2">
        <v>1.1304347826086956</v>
      </c>
      <c r="N19" s="2">
        <v>0.75362318840579712</v>
      </c>
      <c r="O19" s="2">
        <v>0.60330578512396693</v>
      </c>
      <c r="P19" s="1" t="s">
        <v>39</v>
      </c>
    </row>
    <row r="20" spans="1:16" x14ac:dyDescent="0.3">
      <c r="A20" s="1">
        <v>25</v>
      </c>
      <c r="B20" s="11">
        <v>2</v>
      </c>
      <c r="C20" s="1">
        <v>800</v>
      </c>
      <c r="D20" s="12">
        <f>7.52/26.98/(2.19/22.99+4.72/39.09+0.423/40.08)</f>
        <v>1.2302496349652376</v>
      </c>
      <c r="E20" s="2">
        <f>1000*12.5/35.5/(100-12.5)</f>
        <v>4.0241448692152924</v>
      </c>
      <c r="F20" s="2">
        <v>2.1052631578947367</v>
      </c>
      <c r="G20" s="2">
        <v>2.1372031662269131</v>
      </c>
      <c r="H20" s="2">
        <v>2.168831168831169</v>
      </c>
      <c r="I20" s="2">
        <v>1.8076923076923077</v>
      </c>
      <c r="J20" s="2">
        <v>1.0757575757575757</v>
      </c>
      <c r="K20" s="2">
        <v>1.5</v>
      </c>
      <c r="L20" s="2">
        <v>1.411764705882353</v>
      </c>
      <c r="M20" s="2">
        <v>1.103448275862069</v>
      </c>
      <c r="N20" s="2">
        <v>0.8</v>
      </c>
      <c r="O20" s="2">
        <v>0.67272727272727273</v>
      </c>
      <c r="P20" s="1" t="s">
        <v>39</v>
      </c>
    </row>
    <row r="21" spans="1:16" x14ac:dyDescent="0.3">
      <c r="A21" s="1">
        <v>105</v>
      </c>
      <c r="B21" s="11">
        <v>2</v>
      </c>
      <c r="C21" s="1">
        <v>800</v>
      </c>
      <c r="D21" s="12">
        <f>7.65/26.98/(2.59/22.99+4.53/39.09+1/40.08)</f>
        <v>1.1185398848155463</v>
      </c>
      <c r="E21" s="2">
        <f>1000*4.6/35.5/(100-4.6)</f>
        <v>1.3582543478902764</v>
      </c>
      <c r="F21" s="2">
        <v>4.0766550522648083E-2</v>
      </c>
      <c r="G21" s="2">
        <v>3.3055555555555553E-2</v>
      </c>
      <c r="H21" s="2">
        <v>2.3275862068965519E-2</v>
      </c>
      <c r="I21" s="2">
        <v>2.3741007194244605E-2</v>
      </c>
      <c r="J21" s="2">
        <v>3.968253968253968E-2</v>
      </c>
      <c r="K21" s="2">
        <v>2.2499999999999999E-2</v>
      </c>
      <c r="L21" s="2">
        <v>2.175438596491228E-2</v>
      </c>
      <c r="M21" s="2">
        <v>2.0250000000000001E-2</v>
      </c>
      <c r="N21" s="2">
        <v>1.5161290322580644E-2</v>
      </c>
      <c r="O21" s="2">
        <v>1.4262295081967214E-2</v>
      </c>
      <c r="P21" s="1" t="s">
        <v>39</v>
      </c>
    </row>
    <row r="22" spans="1:16" x14ac:dyDescent="0.3">
      <c r="A22" s="1">
        <v>106</v>
      </c>
      <c r="B22" s="11">
        <v>2</v>
      </c>
      <c r="C22" s="1">
        <v>800</v>
      </c>
      <c r="D22" s="12">
        <f>7.5/26.98/(2.63/22.99+4.64/39.09+0.84/40.08)</f>
        <v>1.0941823886570865</v>
      </c>
      <c r="E22" s="2">
        <f>1000*4.5/35.5/(100-4.5)</f>
        <v>1.3273357422019025</v>
      </c>
      <c r="F22" s="2">
        <v>7.134146341463414E-2</v>
      </c>
      <c r="G22" s="2">
        <v>7.0646766169154232E-2</v>
      </c>
      <c r="H22" s="2">
        <v>6.5060240963855417E-2</v>
      </c>
      <c r="I22" s="2">
        <v>5.9803921568627447E-2</v>
      </c>
      <c r="J22" s="2">
        <v>6.596638655462185E-2</v>
      </c>
      <c r="K22" s="2">
        <v>5.5882352941176473E-2</v>
      </c>
      <c r="L22" s="2">
        <v>4.6730769230769235E-2</v>
      </c>
      <c r="M22" s="2">
        <v>3.7250554323725059E-2</v>
      </c>
      <c r="N22" s="2">
        <v>2.6991150442477876E-2</v>
      </c>
      <c r="O22" s="2">
        <v>2.3209169054441262E-2</v>
      </c>
      <c r="P22" s="1" t="s">
        <v>39</v>
      </c>
    </row>
    <row r="23" spans="1:16" x14ac:dyDescent="0.3">
      <c r="A23" s="1">
        <v>109</v>
      </c>
      <c r="B23" s="11">
        <v>2</v>
      </c>
      <c r="C23" s="1">
        <v>800</v>
      </c>
      <c r="D23" s="12">
        <f>7.89/26.98/(2.54/22.99+4.6/39.09+1.03/40.08)</f>
        <v>1.1519754321339444</v>
      </c>
      <c r="E23" s="2">
        <f>1000*4.7/35.5/(100-4.7)</f>
        <v>1.3892378404741144</v>
      </c>
      <c r="F23" s="2">
        <v>3.8187702265372166E-2</v>
      </c>
      <c r="G23" s="2">
        <v>3.6752136752136753E-2</v>
      </c>
      <c r="H23" s="2">
        <v>2.5764192139737994E-2</v>
      </c>
      <c r="I23" s="2">
        <v>2.2695035460992909E-2</v>
      </c>
      <c r="J23" s="2">
        <v>3.4079999999999999E-2</v>
      </c>
      <c r="K23" s="2">
        <v>1.9337016574585635E-2</v>
      </c>
      <c r="L23" s="2">
        <v>1.9097222222222224E-2</v>
      </c>
      <c r="M23" s="2">
        <v>1.6228813559322035E-2</v>
      </c>
      <c r="N23" s="2">
        <v>1.5190839694656488E-2</v>
      </c>
      <c r="O23" s="2">
        <v>1.4693877551020406E-2</v>
      </c>
      <c r="P23" s="1" t="s">
        <v>39</v>
      </c>
    </row>
    <row r="24" spans="1:16" x14ac:dyDescent="0.3">
      <c r="A24" s="1">
        <v>110</v>
      </c>
      <c r="B24" s="11">
        <v>2</v>
      </c>
      <c r="C24" s="1">
        <v>800</v>
      </c>
      <c r="D24" s="12">
        <f>7.6/26.98/(2.6/22.99+4.68/39.09+0.98/40.08)</f>
        <v>1.0949310862542792</v>
      </c>
      <c r="E24" s="2">
        <f>1000*4.5/35.5/(100-4.5)</f>
        <v>1.3273357422019025</v>
      </c>
      <c r="F24" s="2">
        <v>3.0623306233062329E-2</v>
      </c>
      <c r="G24" s="2">
        <v>2.5179856115107913E-2</v>
      </c>
      <c r="H24" s="2">
        <v>1.824817518248175E-2</v>
      </c>
      <c r="I24" s="2">
        <v>1.6716417910447763E-2</v>
      </c>
      <c r="J24" s="2">
        <v>2.5878378378378378E-2</v>
      </c>
      <c r="K24" s="2">
        <v>1.8333333333333333E-2</v>
      </c>
      <c r="L24" s="2">
        <v>1.4893617021276596E-2</v>
      </c>
      <c r="M24" s="2">
        <v>1.2945454545454546E-2</v>
      </c>
      <c r="N24" s="2">
        <v>1.1666666666666667E-2</v>
      </c>
      <c r="O24" s="2">
        <v>1.1306306306306307E-2</v>
      </c>
      <c r="P24" s="1" t="s">
        <v>39</v>
      </c>
    </row>
    <row r="25" spans="1:16" x14ac:dyDescent="0.3">
      <c r="A25" s="1" t="s">
        <v>14</v>
      </c>
      <c r="B25" s="11">
        <v>2</v>
      </c>
      <c r="C25" s="1">
        <v>750</v>
      </c>
      <c r="D25" s="1">
        <v>1.1599999999999999</v>
      </c>
      <c r="E25" s="2">
        <f>1000*4.0667/35.5/(100-4.0667)</f>
        <v>1.1941101742300617</v>
      </c>
      <c r="F25" s="2">
        <v>0.02</v>
      </c>
      <c r="N25" s="2">
        <v>4.0000000000000001E-3</v>
      </c>
      <c r="P25" s="1" t="s">
        <v>40</v>
      </c>
    </row>
    <row r="26" spans="1:16" x14ac:dyDescent="0.3">
      <c r="A26" s="1" t="s">
        <v>15</v>
      </c>
      <c r="B26" s="11">
        <v>2</v>
      </c>
      <c r="C26" s="1">
        <v>750</v>
      </c>
      <c r="D26" s="1">
        <v>1.29</v>
      </c>
      <c r="E26" s="2">
        <f>1000*5.487/35.5/(100-5.487)</f>
        <v>1.6353663546992492</v>
      </c>
      <c r="F26" s="2">
        <v>0.13</v>
      </c>
      <c r="P26" s="1" t="s">
        <v>40</v>
      </c>
    </row>
    <row r="27" spans="1:16" x14ac:dyDescent="0.3">
      <c r="A27" s="1" t="s">
        <v>16</v>
      </c>
      <c r="B27" s="11">
        <v>2</v>
      </c>
      <c r="C27" s="1">
        <v>750</v>
      </c>
      <c r="D27" s="1">
        <v>1.1499999999999999</v>
      </c>
      <c r="E27" s="2">
        <f>1000*3.82/35.5/(100-3.82)</f>
        <v>1.1187942795052701</v>
      </c>
      <c r="F27" s="2">
        <v>1.4999999999999999E-2</v>
      </c>
      <c r="P27" s="1" t="s">
        <v>40</v>
      </c>
    </row>
    <row r="28" spans="1:16" x14ac:dyDescent="0.3">
      <c r="A28" s="1" t="s">
        <v>17</v>
      </c>
      <c r="B28" s="11">
        <v>2</v>
      </c>
      <c r="C28" s="1">
        <v>750</v>
      </c>
      <c r="D28" s="1">
        <v>1.1100000000000001</v>
      </c>
      <c r="E28" s="2">
        <f>1000*3.31/35.5/(100-3.31)</f>
        <v>0.96431313082757586</v>
      </c>
      <c r="F28" s="2">
        <v>0.06</v>
      </c>
      <c r="N28" s="2">
        <v>0.06</v>
      </c>
      <c r="P28" s="1" t="s">
        <v>40</v>
      </c>
    </row>
    <row r="29" spans="1:16" x14ac:dyDescent="0.3">
      <c r="A29" s="6" t="s">
        <v>18</v>
      </c>
      <c r="B29" s="11">
        <v>2</v>
      </c>
      <c r="C29" s="1">
        <v>750</v>
      </c>
      <c r="D29" s="6">
        <v>1.32</v>
      </c>
      <c r="E29" s="2">
        <f>1000*5.67/35.5/(100-5.67)</f>
        <v>1.6931867895595776</v>
      </c>
      <c r="F29" s="7">
        <v>0.13</v>
      </c>
      <c r="G29" s="7"/>
      <c r="H29" s="7"/>
      <c r="I29" s="7"/>
      <c r="J29" s="7"/>
      <c r="K29" s="7"/>
      <c r="L29" s="7"/>
      <c r="M29" s="7"/>
      <c r="N29" s="7"/>
      <c r="O29" s="7"/>
      <c r="P29" s="1" t="s">
        <v>40</v>
      </c>
    </row>
    <row r="30" spans="1:16" x14ac:dyDescent="0.3">
      <c r="A30" s="8" t="s">
        <v>19</v>
      </c>
      <c r="B30" s="13">
        <v>2</v>
      </c>
      <c r="C30" s="8">
        <v>750</v>
      </c>
      <c r="D30" s="8">
        <v>1.17</v>
      </c>
      <c r="E30" s="9">
        <f>1000*3.35/35.5/(100-3.35)</f>
        <v>0.97637037954576911</v>
      </c>
      <c r="F30" s="9">
        <v>0.04</v>
      </c>
      <c r="G30" s="9"/>
      <c r="H30" s="9"/>
      <c r="I30" s="9"/>
      <c r="J30" s="9"/>
      <c r="K30" s="9"/>
      <c r="L30" s="9"/>
      <c r="M30" s="9"/>
      <c r="N30" s="9"/>
      <c r="O30" s="9"/>
      <c r="P30" s="8" t="s">
        <v>40</v>
      </c>
    </row>
    <row r="31" spans="1:16" x14ac:dyDescent="0.3">
      <c r="A31" s="1" t="s">
        <v>71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/>
  </sheetViews>
  <sheetFormatPr defaultColWidth="9.109375" defaultRowHeight="13.2" x14ac:dyDescent="0.3"/>
  <cols>
    <col min="1" max="1" width="5.77734375" style="1" customWidth="1"/>
    <col min="2" max="17" width="7.33203125" style="1" customWidth="1"/>
    <col min="18" max="16384" width="9.109375" style="1"/>
  </cols>
  <sheetData>
    <row r="1" spans="1:17" ht="13.8" thickBot="1" x14ac:dyDescent="0.35">
      <c r="A1" s="15" t="s">
        <v>69</v>
      </c>
      <c r="F1" s="6"/>
      <c r="G1" s="6"/>
      <c r="H1" s="6"/>
      <c r="I1" s="6"/>
    </row>
    <row r="2" spans="1:17" x14ac:dyDescent="0.3">
      <c r="A2" s="3"/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  <c r="L2" s="3">
        <v>11</v>
      </c>
      <c r="M2" s="3">
        <v>12</v>
      </c>
      <c r="N2" s="3">
        <v>13</v>
      </c>
      <c r="O2" s="3">
        <v>14</v>
      </c>
      <c r="P2" s="3">
        <v>15</v>
      </c>
      <c r="Q2" s="3">
        <v>16</v>
      </c>
    </row>
    <row r="3" spans="1:17" x14ac:dyDescent="0.25">
      <c r="A3" s="16" t="s">
        <v>0</v>
      </c>
      <c r="B3" s="17">
        <v>30.9</v>
      </c>
      <c r="C3" s="1">
        <v>25</v>
      </c>
      <c r="D3" s="24">
        <v>3.0542196933283217</v>
      </c>
      <c r="E3" s="24">
        <v>36.744686082887135</v>
      </c>
      <c r="F3" s="6">
        <v>12.7</v>
      </c>
      <c r="G3" s="6">
        <v>23.7</v>
      </c>
      <c r="H3" s="24">
        <v>20.228639375</v>
      </c>
      <c r="I3" s="24">
        <v>23.406099999999999</v>
      </c>
      <c r="J3" s="11">
        <v>152</v>
      </c>
      <c r="K3" s="11">
        <v>280.13599999999997</v>
      </c>
      <c r="L3" s="11">
        <v>43.6</v>
      </c>
      <c r="M3" s="11">
        <v>80.354799999999997</v>
      </c>
      <c r="N3" s="11">
        <v>24.4</v>
      </c>
      <c r="O3" s="11">
        <v>44.969199999999994</v>
      </c>
      <c r="P3" s="11">
        <v>334.7</v>
      </c>
      <c r="Q3" s="11">
        <v>110.3</v>
      </c>
    </row>
    <row r="4" spans="1:17" x14ac:dyDescent="0.25">
      <c r="A4" s="16" t="s">
        <v>1</v>
      </c>
      <c r="B4" s="17">
        <v>51.2</v>
      </c>
      <c r="C4" s="1">
        <v>52</v>
      </c>
      <c r="D4" s="24">
        <v>6.0448033566613368</v>
      </c>
      <c r="E4" s="24">
        <v>71.924246779549961</v>
      </c>
      <c r="F4" s="6">
        <v>25.8</v>
      </c>
      <c r="G4" s="6">
        <v>47.2</v>
      </c>
      <c r="H4" s="24">
        <v>48.077130937500002</v>
      </c>
      <c r="I4" s="24">
        <v>54.334800000000001</v>
      </c>
      <c r="J4" s="11">
        <v>305</v>
      </c>
      <c r="K4" s="11">
        <v>642.32999999999993</v>
      </c>
      <c r="L4" s="11">
        <v>152</v>
      </c>
      <c r="M4" s="11">
        <v>320.11199999999997</v>
      </c>
      <c r="N4" s="11">
        <v>78</v>
      </c>
      <c r="O4" s="11">
        <v>164.268</v>
      </c>
      <c r="P4" s="11">
        <v>582.6</v>
      </c>
      <c r="Q4" s="11">
        <v>210.3</v>
      </c>
    </row>
    <row r="5" spans="1:17" x14ac:dyDescent="0.25">
      <c r="A5" s="18" t="s">
        <v>2</v>
      </c>
      <c r="B5" s="11">
        <v>13.7</v>
      </c>
      <c r="C5" s="1">
        <v>29</v>
      </c>
      <c r="D5" s="24">
        <v>1.4679040310573337</v>
      </c>
      <c r="E5" s="24">
        <v>17.983653295075012</v>
      </c>
      <c r="F5" s="6">
        <v>12.1</v>
      </c>
      <c r="G5" s="6">
        <v>17.100000000000001</v>
      </c>
      <c r="H5" s="24">
        <v>21.607499374999996</v>
      </c>
      <c r="I5" s="24">
        <v>26.148099999999999</v>
      </c>
      <c r="J5" s="11">
        <v>123</v>
      </c>
      <c r="K5" s="11">
        <v>265.803</v>
      </c>
      <c r="L5" s="11">
        <v>59.5</v>
      </c>
      <c r="M5" s="11">
        <v>128.5795</v>
      </c>
      <c r="N5" s="11">
        <v>30.7</v>
      </c>
      <c r="O5" s="11">
        <v>66.342699999999994</v>
      </c>
      <c r="P5" s="11">
        <v>190.5</v>
      </c>
      <c r="Q5" s="11">
        <v>73.930000000000007</v>
      </c>
    </row>
    <row r="6" spans="1:17" x14ac:dyDescent="0.25">
      <c r="A6" s="18" t="s">
        <v>3</v>
      </c>
      <c r="B6" s="11">
        <v>4.2</v>
      </c>
      <c r="C6" s="1">
        <v>3.9</v>
      </c>
      <c r="D6" s="24">
        <v>0.39653520820472626</v>
      </c>
      <c r="E6" s="24">
        <v>4.7177228574612098</v>
      </c>
      <c r="F6" s="6">
        <v>2.17</v>
      </c>
      <c r="G6" s="6">
        <v>3.2</v>
      </c>
      <c r="H6" s="24">
        <v>3.2330965624999997</v>
      </c>
      <c r="I6" s="24">
        <v>3.65428</v>
      </c>
      <c r="J6" s="11">
        <v>19.899999999999999</v>
      </c>
      <c r="K6" s="11">
        <v>33.511599999999994</v>
      </c>
      <c r="L6" s="11">
        <v>16</v>
      </c>
      <c r="M6" s="11">
        <v>26.943999999999999</v>
      </c>
      <c r="N6" s="11">
        <v>8.61</v>
      </c>
      <c r="O6" s="11">
        <v>14.499239999999999</v>
      </c>
      <c r="P6" s="11">
        <v>33.76</v>
      </c>
      <c r="Q6" s="11">
        <v>12.95</v>
      </c>
    </row>
    <row r="7" spans="1:17" x14ac:dyDescent="0.25">
      <c r="A7" s="18" t="s">
        <v>4</v>
      </c>
      <c r="B7" s="11">
        <v>1.08</v>
      </c>
      <c r="C7" s="1">
        <v>0.9</v>
      </c>
      <c r="D7" s="24">
        <v>5.0915847989234965E-3</v>
      </c>
      <c r="E7" s="24">
        <v>0.41144989989973396</v>
      </c>
      <c r="F7" s="6">
        <v>0.54</v>
      </c>
      <c r="G7" s="6">
        <v>0.83</v>
      </c>
      <c r="H7" s="24">
        <v>0.37787772253710938</v>
      </c>
      <c r="I7" s="24">
        <v>1.0589400000000002</v>
      </c>
      <c r="J7" s="12">
        <v>3.19</v>
      </c>
      <c r="K7" s="12">
        <v>6.2555899999999998</v>
      </c>
      <c r="L7" s="12">
        <v>1.07</v>
      </c>
      <c r="M7" s="12">
        <v>2.0982699999999999</v>
      </c>
      <c r="N7" s="12">
        <v>0.51</v>
      </c>
      <c r="O7" s="12">
        <v>1.0001099999999998</v>
      </c>
      <c r="P7" s="12">
        <v>2.75</v>
      </c>
      <c r="Q7" s="12">
        <v>0.81</v>
      </c>
    </row>
    <row r="8" spans="1:17" x14ac:dyDescent="0.25">
      <c r="A8" s="18" t="s">
        <v>8</v>
      </c>
      <c r="B8" s="6">
        <v>4.8</v>
      </c>
      <c r="C8" s="6">
        <v>2.6</v>
      </c>
      <c r="D8" s="24">
        <v>0.39468682723786347</v>
      </c>
      <c r="E8" s="24">
        <v>4.7337660705958164</v>
      </c>
      <c r="F8" s="6">
        <v>2.2400000000000002</v>
      </c>
      <c r="G8" s="6">
        <v>2.54</v>
      </c>
      <c r="H8" s="24">
        <v>1.4314051447649569</v>
      </c>
      <c r="I8" s="24">
        <v>3.2771200000000005</v>
      </c>
      <c r="J8" s="12">
        <v>14.2</v>
      </c>
      <c r="K8" s="12">
        <v>20.7746</v>
      </c>
      <c r="L8" s="12">
        <v>17.399999999999999</v>
      </c>
      <c r="M8" s="12">
        <v>25.456199999999999</v>
      </c>
      <c r="N8" s="12">
        <v>10.09</v>
      </c>
      <c r="O8" s="12">
        <v>14.761670000000001</v>
      </c>
      <c r="P8" s="12">
        <v>32.020000000000003</v>
      </c>
      <c r="Q8" s="12">
        <v>10.66</v>
      </c>
    </row>
    <row r="9" spans="1:17" x14ac:dyDescent="0.25">
      <c r="A9" s="18" t="s">
        <v>5</v>
      </c>
      <c r="B9" s="19">
        <v>0.8</v>
      </c>
      <c r="C9" s="1">
        <v>0.25</v>
      </c>
      <c r="D9" s="24">
        <v>6.0154112418894901E-2</v>
      </c>
      <c r="E9" s="24">
        <v>0.72611625521872181</v>
      </c>
      <c r="F9" s="6"/>
      <c r="G9" s="6"/>
      <c r="H9" s="6"/>
      <c r="I9" s="6"/>
      <c r="J9" s="12">
        <v>2</v>
      </c>
      <c r="K9" s="12">
        <v>2.8420000000000001</v>
      </c>
      <c r="L9" s="12">
        <v>2.72</v>
      </c>
      <c r="M9" s="12">
        <v>3.8651200000000006</v>
      </c>
      <c r="N9" s="12">
        <v>1.96</v>
      </c>
      <c r="O9" s="12">
        <v>2.7851599999999999</v>
      </c>
      <c r="P9" s="12">
        <v>4.6500000000000004</v>
      </c>
      <c r="Q9" s="12">
        <v>1.75</v>
      </c>
    </row>
    <row r="10" spans="1:17" x14ac:dyDescent="0.3">
      <c r="A10" s="18" t="s">
        <v>20</v>
      </c>
      <c r="B10" s="19"/>
      <c r="D10" s="14"/>
      <c r="F10" s="6">
        <v>2.25</v>
      </c>
      <c r="G10" s="6">
        <v>1.77</v>
      </c>
      <c r="H10" s="6"/>
      <c r="I10" s="6"/>
      <c r="J10" s="12"/>
      <c r="K10" s="12"/>
      <c r="L10" s="12"/>
      <c r="M10" s="12"/>
      <c r="N10" s="12"/>
      <c r="O10" s="12"/>
      <c r="P10" s="12"/>
      <c r="Q10" s="12"/>
    </row>
    <row r="11" spans="1:17" x14ac:dyDescent="0.3">
      <c r="A11" s="18" t="s">
        <v>21</v>
      </c>
      <c r="B11" s="19"/>
      <c r="D11" s="14"/>
      <c r="F11" s="6">
        <v>1.1599999999999999</v>
      </c>
      <c r="G11" s="6">
        <v>0.85</v>
      </c>
      <c r="H11" s="14"/>
      <c r="I11" s="14"/>
      <c r="J11" s="12"/>
      <c r="K11" s="12"/>
      <c r="L11" s="12"/>
      <c r="M11" s="12"/>
      <c r="N11" s="12"/>
      <c r="O11" s="12"/>
      <c r="P11" s="12"/>
      <c r="Q11" s="12"/>
    </row>
    <row r="12" spans="1:17" x14ac:dyDescent="0.3">
      <c r="A12" s="18" t="s">
        <v>43</v>
      </c>
      <c r="B12" s="19"/>
      <c r="D12" s="14"/>
      <c r="F12" s="6"/>
      <c r="G12" s="6"/>
      <c r="H12" s="14"/>
      <c r="I12" s="14"/>
      <c r="J12" s="12">
        <v>0.96</v>
      </c>
      <c r="K12" s="12"/>
      <c r="L12" s="12">
        <v>1.48</v>
      </c>
      <c r="M12" s="12"/>
      <c r="N12" s="12">
        <v>1.25</v>
      </c>
      <c r="O12" s="12"/>
      <c r="P12" s="12">
        <v>1.56</v>
      </c>
      <c r="Q12" s="12">
        <v>0.69</v>
      </c>
    </row>
    <row r="13" spans="1:17" x14ac:dyDescent="0.25">
      <c r="A13" s="18" t="s">
        <v>6</v>
      </c>
      <c r="B13" s="19">
        <v>2.2000000000000002</v>
      </c>
      <c r="C13" s="1">
        <v>1.9</v>
      </c>
      <c r="D13" s="25">
        <v>9.7561707151796392E-2</v>
      </c>
      <c r="E13" s="25">
        <v>1.141988061556019</v>
      </c>
      <c r="F13" s="6">
        <v>1.1000000000000001</v>
      </c>
      <c r="G13" s="6">
        <v>0.69</v>
      </c>
      <c r="H13" s="25">
        <v>0.7463465625000002</v>
      </c>
      <c r="I13" s="25">
        <v>2.1419999999999999</v>
      </c>
      <c r="J13" s="12">
        <v>5.7</v>
      </c>
      <c r="K13" s="12">
        <v>4.2408000000000001</v>
      </c>
      <c r="L13" s="12">
        <v>8.8699999999999992</v>
      </c>
      <c r="M13" s="12">
        <v>6.5992799999999994</v>
      </c>
      <c r="N13" s="12">
        <v>7.18</v>
      </c>
      <c r="O13" s="12">
        <v>5.34192</v>
      </c>
      <c r="P13" s="12">
        <v>7.78</v>
      </c>
      <c r="Q13" s="12">
        <v>4.93</v>
      </c>
    </row>
    <row r="14" spans="1:17" x14ac:dyDescent="0.25">
      <c r="A14" s="20" t="s">
        <v>7</v>
      </c>
      <c r="B14" s="21">
        <v>0.33200000000000002</v>
      </c>
      <c r="C14" s="8">
        <v>0.28999999999999998</v>
      </c>
      <c r="D14" s="26">
        <v>1.2456081457958823E-2</v>
      </c>
      <c r="E14" s="26">
        <v>0.13861625258421356</v>
      </c>
      <c r="F14" s="8"/>
      <c r="G14" s="20"/>
      <c r="H14" s="21"/>
      <c r="I14" s="8"/>
      <c r="J14" s="27">
        <v>0.83</v>
      </c>
      <c r="K14" s="27">
        <v>0.44488</v>
      </c>
      <c r="L14" s="27">
        <v>1.19</v>
      </c>
      <c r="M14" s="27">
        <v>0.63783999999999996</v>
      </c>
      <c r="N14" s="27">
        <v>0.9</v>
      </c>
      <c r="O14" s="27">
        <v>0.48240000000000005</v>
      </c>
      <c r="P14" s="27">
        <v>1.1499999999999999</v>
      </c>
      <c r="Q14" s="27">
        <v>0.56999999999999995</v>
      </c>
    </row>
    <row r="15" spans="1:17" x14ac:dyDescent="0.3">
      <c r="A15" s="1" t="s">
        <v>10</v>
      </c>
      <c r="F15" s="6"/>
      <c r="G15" s="22"/>
      <c r="H15" s="23"/>
      <c r="I15" s="6"/>
    </row>
    <row r="16" spans="1:17" x14ac:dyDescent="0.3">
      <c r="A16" s="18" t="s">
        <v>34</v>
      </c>
      <c r="F16" s="6"/>
    </row>
    <row r="17" spans="1:6" x14ac:dyDescent="0.3">
      <c r="A17" s="18" t="s">
        <v>35</v>
      </c>
      <c r="F17" s="6"/>
    </row>
    <row r="18" spans="1:6" ht="15.6" x14ac:dyDescent="0.3">
      <c r="A18" s="18" t="s">
        <v>32</v>
      </c>
    </row>
    <row r="19" spans="1:6" ht="15.6" x14ac:dyDescent="0.3">
      <c r="A19" s="18" t="s">
        <v>42</v>
      </c>
    </row>
    <row r="20" spans="1:6" x14ac:dyDescent="0.3">
      <c r="A20" s="1" t="s">
        <v>36</v>
      </c>
    </row>
    <row r="21" spans="1:6" x14ac:dyDescent="0.3">
      <c r="A21" s="1" t="s">
        <v>37</v>
      </c>
    </row>
    <row r="22" spans="1:6" ht="15.6" x14ac:dyDescent="0.3">
      <c r="A22" s="6" t="s">
        <v>41</v>
      </c>
    </row>
    <row r="23" spans="1:6" ht="15.6" x14ac:dyDescent="0.3">
      <c r="A23" s="6" t="s">
        <v>33</v>
      </c>
    </row>
    <row r="24" spans="1:6" x14ac:dyDescent="0.3">
      <c r="A24" s="1" t="s">
        <v>65</v>
      </c>
    </row>
    <row r="25" spans="1:6" ht="15.6" x14ac:dyDescent="0.3">
      <c r="A25" s="6" t="s">
        <v>45</v>
      </c>
    </row>
    <row r="26" spans="1:6" x14ac:dyDescent="0.3">
      <c r="A26" s="1" t="s">
        <v>66</v>
      </c>
    </row>
    <row r="27" spans="1:6" ht="15.6" x14ac:dyDescent="0.3">
      <c r="A27" s="6" t="s">
        <v>44</v>
      </c>
    </row>
    <row r="28" spans="1:6" x14ac:dyDescent="0.3">
      <c r="A28" s="1" t="s">
        <v>67</v>
      </c>
    </row>
    <row r="29" spans="1:6" ht="15.6" x14ac:dyDescent="0.3">
      <c r="A29" s="6" t="s">
        <v>46</v>
      </c>
    </row>
    <row r="30" spans="1:6" x14ac:dyDescent="0.3">
      <c r="A30" s="1" t="s">
        <v>47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2"/>
  <sheetViews>
    <sheetView tabSelected="1" topLeftCell="A31" workbookViewId="0">
      <selection activeCell="A43" sqref="A43"/>
    </sheetView>
  </sheetViews>
  <sheetFormatPr defaultRowHeight="14.4" x14ac:dyDescent="0.3"/>
  <cols>
    <col min="2" max="2" width="9" customWidth="1"/>
    <col min="3" max="3" width="10" customWidth="1"/>
    <col min="6" max="6" width="19.109375" customWidth="1"/>
  </cols>
  <sheetData>
    <row r="1" spans="1:6" ht="52.2" customHeight="1" thickBot="1" x14ac:dyDescent="0.35">
      <c r="A1" s="58" t="s">
        <v>68</v>
      </c>
      <c r="B1" s="58"/>
      <c r="C1" s="58"/>
      <c r="D1" s="58"/>
      <c r="E1" s="58"/>
      <c r="F1" s="58"/>
    </row>
    <row r="2" spans="1:6" x14ac:dyDescent="0.3">
      <c r="A2" s="36"/>
      <c r="B2" s="59" t="s">
        <v>48</v>
      </c>
      <c r="C2" s="59"/>
      <c r="D2" s="59" t="s">
        <v>49</v>
      </c>
      <c r="E2" s="59"/>
      <c r="F2" s="28"/>
    </row>
    <row r="3" spans="1:6" x14ac:dyDescent="0.3">
      <c r="A3" s="29"/>
      <c r="B3" s="29" t="s">
        <v>50</v>
      </c>
      <c r="C3" s="29" t="s">
        <v>51</v>
      </c>
      <c r="D3" s="29" t="s">
        <v>52</v>
      </c>
      <c r="E3" s="29" t="s">
        <v>53</v>
      </c>
      <c r="F3" s="29"/>
    </row>
    <row r="4" spans="1:6" x14ac:dyDescent="0.3">
      <c r="A4" s="37" t="s">
        <v>54</v>
      </c>
      <c r="B4" s="38">
        <v>30.9</v>
      </c>
      <c r="C4" s="38">
        <v>30.9</v>
      </c>
      <c r="D4" s="30">
        <v>12.7</v>
      </c>
      <c r="E4" s="30">
        <v>12.7</v>
      </c>
      <c r="F4" s="30"/>
    </row>
    <row r="5" spans="1:6" x14ac:dyDescent="0.3">
      <c r="A5" s="37" t="s">
        <v>1</v>
      </c>
      <c r="B5" s="38">
        <v>51.2</v>
      </c>
      <c r="C5" s="38">
        <v>51.2</v>
      </c>
      <c r="D5" s="30">
        <v>25.8</v>
      </c>
      <c r="E5" s="30">
        <v>25.8</v>
      </c>
      <c r="F5" s="30"/>
    </row>
    <row r="6" spans="1:6" x14ac:dyDescent="0.3">
      <c r="A6" s="39" t="s">
        <v>2</v>
      </c>
      <c r="B6" s="38">
        <v>13.7</v>
      </c>
      <c r="C6" s="38">
        <v>13.7</v>
      </c>
      <c r="D6" s="30">
        <v>12.1</v>
      </c>
      <c r="E6" s="30">
        <v>12.1</v>
      </c>
      <c r="F6" s="30"/>
    </row>
    <row r="7" spans="1:6" x14ac:dyDescent="0.3">
      <c r="A7" s="39" t="s">
        <v>3</v>
      </c>
      <c r="B7" s="38">
        <v>4.2</v>
      </c>
      <c r="C7" s="38">
        <v>4.2</v>
      </c>
      <c r="D7" s="30">
        <v>2.17</v>
      </c>
      <c r="E7" s="30">
        <v>2.17</v>
      </c>
      <c r="F7" s="30"/>
    </row>
    <row r="8" spans="1:6" x14ac:dyDescent="0.3">
      <c r="A8" s="39" t="s">
        <v>4</v>
      </c>
      <c r="B8" s="34">
        <v>1.08</v>
      </c>
      <c r="C8" s="34">
        <v>1.08</v>
      </c>
      <c r="D8" s="30">
        <v>0.54</v>
      </c>
      <c r="E8" s="30">
        <v>0.54</v>
      </c>
      <c r="F8" s="30"/>
    </row>
    <row r="9" spans="1:6" x14ac:dyDescent="0.3">
      <c r="A9" s="39" t="s">
        <v>8</v>
      </c>
      <c r="B9" s="38">
        <f>0.259*(B7/0.195+2*B10/0.0474)/3</f>
        <v>4.7736925240722714</v>
      </c>
      <c r="C9" s="38">
        <f>0.259*(C7/0.195+2*C10/0.0474)/3</f>
        <v>4.7736925240722714</v>
      </c>
      <c r="D9" s="30">
        <v>2.2400000000000002</v>
      </c>
      <c r="E9" s="30">
        <v>2.2400000000000002</v>
      </c>
      <c r="F9" s="30"/>
    </row>
    <row r="10" spans="1:6" x14ac:dyDescent="0.3">
      <c r="A10" s="39" t="s">
        <v>5</v>
      </c>
      <c r="B10" s="40">
        <v>0.8</v>
      </c>
      <c r="C10" s="40">
        <v>0.8</v>
      </c>
      <c r="D10" s="30"/>
      <c r="E10" s="30"/>
      <c r="F10" s="30"/>
    </row>
    <row r="11" spans="1:6" x14ac:dyDescent="0.3">
      <c r="A11" s="39" t="s">
        <v>20</v>
      </c>
      <c r="B11" s="40"/>
      <c r="C11" s="40"/>
      <c r="D11" s="30">
        <v>2.25</v>
      </c>
      <c r="E11" s="30">
        <v>2.25</v>
      </c>
      <c r="F11" s="30"/>
    </row>
    <row r="12" spans="1:6" x14ac:dyDescent="0.3">
      <c r="A12" s="39" t="s">
        <v>21</v>
      </c>
      <c r="B12" s="40"/>
      <c r="C12" s="40"/>
      <c r="D12" s="30">
        <v>1.1599999999999999</v>
      </c>
      <c r="E12" s="30">
        <v>1.1599999999999999</v>
      </c>
      <c r="F12" s="30"/>
    </row>
    <row r="13" spans="1:6" x14ac:dyDescent="0.3">
      <c r="A13" s="39" t="s">
        <v>6</v>
      </c>
      <c r="B13" s="40">
        <v>2.2000000000000002</v>
      </c>
      <c r="C13" s="40">
        <v>2.2000000000000002</v>
      </c>
      <c r="D13" s="30">
        <v>1.1000000000000001</v>
      </c>
      <c r="E13" s="30">
        <v>1.1000000000000001</v>
      </c>
      <c r="F13" s="30"/>
    </row>
    <row r="14" spans="1:6" x14ac:dyDescent="0.3">
      <c r="A14" s="39" t="s">
        <v>7</v>
      </c>
      <c r="B14" s="40">
        <v>0.33200000000000002</v>
      </c>
      <c r="C14" s="40">
        <v>0.33200000000000002</v>
      </c>
      <c r="D14" s="30"/>
      <c r="E14" s="30"/>
      <c r="F14" s="30"/>
    </row>
    <row r="15" spans="1:6" ht="64.2" customHeight="1" x14ac:dyDescent="0.3">
      <c r="A15" s="41" t="s">
        <v>55</v>
      </c>
      <c r="B15" s="56" t="s">
        <v>63</v>
      </c>
      <c r="C15" s="52" t="s">
        <v>64</v>
      </c>
      <c r="D15" s="53" t="s">
        <v>62</v>
      </c>
      <c r="E15" s="53" t="s">
        <v>60</v>
      </c>
      <c r="F15" s="30"/>
    </row>
    <row r="16" spans="1:6" x14ac:dyDescent="0.3">
      <c r="A16" s="41"/>
      <c r="B16" s="54">
        <v>1000</v>
      </c>
      <c r="C16" s="54">
        <v>15</v>
      </c>
      <c r="D16" s="55">
        <v>17</v>
      </c>
      <c r="E16" s="55">
        <v>52</v>
      </c>
      <c r="F16" s="30"/>
    </row>
    <row r="17" spans="1:6" x14ac:dyDescent="0.3">
      <c r="A17" s="42" t="s">
        <v>56</v>
      </c>
      <c r="B17" s="43"/>
      <c r="C17" s="35"/>
      <c r="D17" s="30"/>
      <c r="E17" s="30"/>
      <c r="F17" s="31" t="s">
        <v>57</v>
      </c>
    </row>
    <row r="18" spans="1:6" x14ac:dyDescent="0.3">
      <c r="A18" s="30"/>
      <c r="B18" s="57">
        <f>B16*10^(-4)/35.5*(1000/(100-B16/10000))</f>
        <v>2.8197211295802847E-2</v>
      </c>
      <c r="C18" s="35"/>
      <c r="D18" s="30"/>
      <c r="E18" s="30"/>
      <c r="F18" s="30">
        <v>1</v>
      </c>
    </row>
    <row r="19" spans="1:6" x14ac:dyDescent="0.3">
      <c r="A19" s="30"/>
      <c r="B19" s="50">
        <f>B18*B20</f>
        <v>1.2265786913674239</v>
      </c>
      <c r="C19" s="50">
        <f>1000*(C16/58.5)/(100-C16)</f>
        <v>3.0165912518853695</v>
      </c>
      <c r="D19" s="51">
        <f>1000*D16/58.5/(100-D16)</f>
        <v>3.5011842240757902</v>
      </c>
      <c r="E19" s="51">
        <f>1000*E16/58.5/(100-E16)</f>
        <v>18.518518518518519</v>
      </c>
      <c r="F19" s="30">
        <v>2</v>
      </c>
    </row>
    <row r="20" spans="1:6" x14ac:dyDescent="0.3">
      <c r="A20" s="33"/>
      <c r="B20" s="35">
        <v>43.5</v>
      </c>
      <c r="C20" s="35"/>
      <c r="D20" s="30"/>
      <c r="E20" s="30"/>
      <c r="F20" s="45" t="s">
        <v>58</v>
      </c>
    </row>
    <row r="21" spans="1:6" x14ac:dyDescent="0.3">
      <c r="A21" s="33"/>
      <c r="B21" s="46">
        <f>-0.0004*(B19^6)+0.0543*B19^3</f>
        <v>9.8842061272761225E-2</v>
      </c>
      <c r="C21" s="46">
        <f t="shared" ref="C21:D21" si="0">-0.0004*(C19^6)+0.0543*C19^3</f>
        <v>1.1891484169219138</v>
      </c>
      <c r="D21" s="46">
        <f t="shared" si="0"/>
        <v>1.5936761911129702</v>
      </c>
      <c r="E21" s="32">
        <v>1.843</v>
      </c>
      <c r="F21" s="30" t="s">
        <v>59</v>
      </c>
    </row>
    <row r="22" spans="1:6" x14ac:dyDescent="0.3">
      <c r="A22" s="33"/>
      <c r="B22" s="46">
        <f>-0.0005*(B19^6)+0.0649*(B19^3)</f>
        <v>0.11806256555979172</v>
      </c>
      <c r="C22" s="46">
        <f t="shared" ref="C22:D22" si="1">-0.0005*(C19^6)+0.0649*(C19^3)</f>
        <v>1.4047704449130851</v>
      </c>
      <c r="D22" s="46">
        <f t="shared" si="1"/>
        <v>1.8644125973807324</v>
      </c>
      <c r="E22" s="32">
        <v>2.1059999999999999</v>
      </c>
      <c r="F22" s="30" t="s">
        <v>59</v>
      </c>
    </row>
    <row r="23" spans="1:6" x14ac:dyDescent="0.3">
      <c r="A23" s="33"/>
      <c r="B23" s="46">
        <f>-0.0004*B19^6+0.0588*B19^3</f>
        <v>0.10714627963922145</v>
      </c>
      <c r="C23" s="46">
        <f t="shared" ref="C23:D23" si="2">-0.0004*C19^6+0.0588*C19^3</f>
        <v>1.3126754229981761</v>
      </c>
      <c r="D23" s="46">
        <f t="shared" si="2"/>
        <v>1.786809598439747</v>
      </c>
      <c r="E23" s="32">
        <v>2.161</v>
      </c>
      <c r="F23" s="30" t="s">
        <v>59</v>
      </c>
    </row>
    <row r="24" spans="1:6" x14ac:dyDescent="0.3">
      <c r="A24" s="33"/>
      <c r="B24" s="46">
        <f>-0.0004*B19^6+0.0519*B19^3</f>
        <v>9.4413144810649108E-2</v>
      </c>
      <c r="C24" s="46">
        <f t="shared" ref="C24:D24" si="3">-0.0004*C19^6+0.0519*C19^3</f>
        <v>1.1232673470145738</v>
      </c>
      <c r="D24" s="46">
        <f t="shared" si="3"/>
        <v>1.4906717072053559</v>
      </c>
      <c r="E24" s="32">
        <v>1.6839999999999999</v>
      </c>
      <c r="F24" s="30" t="s">
        <v>59</v>
      </c>
    </row>
    <row r="25" spans="1:6" x14ac:dyDescent="0.3">
      <c r="A25" s="33"/>
      <c r="B25" s="46">
        <f>-0.0000007*B19^10+0.0017*B19^5</f>
        <v>4.7144303693736076E-3</v>
      </c>
      <c r="C25" s="46">
        <f t="shared" ref="C25:D25" si="4">-0.0000007*C19^10+0.0017*C19^5</f>
        <v>0.38097212953679066</v>
      </c>
      <c r="D25" s="46">
        <f t="shared" si="4"/>
        <v>0.70063075427393406</v>
      </c>
      <c r="E25" s="32">
        <v>1.9610000000000001</v>
      </c>
      <c r="F25" s="30" t="s">
        <v>59</v>
      </c>
    </row>
    <row r="26" spans="1:6" x14ac:dyDescent="0.3">
      <c r="A26" s="33"/>
      <c r="B26" s="46">
        <f>-0.0003*B19^6+0.0419*B19^3</f>
        <v>7.6299869639146645E-2</v>
      </c>
      <c r="C26" s="46">
        <f t="shared" ref="C26:D26" si="5">-0.0003*C19^6+0.0419*C19^3</f>
        <v>0.92411558650023706</v>
      </c>
      <c r="D26" s="46">
        <f t="shared" si="5"/>
        <v>1.2456864219144972</v>
      </c>
      <c r="E26" s="32">
        <v>1.4630000000000001</v>
      </c>
      <c r="F26" s="30" t="s">
        <v>59</v>
      </c>
    </row>
    <row r="27" spans="1:6" x14ac:dyDescent="0.3">
      <c r="A27" s="47"/>
      <c r="B27" s="46">
        <f>-0.0003*B19^6+0.0413*B19^3</f>
        <v>7.5192640523618626E-2</v>
      </c>
      <c r="C27" s="46">
        <f t="shared" ref="C27:D27" si="6">-0.0003*C19^6+0.0413*C19^3</f>
        <v>0.90764531902340218</v>
      </c>
      <c r="D27" s="46">
        <f t="shared" si="6"/>
        <v>1.2199353009375937</v>
      </c>
      <c r="E27" s="32">
        <v>1.421</v>
      </c>
      <c r="F27" s="30" t="s">
        <v>59</v>
      </c>
    </row>
    <row r="28" spans="1:6" x14ac:dyDescent="0.3">
      <c r="A28" s="33"/>
      <c r="B28" s="46">
        <f>-0.0003*B19^6+0.0338*B19^3</f>
        <v>6.1352276579518229E-2</v>
      </c>
      <c r="C28" s="46">
        <f t="shared" ref="C28:D28" si="7">-0.0003*C19^6+0.0338*C19^3</f>
        <v>0.70176697556296452</v>
      </c>
      <c r="D28" s="46">
        <f t="shared" si="7"/>
        <v>0.89804628872629855</v>
      </c>
      <c r="E28" s="32">
        <v>0.95199999999999996</v>
      </c>
      <c r="F28" s="30" t="s">
        <v>59</v>
      </c>
    </row>
    <row r="29" spans="1:6" x14ac:dyDescent="0.3">
      <c r="A29" s="33"/>
      <c r="B29" s="46">
        <f>-0.0002*B19^6+0.0244*B19^3</f>
        <v>4.4346230523543813E-2</v>
      </c>
      <c r="C29" s="46">
        <f t="shared" ref="C29:D29" si="8">-0.0002*C19^6+0.0244*C19^3</f>
        <v>0.51908548252546316</v>
      </c>
      <c r="D29" s="46">
        <f t="shared" si="8"/>
        <v>0.67881212441234373</v>
      </c>
      <c r="E29" s="32">
        <v>0.74399999999999999</v>
      </c>
      <c r="F29" s="30" t="s">
        <v>59</v>
      </c>
    </row>
    <row r="30" spans="1:6" x14ac:dyDescent="0.3">
      <c r="A30" s="33"/>
      <c r="B30" s="46">
        <f>-0.0002*B19^6+0.0207*B19^3</f>
        <v>3.7518317644454284E-2</v>
      </c>
      <c r="C30" s="46">
        <f t="shared" ref="C30:D30" si="9">-0.0002*C19^6+0.0207*C19^3</f>
        <v>0.41751883308498056</v>
      </c>
      <c r="D30" s="46">
        <f t="shared" si="9"/>
        <v>0.5200135450547716</v>
      </c>
      <c r="E30" s="32">
        <v>0.53600000000000003</v>
      </c>
      <c r="F30" s="30" t="s">
        <v>59</v>
      </c>
    </row>
    <row r="31" spans="1:6" x14ac:dyDescent="0.3">
      <c r="A31" s="41"/>
      <c r="B31" s="44"/>
      <c r="C31" s="44"/>
      <c r="D31" s="30"/>
      <c r="E31" s="30"/>
      <c r="F31" s="30"/>
    </row>
    <row r="32" spans="1:6" x14ac:dyDescent="0.3">
      <c r="A32" s="42" t="s">
        <v>61</v>
      </c>
      <c r="B32" s="44"/>
      <c r="C32" s="44"/>
      <c r="D32" s="30"/>
      <c r="E32" s="30"/>
      <c r="F32" s="30"/>
    </row>
    <row r="33" spans="1:6" x14ac:dyDescent="0.3">
      <c r="A33" s="33"/>
      <c r="B33" s="43">
        <f t="shared" ref="B33:E35" si="10">B21*B4</f>
        <v>3.0542196933283217</v>
      </c>
      <c r="C33" s="43">
        <f t="shared" si="10"/>
        <v>36.744686082887135</v>
      </c>
      <c r="D33" s="48">
        <f t="shared" si="10"/>
        <v>20.239687627134721</v>
      </c>
      <c r="E33" s="48">
        <f t="shared" si="10"/>
        <v>23.406099999999999</v>
      </c>
      <c r="F33" s="30"/>
    </row>
    <row r="34" spans="1:6" x14ac:dyDescent="0.3">
      <c r="A34" s="33"/>
      <c r="B34" s="43">
        <f t="shared" si="10"/>
        <v>6.0448033566613368</v>
      </c>
      <c r="C34" s="43">
        <f t="shared" si="10"/>
        <v>71.924246779549961</v>
      </c>
      <c r="D34" s="48">
        <f t="shared" si="10"/>
        <v>48.101845012422899</v>
      </c>
      <c r="E34" s="48">
        <f t="shared" si="10"/>
        <v>54.334800000000001</v>
      </c>
      <c r="F34" s="30"/>
    </row>
    <row r="35" spans="1:6" x14ac:dyDescent="0.3">
      <c r="A35" s="33"/>
      <c r="B35" s="43">
        <f t="shared" si="10"/>
        <v>1.4679040310573337</v>
      </c>
      <c r="C35" s="43">
        <f t="shared" si="10"/>
        <v>17.983653295075012</v>
      </c>
      <c r="D35" s="48">
        <f t="shared" si="10"/>
        <v>21.620396141120938</v>
      </c>
      <c r="E35" s="48">
        <f t="shared" si="10"/>
        <v>26.148099999999999</v>
      </c>
      <c r="F35" s="30"/>
    </row>
    <row r="36" spans="1:6" x14ac:dyDescent="0.3">
      <c r="A36" s="33"/>
      <c r="B36" s="43">
        <f>B7*B24</f>
        <v>0.39653520820472626</v>
      </c>
      <c r="C36" s="43">
        <f>C7*C24</f>
        <v>4.7177228574612098</v>
      </c>
      <c r="D36" s="48">
        <f>D7*D24</f>
        <v>3.2347576046356221</v>
      </c>
      <c r="E36" s="48">
        <f>E24*E7</f>
        <v>3.65428</v>
      </c>
      <c r="F36" s="30"/>
    </row>
    <row r="37" spans="1:6" x14ac:dyDescent="0.3">
      <c r="A37" s="33"/>
      <c r="B37" s="43">
        <f>B25*B8</f>
        <v>5.0915847989234965E-3</v>
      </c>
      <c r="C37" s="43">
        <f>C25*C8</f>
        <v>0.41144989989973396</v>
      </c>
      <c r="D37" s="48">
        <f>D25*D8</f>
        <v>0.3783406073079244</v>
      </c>
      <c r="E37" s="48">
        <f>E25*E8</f>
        <v>1.0589400000000002</v>
      </c>
      <c r="F37" s="30"/>
    </row>
    <row r="38" spans="1:6" x14ac:dyDescent="0.3">
      <c r="A38" s="33"/>
      <c r="B38" s="43">
        <f>B49*0.259</f>
        <v>0</v>
      </c>
      <c r="C38" s="43">
        <f>C49*0.259</f>
        <v>0</v>
      </c>
      <c r="D38" s="48">
        <f>D49*0.259</f>
        <v>0</v>
      </c>
      <c r="E38" s="48">
        <f>E26*E9</f>
        <v>3.2771200000000005</v>
      </c>
      <c r="F38" s="30"/>
    </row>
    <row r="39" spans="1:6" x14ac:dyDescent="0.3">
      <c r="A39" s="33"/>
      <c r="B39" s="43">
        <f>B27*B10</f>
        <v>6.0154112418894901E-2</v>
      </c>
      <c r="C39" s="43">
        <f>C27*C10</f>
        <v>0.72611625521872181</v>
      </c>
      <c r="D39" s="48"/>
      <c r="E39" s="30"/>
      <c r="F39" s="30"/>
    </row>
    <row r="40" spans="1:6" x14ac:dyDescent="0.3">
      <c r="A40" s="33"/>
      <c r="B40" s="43">
        <f>B29*B13</f>
        <v>9.7561707151796392E-2</v>
      </c>
      <c r="C40" s="43">
        <f>C29*C13</f>
        <v>1.141988061556019</v>
      </c>
      <c r="D40" s="48">
        <f>D29*D13</f>
        <v>0.74669333685357819</v>
      </c>
      <c r="E40" s="48">
        <f>E28*E11</f>
        <v>2.1419999999999999</v>
      </c>
      <c r="F40" s="30"/>
    </row>
    <row r="41" spans="1:6" x14ac:dyDescent="0.3">
      <c r="A41" s="29"/>
      <c r="B41" s="49">
        <f>B30*B14</f>
        <v>1.2456081457958823E-2</v>
      </c>
      <c r="C41" s="49">
        <f>C30*C14</f>
        <v>0.13861625258421356</v>
      </c>
      <c r="D41" s="49"/>
      <c r="E41" s="29"/>
      <c r="F41" s="29"/>
    </row>
    <row r="42" spans="1:6" x14ac:dyDescent="0.3">
      <c r="A42" t="s">
        <v>72</v>
      </c>
    </row>
  </sheetData>
  <mergeCells count="3">
    <mergeCell ref="A1:F1"/>
    <mergeCell ref="B2:C2"/>
    <mergeCell ref="D2:E2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Supplementart Table S1</vt:lpstr>
      <vt:lpstr>Supplementary Table S2</vt:lpstr>
      <vt:lpstr>Supplementary Table S3</vt:lpstr>
    </vt:vector>
  </TitlesOfParts>
  <Company>Government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(Xueming) Yang</dc:creator>
  <cp:lastModifiedBy>xm yang</cp:lastModifiedBy>
  <cp:lastPrinted>2019-04-24T18:56:49Z</cp:lastPrinted>
  <dcterms:created xsi:type="dcterms:W3CDTF">2011-12-13T16:35:18Z</dcterms:created>
  <dcterms:modified xsi:type="dcterms:W3CDTF">2019-07-10T13:05:41Z</dcterms:modified>
</cp:coreProperties>
</file>