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.7.21\insects-3098005-supplementary\insects-3098005-conversion-v1\"/>
    </mc:Choice>
  </mc:AlternateContent>
  <xr:revisionPtr revIDLastSave="0" documentId="13_ncr:1_{247DFB0D-DF8F-4472-8DE3-62FC93C741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tle" sheetId="20" r:id="rId1"/>
    <sheet name="D. acerifoliae" sheetId="1" r:id="rId2"/>
    <sheet name="D. carolinensis" sheetId="2" r:id="rId3"/>
    <sheet name="D. choanotricha" sheetId="3" r:id="rId4"/>
    <sheet name="D. granovskyi" sheetId="4" r:id="rId5"/>
    <sheet name="D. idahoensis" sheetId="5" r:id="rId6"/>
    <sheet name="D. kanzensis" sheetId="6" r:id="rId7"/>
    <sheet name="D. keshenae" sheetId="7" r:id="rId8"/>
    <sheet name="D. knowltoni " sheetId="8" r:id="rId9"/>
    <sheet name="D. monelli " sheetId="9" r:id="rId10"/>
    <sheet name="D. nigricans" sheetId="10" r:id="rId11"/>
    <sheet name="D. parva" sheetId="13" r:id="rId12"/>
    <sheet name="D. robinsoni" sheetId="18" r:id="rId13"/>
    <sheet name="D. sabrinae " sheetId="14" r:id="rId14"/>
    <sheet name="D. saccharini " sheetId="15" r:id="rId15"/>
    <sheet name="D. simpsoni" sheetId="16" r:id="rId16"/>
    <sheet name="D. spicata" sheetId="12" r:id="rId17"/>
    <sheet name="D. tissoti" sheetId="11" r:id="rId18"/>
    <sheet name="D. utahensis" sheetId="17" r:id="rId19"/>
  </sheets>
  <calcPr calcId="191029" iterate="1" iterateCount="200" iterateDelta="1E-8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Z52" i="11" l="1"/>
  <c r="F52" i="11"/>
  <c r="F41" i="12"/>
  <c r="G3" i="12"/>
  <c r="G4" i="12"/>
  <c r="O7" i="12"/>
  <c r="G7" i="12"/>
  <c r="O8" i="12"/>
  <c r="G8" i="12"/>
  <c r="O9" i="12"/>
  <c r="G9" i="12"/>
  <c r="O11" i="12"/>
  <c r="G11" i="12"/>
  <c r="O12" i="12"/>
  <c r="G12" i="12"/>
  <c r="O13" i="12"/>
  <c r="G13" i="12"/>
  <c r="G15" i="12"/>
  <c r="O19" i="12"/>
  <c r="G19" i="12"/>
  <c r="O21" i="12"/>
  <c r="G21" i="12"/>
  <c r="O22" i="12"/>
  <c r="G22" i="12"/>
  <c r="G23" i="12"/>
  <c r="O24" i="12"/>
  <c r="G24" i="12"/>
  <c r="G25" i="12"/>
  <c r="O26" i="12"/>
  <c r="G26" i="12"/>
  <c r="O27" i="12"/>
  <c r="G27" i="12"/>
  <c r="G33" i="12"/>
  <c r="O37" i="12"/>
  <c r="G37" i="12"/>
  <c r="G39" i="12"/>
  <c r="G40" i="12"/>
  <c r="G41" i="12"/>
  <c r="H3" i="12"/>
  <c r="H4" i="12"/>
  <c r="F7" i="12"/>
  <c r="H7" i="12"/>
  <c r="F8" i="12"/>
  <c r="H8" i="12"/>
  <c r="F9" i="12"/>
  <c r="H9" i="12"/>
  <c r="F11" i="12"/>
  <c r="H11" i="12"/>
  <c r="F12" i="12"/>
  <c r="H12" i="12"/>
  <c r="F13" i="12"/>
  <c r="H13" i="12"/>
  <c r="F15" i="12"/>
  <c r="H15" i="12"/>
  <c r="F19" i="12"/>
  <c r="H19" i="12"/>
  <c r="F21" i="12"/>
  <c r="H21" i="12"/>
  <c r="F22" i="12"/>
  <c r="H22" i="12"/>
  <c r="F23" i="12"/>
  <c r="H23" i="12"/>
  <c r="F24" i="12"/>
  <c r="H24" i="12"/>
  <c r="F25" i="12"/>
  <c r="H25" i="12"/>
  <c r="F26" i="12"/>
  <c r="H26" i="12"/>
  <c r="F27" i="12"/>
  <c r="H27" i="12"/>
  <c r="F33" i="12"/>
  <c r="H33" i="12"/>
  <c r="F37" i="12"/>
  <c r="H37" i="12"/>
  <c r="F39" i="12"/>
  <c r="H39" i="12"/>
  <c r="F40" i="12"/>
  <c r="H40" i="12"/>
  <c r="H41" i="12"/>
  <c r="I41" i="12"/>
  <c r="J41" i="12"/>
  <c r="K41" i="12"/>
  <c r="L41" i="12"/>
  <c r="M41" i="12"/>
  <c r="N41" i="12"/>
  <c r="O41" i="12"/>
  <c r="P3" i="12"/>
  <c r="P4" i="12"/>
  <c r="P7" i="12"/>
  <c r="P8" i="12"/>
  <c r="P9" i="12"/>
  <c r="P11" i="12"/>
  <c r="P12" i="12"/>
  <c r="P13" i="12"/>
  <c r="P15" i="12"/>
  <c r="P19" i="12"/>
  <c r="P21" i="12"/>
  <c r="P22" i="12"/>
  <c r="P23" i="12"/>
  <c r="P24" i="12"/>
  <c r="P25" i="12"/>
  <c r="P26" i="12"/>
  <c r="P27" i="12"/>
  <c r="P33" i="12"/>
  <c r="P37" i="12"/>
  <c r="P39" i="12"/>
  <c r="P40" i="12"/>
  <c r="P41" i="12"/>
  <c r="Q3" i="12"/>
  <c r="Q4" i="12"/>
  <c r="Q7" i="12"/>
  <c r="Q8" i="12"/>
  <c r="Q9" i="12"/>
  <c r="Q11" i="12"/>
  <c r="Q12" i="12"/>
  <c r="Q13" i="12"/>
  <c r="Q15" i="12"/>
  <c r="Q19" i="12"/>
  <c r="Q21" i="12"/>
  <c r="Q22" i="12"/>
  <c r="Q23" i="12"/>
  <c r="Q24" i="12"/>
  <c r="Q25" i="12"/>
  <c r="Q26" i="12"/>
  <c r="Q27" i="12"/>
  <c r="Q33" i="12"/>
  <c r="Q37" i="12"/>
  <c r="Q39" i="12"/>
  <c r="Q40" i="12"/>
  <c r="Q41" i="12"/>
  <c r="R3" i="12"/>
  <c r="R4" i="12"/>
  <c r="R5" i="12"/>
  <c r="R7" i="12"/>
  <c r="R8" i="12"/>
  <c r="R9" i="12"/>
  <c r="R10" i="12"/>
  <c r="R11" i="12"/>
  <c r="R12" i="12"/>
  <c r="R13" i="12"/>
  <c r="R15" i="12"/>
  <c r="R17" i="12"/>
  <c r="R19" i="12"/>
  <c r="R21" i="12"/>
  <c r="R22" i="12"/>
  <c r="R23" i="12"/>
  <c r="R24" i="12"/>
  <c r="R25" i="12"/>
  <c r="R26" i="12"/>
  <c r="R27" i="12"/>
  <c r="R28" i="12"/>
  <c r="R31" i="12"/>
  <c r="R33" i="12"/>
  <c r="R34" i="12"/>
  <c r="R35" i="12"/>
  <c r="R37" i="12"/>
  <c r="R39" i="12"/>
  <c r="R40" i="12"/>
  <c r="R41" i="12"/>
  <c r="S3" i="12"/>
  <c r="S4" i="12"/>
  <c r="S5" i="12"/>
  <c r="S7" i="12"/>
  <c r="S8" i="12"/>
  <c r="S9" i="12"/>
  <c r="S10" i="12"/>
  <c r="S11" i="12"/>
  <c r="S12" i="12"/>
  <c r="S13" i="12"/>
  <c r="S15" i="12"/>
  <c r="S17" i="12"/>
  <c r="S19" i="12"/>
  <c r="S21" i="12"/>
  <c r="S22" i="12"/>
  <c r="S23" i="12"/>
  <c r="S24" i="12"/>
  <c r="S25" i="12"/>
  <c r="S26" i="12"/>
  <c r="S27" i="12"/>
  <c r="S28" i="12"/>
  <c r="S29" i="12"/>
  <c r="S31" i="12"/>
  <c r="S33" i="12"/>
  <c r="S34" i="12"/>
  <c r="S35" i="12"/>
  <c r="S37" i="12"/>
  <c r="S39" i="12"/>
  <c r="S40" i="12"/>
  <c r="S41" i="12"/>
  <c r="T3" i="12"/>
  <c r="T4" i="12"/>
  <c r="T7" i="12"/>
  <c r="T8" i="12"/>
  <c r="T9" i="12"/>
  <c r="T11" i="12"/>
  <c r="T12" i="12"/>
  <c r="T13" i="12"/>
  <c r="T15" i="12"/>
  <c r="T19" i="12"/>
  <c r="T21" i="12"/>
  <c r="T22" i="12"/>
  <c r="T23" i="12"/>
  <c r="T24" i="12"/>
  <c r="T25" i="12"/>
  <c r="T26" i="12"/>
  <c r="T27" i="12"/>
  <c r="T33" i="12"/>
  <c r="T37" i="12"/>
  <c r="T39" i="12"/>
  <c r="T40" i="12"/>
  <c r="T41" i="12"/>
  <c r="U41" i="12"/>
  <c r="V3" i="12"/>
  <c r="V4" i="12"/>
  <c r="V7" i="12"/>
  <c r="V8" i="12"/>
  <c r="V9" i="12"/>
  <c r="V11" i="12"/>
  <c r="V12" i="12"/>
  <c r="V13" i="12"/>
  <c r="V15" i="12"/>
  <c r="V19" i="12"/>
  <c r="V21" i="12"/>
  <c r="V22" i="12"/>
  <c r="V23" i="12"/>
  <c r="V24" i="12"/>
  <c r="V25" i="12"/>
  <c r="V26" i="12"/>
  <c r="V27" i="12"/>
  <c r="V33" i="12"/>
  <c r="V37" i="12"/>
  <c r="V39" i="12"/>
  <c r="V40" i="12"/>
  <c r="V41" i="12"/>
  <c r="W41" i="12"/>
  <c r="X41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23" i="12"/>
  <c r="Y25" i="12"/>
  <c r="Y26" i="12"/>
  <c r="Y27" i="12"/>
  <c r="Y28" i="12"/>
  <c r="Y29" i="12"/>
  <c r="Y30" i="12"/>
  <c r="Y31" i="12"/>
  <c r="Y33" i="12"/>
  <c r="Y35" i="12"/>
  <c r="Y36" i="12"/>
  <c r="Y37" i="12"/>
  <c r="Y39" i="12"/>
  <c r="Y40" i="12"/>
  <c r="Y41" i="12"/>
  <c r="Z41" i="12"/>
  <c r="AA41" i="12"/>
  <c r="AB3" i="12"/>
  <c r="AB7" i="12"/>
  <c r="AB8" i="12"/>
  <c r="AB9" i="12"/>
  <c r="F10" i="12"/>
  <c r="AB10" i="12"/>
  <c r="AB11" i="12"/>
  <c r="AB12" i="12"/>
  <c r="AB13" i="12"/>
  <c r="F14" i="12"/>
  <c r="AB14" i="12"/>
  <c r="AB15" i="12"/>
  <c r="F16" i="12"/>
  <c r="AB16" i="12"/>
  <c r="F17" i="12"/>
  <c r="AB17" i="12"/>
  <c r="F18" i="12"/>
  <c r="AB18" i="12"/>
  <c r="AB19" i="12"/>
  <c r="F20" i="12"/>
  <c r="AB20" i="12"/>
  <c r="AB21" i="12"/>
  <c r="AB22" i="12"/>
  <c r="AB23" i="12"/>
  <c r="AB24" i="12"/>
  <c r="AB25" i="12"/>
  <c r="AB26" i="12"/>
  <c r="AB27" i="12"/>
  <c r="F28" i="12"/>
  <c r="AB28" i="12"/>
  <c r="F29" i="12"/>
  <c r="AB29" i="12"/>
  <c r="F30" i="12"/>
  <c r="AB30" i="12"/>
  <c r="F31" i="12"/>
  <c r="AB31" i="12"/>
  <c r="F32" i="12"/>
  <c r="AB32" i="12"/>
  <c r="AB33" i="12"/>
  <c r="F34" i="12"/>
  <c r="AB34" i="12"/>
  <c r="F35" i="12"/>
  <c r="AB35" i="12"/>
  <c r="F36" i="12"/>
  <c r="AB36" i="12"/>
  <c r="AB37" i="12"/>
  <c r="F38" i="12"/>
  <c r="AB38" i="12"/>
  <c r="AB39" i="12"/>
  <c r="AB40" i="12"/>
  <c r="AB41" i="12"/>
  <c r="AC7" i="12"/>
  <c r="AC8" i="12"/>
  <c r="AC9" i="12"/>
  <c r="AC12" i="12"/>
  <c r="AC20" i="12"/>
  <c r="AC24" i="12"/>
  <c r="AC26" i="12"/>
  <c r="AC41" i="12"/>
  <c r="AD3" i="12"/>
  <c r="AD7" i="12"/>
  <c r="AD8" i="12"/>
  <c r="AD9" i="12"/>
  <c r="AD10" i="12"/>
  <c r="AD11" i="12"/>
  <c r="AD12" i="12"/>
  <c r="AD13" i="12"/>
  <c r="AD14" i="12"/>
  <c r="AD15" i="12"/>
  <c r="AD16" i="12"/>
  <c r="AD17" i="12"/>
  <c r="AD18" i="12"/>
  <c r="AD19" i="12"/>
  <c r="AD20" i="12"/>
  <c r="AD21" i="12"/>
  <c r="AD22" i="12"/>
  <c r="AD23" i="12"/>
  <c r="AD24" i="12"/>
  <c r="AD25" i="12"/>
  <c r="AD26" i="12"/>
  <c r="AD27" i="12"/>
  <c r="AD28" i="12"/>
  <c r="AD29" i="12"/>
  <c r="AD30" i="12"/>
  <c r="AD31" i="12"/>
  <c r="AD32" i="12"/>
  <c r="AD33" i="12"/>
  <c r="AD34" i="12"/>
  <c r="AD35" i="12"/>
  <c r="AD36" i="12"/>
  <c r="AD37" i="12"/>
  <c r="AD38" i="12"/>
  <c r="AD39" i="12"/>
  <c r="AD40" i="12"/>
  <c r="AD41" i="12"/>
  <c r="AE41" i="12"/>
  <c r="AF3" i="12"/>
  <c r="AF7" i="12"/>
  <c r="AF8" i="12"/>
  <c r="AF9" i="12"/>
  <c r="AF10" i="12"/>
  <c r="AF11" i="12"/>
  <c r="AF12" i="12"/>
  <c r="AF14" i="12"/>
  <c r="AF15" i="12"/>
  <c r="AF17" i="12"/>
  <c r="AF18" i="12"/>
  <c r="AF19" i="12"/>
  <c r="AF21" i="12"/>
  <c r="AF22" i="12"/>
  <c r="AF23" i="12"/>
  <c r="AF24" i="12"/>
  <c r="AF25" i="12"/>
  <c r="AF26" i="12"/>
  <c r="AF27" i="12"/>
  <c r="AF28" i="12"/>
  <c r="AF29" i="12"/>
  <c r="AF31" i="12"/>
  <c r="AF32" i="12"/>
  <c r="AF33" i="12"/>
  <c r="AF34" i="12"/>
  <c r="AF35" i="12"/>
  <c r="AF36" i="12"/>
  <c r="AF37" i="12"/>
  <c r="AF39" i="12"/>
  <c r="AF40" i="12"/>
  <c r="AF41" i="12"/>
  <c r="AG3" i="12"/>
  <c r="AG7" i="12"/>
  <c r="AG8" i="12"/>
  <c r="AG9" i="12"/>
  <c r="AG11" i="12"/>
  <c r="AG12" i="12"/>
  <c r="AG15" i="12"/>
  <c r="AG19" i="12"/>
  <c r="AG21" i="12"/>
  <c r="AG22" i="12"/>
  <c r="AG23" i="12"/>
  <c r="AG24" i="12"/>
  <c r="AG25" i="12"/>
  <c r="AG26" i="12"/>
  <c r="AG27" i="12"/>
  <c r="AG33" i="12"/>
  <c r="AG37" i="12"/>
  <c r="AG39" i="12"/>
  <c r="AG40" i="12"/>
  <c r="AG41" i="12"/>
  <c r="AH3" i="12"/>
  <c r="AH7" i="12"/>
  <c r="AH8" i="12"/>
  <c r="AH9" i="12"/>
  <c r="AH11" i="12"/>
  <c r="AH12" i="12"/>
  <c r="AH15" i="12"/>
  <c r="AH17" i="12"/>
  <c r="AH19" i="12"/>
  <c r="AH21" i="12"/>
  <c r="AH22" i="12"/>
  <c r="AH23" i="12"/>
  <c r="AH24" i="12"/>
  <c r="AH25" i="12"/>
  <c r="AH26" i="12"/>
  <c r="AH27" i="12"/>
  <c r="AH28" i="12"/>
  <c r="AH31" i="12"/>
  <c r="AH33" i="12"/>
  <c r="AH34" i="12"/>
  <c r="AH35" i="12"/>
  <c r="AH37" i="12"/>
  <c r="AH39" i="12"/>
  <c r="AH40" i="12"/>
  <c r="AH41" i="12"/>
  <c r="AI41" i="12"/>
  <c r="AJ41" i="12"/>
  <c r="AK7" i="12"/>
  <c r="AK8" i="12"/>
  <c r="AK9" i="12"/>
  <c r="AK10" i="12"/>
  <c r="AK11" i="12"/>
  <c r="AK12" i="12"/>
  <c r="AK13" i="12"/>
  <c r="AK14" i="12"/>
  <c r="AK15" i="12"/>
  <c r="AK16" i="12"/>
  <c r="AK17" i="12"/>
  <c r="AK18" i="12"/>
  <c r="AK19" i="12"/>
  <c r="AK20" i="12"/>
  <c r="AK21" i="12"/>
  <c r="AK22" i="12"/>
  <c r="AK25" i="12"/>
  <c r="AK26" i="12"/>
  <c r="AK27" i="12"/>
  <c r="AK28" i="12"/>
  <c r="AK29" i="12"/>
  <c r="AK30" i="12"/>
  <c r="AK31" i="12"/>
  <c r="AK32" i="12"/>
  <c r="AK33" i="12"/>
  <c r="AK34" i="12"/>
  <c r="AK35" i="12"/>
  <c r="AK36" i="12"/>
  <c r="AK37" i="12"/>
  <c r="AK38" i="12"/>
  <c r="AK39" i="12"/>
  <c r="AK40" i="12"/>
  <c r="AK41" i="12"/>
  <c r="AL7" i="12"/>
  <c r="AL8" i="12"/>
  <c r="AL9" i="12"/>
  <c r="AL10" i="12"/>
  <c r="AL11" i="12"/>
  <c r="AL12" i="12"/>
  <c r="AL14" i="12"/>
  <c r="AL15" i="12"/>
  <c r="AL16" i="12"/>
  <c r="AL17" i="12"/>
  <c r="AL18" i="12"/>
  <c r="AL19" i="12"/>
  <c r="AL20" i="12"/>
  <c r="AL21" i="12"/>
  <c r="AL22" i="12"/>
  <c r="AL25" i="12"/>
  <c r="AL26" i="12"/>
  <c r="AL27" i="12"/>
  <c r="AL28" i="12"/>
  <c r="AL29" i="12"/>
  <c r="AL30" i="12"/>
  <c r="AL31" i="12"/>
  <c r="AL32" i="12"/>
  <c r="AL33" i="12"/>
  <c r="AL34" i="12"/>
  <c r="AL35" i="12"/>
  <c r="AL36" i="12"/>
  <c r="AL37" i="12"/>
  <c r="AL38" i="12"/>
  <c r="AL39" i="12"/>
  <c r="AL40" i="12"/>
  <c r="AL41" i="12"/>
  <c r="AM7" i="12"/>
  <c r="AM8" i="12"/>
  <c r="AM9" i="12"/>
  <c r="AM11" i="12"/>
  <c r="AM12" i="12"/>
  <c r="AM13" i="12"/>
  <c r="AM15" i="12"/>
  <c r="AM17" i="12"/>
  <c r="AM19" i="12"/>
  <c r="AM21" i="12"/>
  <c r="AM22" i="12"/>
  <c r="AM25" i="12"/>
  <c r="AM26" i="12"/>
  <c r="AM27" i="12"/>
  <c r="AM28" i="12"/>
  <c r="AM31" i="12"/>
  <c r="AM33" i="12"/>
  <c r="AM34" i="12"/>
  <c r="AM35" i="12"/>
  <c r="AM37" i="12"/>
  <c r="AM39" i="12"/>
  <c r="AM40" i="12"/>
  <c r="AM41" i="12"/>
  <c r="AN7" i="12"/>
  <c r="AN8" i="12"/>
  <c r="AN9" i="12"/>
  <c r="AN10" i="12"/>
  <c r="AN11" i="12"/>
  <c r="AN12" i="12"/>
  <c r="AN13" i="12"/>
  <c r="AN14" i="12"/>
  <c r="AN15" i="12"/>
  <c r="AN17" i="12"/>
  <c r="AN18" i="12"/>
  <c r="AN19" i="12"/>
  <c r="AN21" i="12"/>
  <c r="AN22" i="12"/>
  <c r="AN25" i="12"/>
  <c r="AN26" i="12"/>
  <c r="AN27" i="12"/>
  <c r="AN28" i="12"/>
  <c r="AN29" i="12"/>
  <c r="AN31" i="12"/>
  <c r="AN32" i="12"/>
  <c r="AN33" i="12"/>
  <c r="AN34" i="12"/>
  <c r="AN35" i="12"/>
  <c r="AN36" i="12"/>
  <c r="AN37" i="12"/>
  <c r="AN39" i="12"/>
  <c r="AN40" i="12"/>
  <c r="AN41" i="12"/>
  <c r="AO7" i="12"/>
  <c r="AO8" i="12"/>
  <c r="AO9" i="12"/>
  <c r="AO10" i="12"/>
  <c r="AO11" i="12"/>
  <c r="AO12" i="12"/>
  <c r="AO13" i="12"/>
  <c r="AO14" i="12"/>
  <c r="AO15" i="12"/>
  <c r="AO16" i="12"/>
  <c r="AO17" i="12"/>
  <c r="AO18" i="12"/>
  <c r="AO19" i="12"/>
  <c r="AO20" i="12"/>
  <c r="AO21" i="12"/>
  <c r="AO22" i="12"/>
  <c r="AO25" i="12"/>
  <c r="AO26" i="12"/>
  <c r="AO27" i="12"/>
  <c r="AO28" i="12"/>
  <c r="AO29" i="12"/>
  <c r="AO30" i="12"/>
  <c r="AO31" i="12"/>
  <c r="AO32" i="12"/>
  <c r="AO33" i="12"/>
  <c r="AO34" i="12"/>
  <c r="AO35" i="12"/>
  <c r="AO36" i="12"/>
  <c r="AO37" i="12"/>
  <c r="AO38" i="12"/>
  <c r="AO39" i="12"/>
  <c r="AO40" i="12"/>
  <c r="AO41" i="12"/>
  <c r="AP41" i="12"/>
  <c r="AQ41" i="12"/>
  <c r="AR3" i="12"/>
  <c r="AR4" i="12"/>
  <c r="AR5" i="12"/>
  <c r="AR6" i="12"/>
  <c r="AR7" i="12"/>
  <c r="AR8" i="12"/>
  <c r="AR9" i="12"/>
  <c r="AR10" i="12"/>
  <c r="AR11" i="12"/>
  <c r="AR12" i="12"/>
  <c r="AR13" i="12"/>
  <c r="AR14" i="12"/>
  <c r="AR15" i="12"/>
  <c r="AR16" i="12"/>
  <c r="AR17" i="12"/>
  <c r="AR18" i="12"/>
  <c r="AR19" i="12"/>
  <c r="AR20" i="12"/>
  <c r="AR21" i="12"/>
  <c r="AR22" i="12"/>
  <c r="AR23" i="12"/>
  <c r="AR24" i="12"/>
  <c r="AR25" i="12"/>
  <c r="AR26" i="12"/>
  <c r="AR27" i="12"/>
  <c r="AR28" i="12"/>
  <c r="AR29" i="12"/>
  <c r="AR30" i="12"/>
  <c r="AR31" i="12"/>
  <c r="AR32" i="12"/>
  <c r="AR33" i="12"/>
  <c r="AR34" i="12"/>
  <c r="AR35" i="12"/>
  <c r="AR36" i="12"/>
  <c r="AR37" i="12"/>
  <c r="AR38" i="12"/>
  <c r="AR39" i="12"/>
  <c r="AR40" i="12"/>
  <c r="AR41" i="12"/>
  <c r="AS3" i="12"/>
  <c r="AS4" i="12"/>
  <c r="AS5" i="12"/>
  <c r="AS6" i="12"/>
  <c r="AS7" i="12"/>
  <c r="AS8" i="12"/>
  <c r="AS9" i="12"/>
  <c r="AS10" i="12"/>
  <c r="AS11" i="12"/>
  <c r="AS12" i="12"/>
  <c r="AS13" i="12"/>
  <c r="AS14" i="12"/>
  <c r="AS15" i="12"/>
  <c r="AS16" i="12"/>
  <c r="AS17" i="12"/>
  <c r="AS18" i="12"/>
  <c r="AS19" i="12"/>
  <c r="AS20" i="12"/>
  <c r="AS21" i="12"/>
  <c r="AS22" i="12"/>
  <c r="AS23" i="12"/>
  <c r="AS24" i="12"/>
  <c r="AS25" i="12"/>
  <c r="AS26" i="12"/>
  <c r="AS27" i="12"/>
  <c r="AS28" i="12"/>
  <c r="AS29" i="12"/>
  <c r="AS30" i="12"/>
  <c r="AS31" i="12"/>
  <c r="AS32" i="12"/>
  <c r="AS33" i="12"/>
  <c r="AS34" i="12"/>
  <c r="AS35" i="12"/>
  <c r="AS36" i="12"/>
  <c r="AS37" i="12"/>
  <c r="AS38" i="12"/>
  <c r="AS39" i="12"/>
  <c r="AS40" i="12"/>
  <c r="AS41" i="12"/>
  <c r="AT3" i="12"/>
  <c r="AT4" i="12"/>
  <c r="AT5" i="12"/>
  <c r="AT6" i="12"/>
  <c r="AT7" i="12"/>
  <c r="AT8" i="12"/>
  <c r="AT9" i="12"/>
  <c r="AT10" i="12"/>
  <c r="AT11" i="12"/>
  <c r="AT12" i="12"/>
  <c r="AT13" i="12"/>
  <c r="AT14" i="12"/>
  <c r="AT15" i="12"/>
  <c r="AT17" i="12"/>
  <c r="AT18" i="12"/>
  <c r="AT19" i="12"/>
  <c r="AT21" i="12"/>
  <c r="AT22" i="12"/>
  <c r="AT23" i="12"/>
  <c r="AT24" i="12"/>
  <c r="AT25" i="12"/>
  <c r="AT26" i="12"/>
  <c r="AT27" i="12"/>
  <c r="AT28" i="12"/>
  <c r="AT29" i="12"/>
  <c r="AT31" i="12"/>
  <c r="AT32" i="12"/>
  <c r="AT33" i="12"/>
  <c r="AT34" i="12"/>
  <c r="AT35" i="12"/>
  <c r="AT36" i="12"/>
  <c r="AT37" i="12"/>
  <c r="AT39" i="12"/>
  <c r="AT40" i="12"/>
  <c r="AT41" i="12"/>
  <c r="AU41" i="12"/>
  <c r="AV41" i="12"/>
  <c r="AW3" i="12"/>
  <c r="AW4" i="12"/>
  <c r="AW9" i="12"/>
  <c r="AW10" i="12"/>
  <c r="AW11" i="12"/>
  <c r="AW12" i="12"/>
  <c r="AW13" i="12"/>
  <c r="AW14" i="12"/>
  <c r="AW15" i="12"/>
  <c r="AW16" i="12"/>
  <c r="AW17" i="12"/>
  <c r="AW18" i="12"/>
  <c r="AW19" i="12"/>
  <c r="AW20" i="12"/>
  <c r="AW21" i="12"/>
  <c r="AW22" i="12"/>
  <c r="AW23" i="12"/>
  <c r="AW24" i="12"/>
  <c r="AW25" i="12"/>
  <c r="AW26" i="12"/>
  <c r="AW27" i="12"/>
  <c r="AW28" i="12"/>
  <c r="AW29" i="12"/>
  <c r="AW30" i="12"/>
  <c r="AW31" i="12"/>
  <c r="AW32" i="12"/>
  <c r="AW35" i="12"/>
  <c r="AW36" i="12"/>
  <c r="AW37" i="12"/>
  <c r="AW38" i="12"/>
  <c r="AW41" i="12"/>
  <c r="AX3" i="12"/>
  <c r="AX4" i="12"/>
  <c r="AX9" i="12"/>
  <c r="AX10" i="12"/>
  <c r="AX11" i="12"/>
  <c r="AX12" i="12"/>
  <c r="AX13" i="12"/>
  <c r="AX14" i="12"/>
  <c r="AX15" i="12"/>
  <c r="AX16" i="12"/>
  <c r="AX17" i="12"/>
  <c r="AX18" i="12"/>
  <c r="AX19" i="12"/>
  <c r="AX20" i="12"/>
  <c r="AX21" i="12"/>
  <c r="AX22" i="12"/>
  <c r="AX23" i="12"/>
  <c r="AX24" i="12"/>
  <c r="AX25" i="12"/>
  <c r="AX26" i="12"/>
  <c r="AX27" i="12"/>
  <c r="AX28" i="12"/>
  <c r="AX29" i="12"/>
  <c r="AX30" i="12"/>
  <c r="AX31" i="12"/>
  <c r="AX32" i="12"/>
  <c r="AX35" i="12"/>
  <c r="AX36" i="12"/>
  <c r="AX37" i="12"/>
  <c r="AX38" i="12"/>
  <c r="AX41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R42" i="12"/>
  <c r="AS42" i="12"/>
  <c r="AT42" i="12"/>
  <c r="AU42" i="12"/>
  <c r="AV42" i="12"/>
  <c r="AW42" i="12"/>
  <c r="AX42" i="12"/>
  <c r="F42" i="12"/>
  <c r="F5" i="15"/>
  <c r="F6" i="15"/>
  <c r="F7" i="15"/>
  <c r="F8" i="15"/>
  <c r="F11" i="15"/>
  <c r="F12" i="15"/>
  <c r="F13" i="15"/>
  <c r="F14" i="15"/>
  <c r="F15" i="15"/>
  <c r="F16" i="15"/>
  <c r="F17" i="15"/>
  <c r="F18" i="15"/>
  <c r="F21" i="15"/>
  <c r="F22" i="15"/>
  <c r="F23" i="15"/>
  <c r="F24" i="15"/>
  <c r="F25" i="15"/>
  <c r="F26" i="15"/>
  <c r="F33" i="15"/>
  <c r="F34" i="15"/>
  <c r="G26" i="16"/>
  <c r="H26" i="16"/>
  <c r="I26" i="16"/>
  <c r="J26" i="16"/>
  <c r="K26" i="16"/>
  <c r="L26" i="16"/>
  <c r="M26" i="16"/>
  <c r="N26" i="16"/>
  <c r="O26" i="16"/>
  <c r="P26" i="16"/>
  <c r="Q26" i="16"/>
  <c r="R26" i="16"/>
  <c r="S26" i="16"/>
  <c r="T26" i="16"/>
  <c r="U26" i="16"/>
  <c r="V26" i="16"/>
  <c r="W26" i="16"/>
  <c r="X26" i="16"/>
  <c r="Y26" i="16"/>
  <c r="Z26" i="16"/>
  <c r="AA26" i="16"/>
  <c r="AB26" i="16"/>
  <c r="AC26" i="16"/>
  <c r="AD26" i="16"/>
  <c r="AE26" i="16"/>
  <c r="AF26" i="16"/>
  <c r="AG26" i="16"/>
  <c r="AH26" i="16"/>
  <c r="AI26" i="16"/>
  <c r="AJ26" i="16"/>
  <c r="AK26" i="16"/>
  <c r="AL26" i="16"/>
  <c r="AM26" i="16"/>
  <c r="AN26" i="16"/>
  <c r="AO26" i="16"/>
  <c r="AP26" i="16"/>
  <c r="AQ26" i="16"/>
  <c r="AR26" i="16"/>
  <c r="AS26" i="16"/>
  <c r="AT26" i="16"/>
  <c r="AU26" i="16"/>
  <c r="AV26" i="16"/>
  <c r="AW26" i="16"/>
  <c r="AX26" i="16"/>
  <c r="G27" i="16"/>
  <c r="H27" i="16"/>
  <c r="I27" i="16"/>
  <c r="J27" i="16"/>
  <c r="K27" i="16"/>
  <c r="L27" i="16"/>
  <c r="M27" i="16"/>
  <c r="N27" i="16"/>
  <c r="O27" i="16"/>
  <c r="P27" i="16"/>
  <c r="Q27" i="16"/>
  <c r="R27" i="16"/>
  <c r="S27" i="16"/>
  <c r="T27" i="16"/>
  <c r="U27" i="16"/>
  <c r="V27" i="16"/>
  <c r="W27" i="16"/>
  <c r="X27" i="16"/>
  <c r="Y27" i="16"/>
  <c r="Z27" i="16"/>
  <c r="AA27" i="16"/>
  <c r="AB27" i="16"/>
  <c r="AC27" i="16"/>
  <c r="AD27" i="16"/>
  <c r="AE27" i="16"/>
  <c r="AF27" i="16"/>
  <c r="AG27" i="16"/>
  <c r="AH27" i="16"/>
  <c r="AI27" i="16"/>
  <c r="AJ27" i="16"/>
  <c r="AK27" i="16"/>
  <c r="AL27" i="16"/>
  <c r="AM27" i="16"/>
  <c r="AN27" i="16"/>
  <c r="AO27" i="16"/>
  <c r="AP27" i="16"/>
  <c r="AQ27" i="16"/>
  <c r="AR27" i="16"/>
  <c r="AS27" i="16"/>
  <c r="AT27" i="16"/>
  <c r="AU27" i="16"/>
  <c r="AV27" i="16"/>
  <c r="AW27" i="16"/>
  <c r="AX27" i="16"/>
  <c r="F27" i="16"/>
  <c r="F26" i="16"/>
  <c r="G24" i="9"/>
  <c r="H24" i="9"/>
  <c r="V24" i="9"/>
  <c r="P19" i="8"/>
  <c r="Q19" i="8"/>
  <c r="V10" i="17"/>
  <c r="V11" i="17"/>
  <c r="V12" i="17"/>
  <c r="V13" i="17"/>
  <c r="V14" i="17"/>
  <c r="V15" i="17"/>
  <c r="V17" i="17"/>
  <c r="V23" i="17"/>
  <c r="V24" i="17"/>
  <c r="V25" i="17"/>
  <c r="V27" i="17"/>
  <c r="V34" i="17"/>
  <c r="V35" i="17"/>
  <c r="V38" i="17"/>
  <c r="V41" i="17"/>
  <c r="V42" i="17"/>
  <c r="V44" i="17"/>
  <c r="V45" i="17"/>
  <c r="V46" i="17"/>
  <c r="V47" i="17"/>
  <c r="V48" i="17"/>
  <c r="V49" i="17"/>
  <c r="V50" i="17"/>
  <c r="V51" i="17"/>
  <c r="V52" i="17"/>
  <c r="V54" i="17"/>
  <c r="G10" i="17"/>
  <c r="O11" i="17"/>
  <c r="G11" i="17"/>
  <c r="O12" i="17"/>
  <c r="G12" i="17"/>
  <c r="G13" i="17"/>
  <c r="O14" i="17"/>
  <c r="G14" i="17"/>
  <c r="G15" i="17"/>
  <c r="G17" i="17"/>
  <c r="G23" i="17"/>
  <c r="G24" i="17"/>
  <c r="G25" i="17"/>
  <c r="G27" i="17"/>
  <c r="G34" i="17"/>
  <c r="G35" i="17"/>
  <c r="M38" i="17"/>
  <c r="O38" i="17"/>
  <c r="G38" i="17"/>
  <c r="O41" i="17"/>
  <c r="G41" i="17"/>
  <c r="G42" i="17"/>
  <c r="O44" i="17"/>
  <c r="G44" i="17"/>
  <c r="O45" i="17"/>
  <c r="G45" i="17"/>
  <c r="G46" i="17"/>
  <c r="O47" i="17"/>
  <c r="G47" i="17"/>
  <c r="G48" i="17"/>
  <c r="G49" i="17"/>
  <c r="G50" i="17"/>
  <c r="G51" i="17"/>
  <c r="O52" i="17"/>
  <c r="G52" i="17"/>
  <c r="G54" i="17"/>
  <c r="G56" i="17"/>
  <c r="F10" i="17"/>
  <c r="H10" i="17"/>
  <c r="F11" i="17"/>
  <c r="H11" i="17"/>
  <c r="F12" i="17"/>
  <c r="H12" i="17"/>
  <c r="F13" i="17"/>
  <c r="H13" i="17"/>
  <c r="F14" i="17"/>
  <c r="H14" i="17"/>
  <c r="F15" i="17"/>
  <c r="H15" i="17"/>
  <c r="F17" i="17"/>
  <c r="H17" i="17"/>
  <c r="F23" i="17"/>
  <c r="H23" i="17"/>
  <c r="F24" i="17"/>
  <c r="H24" i="17"/>
  <c r="F25" i="17"/>
  <c r="H25" i="17"/>
  <c r="F27" i="17"/>
  <c r="H27" i="17"/>
  <c r="F34" i="17"/>
  <c r="H34" i="17"/>
  <c r="F35" i="17"/>
  <c r="H35" i="17"/>
  <c r="F38" i="17"/>
  <c r="H38" i="17"/>
  <c r="F41" i="17"/>
  <c r="H41" i="17"/>
  <c r="F42" i="17"/>
  <c r="H42" i="17"/>
  <c r="F44" i="17"/>
  <c r="H44" i="17"/>
  <c r="F45" i="17"/>
  <c r="H45" i="17"/>
  <c r="F46" i="17"/>
  <c r="H46" i="17"/>
  <c r="F47" i="17"/>
  <c r="H47" i="17"/>
  <c r="F48" i="17"/>
  <c r="H48" i="17"/>
  <c r="F49" i="17"/>
  <c r="H49" i="17"/>
  <c r="F50" i="17"/>
  <c r="H50" i="17"/>
  <c r="F51" i="17"/>
  <c r="H51" i="17"/>
  <c r="F52" i="17"/>
  <c r="H52" i="17"/>
  <c r="F54" i="17"/>
  <c r="H54" i="17"/>
  <c r="H56" i="17"/>
  <c r="I56" i="17"/>
  <c r="J56" i="17"/>
  <c r="K56" i="17"/>
  <c r="L56" i="17"/>
  <c r="M56" i="17"/>
  <c r="N56" i="17"/>
  <c r="O56" i="17"/>
  <c r="P5" i="17"/>
  <c r="P6" i="17"/>
  <c r="P7" i="17"/>
  <c r="P8" i="17"/>
  <c r="P9" i="17"/>
  <c r="P10" i="17"/>
  <c r="P11" i="17"/>
  <c r="P12" i="17"/>
  <c r="P13" i="17"/>
  <c r="P14" i="17"/>
  <c r="P15" i="17"/>
  <c r="P17" i="17"/>
  <c r="P23" i="17"/>
  <c r="P24" i="17"/>
  <c r="P25" i="17"/>
  <c r="P27" i="17"/>
  <c r="P34" i="17"/>
  <c r="P35" i="17"/>
  <c r="P38" i="17"/>
  <c r="P41" i="17"/>
  <c r="P42" i="17"/>
  <c r="P44" i="17"/>
  <c r="P45" i="17"/>
  <c r="P46" i="17"/>
  <c r="P47" i="17"/>
  <c r="P48" i="17"/>
  <c r="P49" i="17"/>
  <c r="P50" i="17"/>
  <c r="P51" i="17"/>
  <c r="P52" i="17"/>
  <c r="P54" i="17"/>
  <c r="P56" i="17"/>
  <c r="Q5" i="17"/>
  <c r="Q6" i="17"/>
  <c r="Q7" i="17"/>
  <c r="Q8" i="17"/>
  <c r="Q9" i="17"/>
  <c r="Q10" i="17"/>
  <c r="Q11" i="17"/>
  <c r="Q12" i="17"/>
  <c r="Q13" i="17"/>
  <c r="Q14" i="17"/>
  <c r="Q15" i="17"/>
  <c r="Q17" i="17"/>
  <c r="Q23" i="17"/>
  <c r="Q24" i="17"/>
  <c r="Q25" i="17"/>
  <c r="Q27" i="17"/>
  <c r="Q34" i="17"/>
  <c r="Q35" i="17"/>
  <c r="Q38" i="17"/>
  <c r="Q41" i="17"/>
  <c r="Q42" i="17"/>
  <c r="Q44" i="17"/>
  <c r="Q45" i="17"/>
  <c r="Q46" i="17"/>
  <c r="Q47" i="17"/>
  <c r="Q48" i="17"/>
  <c r="Q49" i="17"/>
  <c r="Q50" i="17"/>
  <c r="Q51" i="17"/>
  <c r="Q52" i="17"/>
  <c r="Q54" i="17"/>
  <c r="Q56" i="17"/>
  <c r="R5" i="17"/>
  <c r="R6" i="17"/>
  <c r="R7" i="17"/>
  <c r="R8" i="17"/>
  <c r="R9" i="17"/>
  <c r="R10" i="17"/>
  <c r="R11" i="17"/>
  <c r="R12" i="17"/>
  <c r="R13" i="17"/>
  <c r="R14" i="17"/>
  <c r="R15" i="17"/>
  <c r="R16" i="17"/>
  <c r="R17" i="17"/>
  <c r="R18" i="17"/>
  <c r="R19" i="17"/>
  <c r="R20" i="17"/>
  <c r="R21" i="17"/>
  <c r="R22" i="17"/>
  <c r="R23" i="17"/>
  <c r="R24" i="17"/>
  <c r="R25" i="17"/>
  <c r="R26" i="17"/>
  <c r="R27" i="17"/>
  <c r="R28" i="17"/>
  <c r="R30" i="17"/>
  <c r="R31" i="17"/>
  <c r="R32" i="17"/>
  <c r="R34" i="17"/>
  <c r="R35" i="17"/>
  <c r="R37" i="17"/>
  <c r="R38" i="17"/>
  <c r="R41" i="17"/>
  <c r="R42" i="17"/>
  <c r="R43" i="17"/>
  <c r="R44" i="17"/>
  <c r="R45" i="17"/>
  <c r="R46" i="17"/>
  <c r="R47" i="17"/>
  <c r="R48" i="17"/>
  <c r="R49" i="17"/>
  <c r="R50" i="17"/>
  <c r="R51" i="17"/>
  <c r="R52" i="17"/>
  <c r="R54" i="17"/>
  <c r="R56" i="17"/>
  <c r="S5" i="17"/>
  <c r="S6" i="17"/>
  <c r="S7" i="17"/>
  <c r="S8" i="17"/>
  <c r="S9" i="17"/>
  <c r="S10" i="17"/>
  <c r="S11" i="17"/>
  <c r="S12" i="17"/>
  <c r="S13" i="17"/>
  <c r="S14" i="17"/>
  <c r="S15" i="17"/>
  <c r="S16" i="17"/>
  <c r="S17" i="17"/>
  <c r="S18" i="17"/>
  <c r="S19" i="17"/>
  <c r="S20" i="17"/>
  <c r="S21" i="17"/>
  <c r="S22" i="17"/>
  <c r="S23" i="17"/>
  <c r="S24" i="17"/>
  <c r="S25" i="17"/>
  <c r="S26" i="17"/>
  <c r="S27" i="17"/>
  <c r="S28" i="17"/>
  <c r="S29" i="17"/>
  <c r="S30" i="17"/>
  <c r="S31" i="17"/>
  <c r="S32" i="17"/>
  <c r="S34" i="17"/>
  <c r="S35" i="17"/>
  <c r="S37" i="17"/>
  <c r="S38" i="17"/>
  <c r="S40" i="17"/>
  <c r="S41" i="17"/>
  <c r="S42" i="17"/>
  <c r="S43" i="17"/>
  <c r="S44" i="17"/>
  <c r="S45" i="17"/>
  <c r="S46" i="17"/>
  <c r="S47" i="17"/>
  <c r="S48" i="17"/>
  <c r="S49" i="17"/>
  <c r="S50" i="17"/>
  <c r="S51" i="17"/>
  <c r="S52" i="17"/>
  <c r="S53" i="17"/>
  <c r="S54" i="17"/>
  <c r="S55" i="17"/>
  <c r="S56" i="17"/>
  <c r="T5" i="17"/>
  <c r="T6" i="17"/>
  <c r="T7" i="17"/>
  <c r="T8" i="17"/>
  <c r="T9" i="17"/>
  <c r="T10" i="17"/>
  <c r="T11" i="17"/>
  <c r="T12" i="17"/>
  <c r="T13" i="17"/>
  <c r="T14" i="17"/>
  <c r="T15" i="17"/>
  <c r="T17" i="17"/>
  <c r="T23" i="17"/>
  <c r="T24" i="17"/>
  <c r="T25" i="17"/>
  <c r="T27" i="17"/>
  <c r="T34" i="17"/>
  <c r="T35" i="17"/>
  <c r="T38" i="17"/>
  <c r="T41" i="17"/>
  <c r="T42" i="17"/>
  <c r="T44" i="17"/>
  <c r="T45" i="17"/>
  <c r="T46" i="17"/>
  <c r="T47" i="17"/>
  <c r="T48" i="17"/>
  <c r="T49" i="17"/>
  <c r="T50" i="17"/>
  <c r="T51" i="17"/>
  <c r="T52" i="17"/>
  <c r="T54" i="17"/>
  <c r="T56" i="17"/>
  <c r="U56" i="17"/>
  <c r="V56" i="17"/>
  <c r="W56" i="17"/>
  <c r="X56" i="17"/>
  <c r="Y3" i="17"/>
  <c r="Y9" i="17"/>
  <c r="Y10" i="17"/>
  <c r="Y11" i="17"/>
  <c r="Y12" i="17"/>
  <c r="Y13" i="17"/>
  <c r="Y14" i="17"/>
  <c r="Y16" i="17"/>
  <c r="Y18" i="17"/>
  <c r="Y19" i="17"/>
  <c r="Y20" i="17"/>
  <c r="Y21" i="17"/>
  <c r="Y22" i="17"/>
  <c r="Y23" i="17"/>
  <c r="Y24" i="17"/>
  <c r="Y25" i="17"/>
  <c r="Y26" i="17"/>
  <c r="Y27" i="17"/>
  <c r="Y30" i="17"/>
  <c r="Y32" i="17"/>
  <c r="Y34" i="17"/>
  <c r="Y35" i="17"/>
  <c r="Y36" i="17"/>
  <c r="Y38" i="17"/>
  <c r="Y39" i="17"/>
  <c r="Y40" i="17"/>
  <c r="Y42" i="17"/>
  <c r="Y43" i="17"/>
  <c r="Y44" i="17"/>
  <c r="Y45" i="17"/>
  <c r="Y46" i="17"/>
  <c r="Y47" i="17"/>
  <c r="Y48" i="17"/>
  <c r="Y49" i="17"/>
  <c r="Y50" i="17"/>
  <c r="Y51" i="17"/>
  <c r="Y52" i="17"/>
  <c r="Y53" i="17"/>
  <c r="Y54" i="17"/>
  <c r="Y55" i="17"/>
  <c r="Y56" i="17"/>
  <c r="Z56" i="17"/>
  <c r="AA56" i="17"/>
  <c r="AB4" i="17"/>
  <c r="AB9" i="17"/>
  <c r="AB10" i="17"/>
  <c r="AB11" i="17"/>
  <c r="AB12" i="17"/>
  <c r="AB13" i="17"/>
  <c r="AB14" i="17"/>
  <c r="AB15" i="17"/>
  <c r="F16" i="17"/>
  <c r="AB16" i="17"/>
  <c r="AB17" i="17"/>
  <c r="F18" i="17"/>
  <c r="AB18" i="17"/>
  <c r="F19" i="17"/>
  <c r="AB19" i="17"/>
  <c r="F20" i="17"/>
  <c r="AB20" i="17"/>
  <c r="F21" i="17"/>
  <c r="AB21" i="17"/>
  <c r="F22" i="17"/>
  <c r="AB22" i="17"/>
  <c r="AB23" i="17"/>
  <c r="AB24" i="17"/>
  <c r="AB25" i="17"/>
  <c r="F26" i="17"/>
  <c r="AB26" i="17"/>
  <c r="AB27" i="17"/>
  <c r="F28" i="17"/>
  <c r="AB28" i="17"/>
  <c r="F30" i="17"/>
  <c r="AB30" i="17"/>
  <c r="F32" i="17"/>
  <c r="AB32" i="17"/>
  <c r="F33" i="17"/>
  <c r="AB33" i="17"/>
  <c r="AB34" i="17"/>
  <c r="AB35" i="17"/>
  <c r="F36" i="17"/>
  <c r="AB36" i="17"/>
  <c r="F37" i="17"/>
  <c r="AB37" i="17"/>
  <c r="AB38" i="17"/>
  <c r="F39" i="17"/>
  <c r="AB39" i="17"/>
  <c r="F40" i="17"/>
  <c r="AB40" i="17"/>
  <c r="AB41" i="17"/>
  <c r="AB42" i="17"/>
  <c r="F43" i="17"/>
  <c r="AB43" i="17"/>
  <c r="AB44" i="17"/>
  <c r="AB45" i="17"/>
  <c r="AB46" i="17"/>
  <c r="AB47" i="17"/>
  <c r="AB48" i="17"/>
  <c r="AB49" i="17"/>
  <c r="AB50" i="17"/>
  <c r="AB51" i="17"/>
  <c r="AB52" i="17"/>
  <c r="F53" i="17"/>
  <c r="AB53" i="17"/>
  <c r="AB54" i="17"/>
  <c r="F55" i="17"/>
  <c r="AB55" i="17"/>
  <c r="AB56" i="17"/>
  <c r="AC42" i="17"/>
  <c r="AC43" i="17"/>
  <c r="AC56" i="17"/>
  <c r="AD3" i="17"/>
  <c r="AD4" i="17"/>
  <c r="AD9" i="17"/>
  <c r="AD10" i="17"/>
  <c r="AD11" i="17"/>
  <c r="AD12" i="17"/>
  <c r="AD13" i="17"/>
  <c r="AD14" i="17"/>
  <c r="AD15" i="17"/>
  <c r="AD16" i="17"/>
  <c r="AD17" i="17"/>
  <c r="AD18" i="17"/>
  <c r="AD19" i="17"/>
  <c r="AD20" i="17"/>
  <c r="AD21" i="17"/>
  <c r="AD22" i="17"/>
  <c r="AD23" i="17"/>
  <c r="AD24" i="17"/>
  <c r="AD25" i="17"/>
  <c r="AD26" i="17"/>
  <c r="AD27" i="17"/>
  <c r="AD28" i="17"/>
  <c r="AD30" i="17"/>
  <c r="AD32" i="17"/>
  <c r="AD34" i="17"/>
  <c r="AD35" i="17"/>
  <c r="AD36" i="17"/>
  <c r="AD37" i="17"/>
  <c r="AD38" i="17"/>
  <c r="AD39" i="17"/>
  <c r="AD40" i="17"/>
  <c r="AD41" i="17"/>
  <c r="AD42" i="17"/>
  <c r="AD43" i="17"/>
  <c r="AD44" i="17"/>
  <c r="AD45" i="17"/>
  <c r="AD46" i="17"/>
  <c r="AD47" i="17"/>
  <c r="AD48" i="17"/>
  <c r="AD49" i="17"/>
  <c r="AD50" i="17"/>
  <c r="AD51" i="17"/>
  <c r="AD52" i="17"/>
  <c r="AD53" i="17"/>
  <c r="AD54" i="17"/>
  <c r="AD55" i="17"/>
  <c r="AD56" i="17"/>
  <c r="AE56" i="17"/>
  <c r="AF9" i="17"/>
  <c r="AF34" i="17"/>
  <c r="AF35" i="17"/>
  <c r="AF37" i="17"/>
  <c r="AF38" i="17"/>
  <c r="AF40" i="17"/>
  <c r="AF41" i="17"/>
  <c r="AF42" i="17"/>
  <c r="AF43" i="17"/>
  <c r="AF44" i="17"/>
  <c r="AF45" i="17"/>
  <c r="AF46" i="17"/>
  <c r="AF47" i="17"/>
  <c r="AF48" i="17"/>
  <c r="AF49" i="17"/>
  <c r="AF50" i="17"/>
  <c r="AF51" i="17"/>
  <c r="AF52" i="17"/>
  <c r="AF53" i="17"/>
  <c r="AF54" i="17"/>
  <c r="AF55" i="17"/>
  <c r="AF56" i="17"/>
  <c r="AG9" i="17"/>
  <c r="AG34" i="17"/>
  <c r="AG35" i="17"/>
  <c r="AG38" i="17"/>
  <c r="AG41" i="17"/>
  <c r="AG42" i="17"/>
  <c r="AG44" i="17"/>
  <c r="AG45" i="17"/>
  <c r="AG46" i="17"/>
  <c r="AG47" i="17"/>
  <c r="AG48" i="17"/>
  <c r="AG49" i="17"/>
  <c r="AG50" i="17"/>
  <c r="AG51" i="17"/>
  <c r="AG52" i="17"/>
  <c r="AG54" i="17"/>
  <c r="AG56" i="17"/>
  <c r="AH9" i="17"/>
  <c r="AH34" i="17"/>
  <c r="AH35" i="17"/>
  <c r="AH37" i="17"/>
  <c r="AH38" i="17"/>
  <c r="AH41" i="17"/>
  <c r="AH42" i="17"/>
  <c r="AH43" i="17"/>
  <c r="AH44" i="17"/>
  <c r="AH45" i="17"/>
  <c r="AH46" i="17"/>
  <c r="AH47" i="17"/>
  <c r="AH48" i="17"/>
  <c r="AH49" i="17"/>
  <c r="AH50" i="17"/>
  <c r="AH51" i="17"/>
  <c r="AH52" i="17"/>
  <c r="AH54" i="17"/>
  <c r="AH56" i="17"/>
  <c r="AI56" i="17"/>
  <c r="AJ56" i="17"/>
  <c r="AK12" i="17"/>
  <c r="AK13" i="17"/>
  <c r="AK16" i="17"/>
  <c r="AK17" i="17"/>
  <c r="AK18" i="17"/>
  <c r="AK19" i="17"/>
  <c r="AK20" i="17"/>
  <c r="AK21" i="17"/>
  <c r="AK22" i="17"/>
  <c r="AK23" i="17"/>
  <c r="AK24" i="17"/>
  <c r="AK25" i="17"/>
  <c r="AK28" i="17"/>
  <c r="AK29" i="17"/>
  <c r="AK30" i="17"/>
  <c r="AK31" i="17"/>
  <c r="AK32" i="17"/>
  <c r="AK33" i="17"/>
  <c r="AK42" i="17"/>
  <c r="AK43" i="17"/>
  <c r="AK44" i="17"/>
  <c r="AK45" i="17"/>
  <c r="AK46" i="17"/>
  <c r="AK47" i="17"/>
  <c r="AK48" i="17"/>
  <c r="AK49" i="17"/>
  <c r="AK50" i="17"/>
  <c r="AK51" i="17"/>
  <c r="AK52" i="17"/>
  <c r="AK53" i="17"/>
  <c r="AK54" i="17"/>
  <c r="AK55" i="17"/>
  <c r="AK56" i="17"/>
  <c r="AL42" i="17"/>
  <c r="AL43" i="17"/>
  <c r="AL44" i="17"/>
  <c r="AL45" i="17"/>
  <c r="AL46" i="17"/>
  <c r="AL47" i="17"/>
  <c r="AL48" i="17"/>
  <c r="AL49" i="17"/>
  <c r="AL50" i="17"/>
  <c r="AL51" i="17"/>
  <c r="AL52" i="17"/>
  <c r="AL53" i="17"/>
  <c r="AL54" i="17"/>
  <c r="AL55" i="17"/>
  <c r="AL56" i="17"/>
  <c r="AM12" i="17"/>
  <c r="AM13" i="17"/>
  <c r="AM16" i="17"/>
  <c r="AM17" i="17"/>
  <c r="AM18" i="17"/>
  <c r="AM19" i="17"/>
  <c r="AM20" i="17"/>
  <c r="AM23" i="17"/>
  <c r="AM24" i="17"/>
  <c r="AM25" i="17"/>
  <c r="AM28" i="17"/>
  <c r="AM30" i="17"/>
  <c r="AM31" i="17"/>
  <c r="AM32" i="17"/>
  <c r="AM42" i="17"/>
  <c r="AM43" i="17"/>
  <c r="AM44" i="17"/>
  <c r="AM45" i="17"/>
  <c r="AM46" i="17"/>
  <c r="AM47" i="17"/>
  <c r="AM48" i="17"/>
  <c r="AM49" i="17"/>
  <c r="AM50" i="17"/>
  <c r="AM51" i="17"/>
  <c r="AM52" i="17"/>
  <c r="AM54" i="17"/>
  <c r="AM56" i="17"/>
  <c r="AN12" i="17"/>
  <c r="AN13" i="17"/>
  <c r="AN16" i="17"/>
  <c r="AN17" i="17"/>
  <c r="AN18" i="17"/>
  <c r="AN19" i="17"/>
  <c r="AN20" i="17"/>
  <c r="AN21" i="17"/>
  <c r="AN22" i="17"/>
  <c r="AN23" i="17"/>
  <c r="AN24" i="17"/>
  <c r="AN25" i="17"/>
  <c r="AN28" i="17"/>
  <c r="AN29" i="17"/>
  <c r="AN30" i="17"/>
  <c r="AN31" i="17"/>
  <c r="AN32" i="17"/>
  <c r="AN33" i="17"/>
  <c r="AN42" i="17"/>
  <c r="AN43" i="17"/>
  <c r="AN44" i="17"/>
  <c r="AN45" i="17"/>
  <c r="AN46" i="17"/>
  <c r="AN47" i="17"/>
  <c r="AN48" i="17"/>
  <c r="AN49" i="17"/>
  <c r="AN50" i="17"/>
  <c r="AN51" i="17"/>
  <c r="AN52" i="17"/>
  <c r="AN53" i="17"/>
  <c r="AN54" i="17"/>
  <c r="AN55" i="17"/>
  <c r="AN56" i="17"/>
  <c r="AO12" i="17"/>
  <c r="AO13" i="17"/>
  <c r="AO16" i="17"/>
  <c r="AO17" i="17"/>
  <c r="AO18" i="17"/>
  <c r="AO19" i="17"/>
  <c r="AO20" i="17"/>
  <c r="AO21" i="17"/>
  <c r="AO22" i="17"/>
  <c r="AO23" i="17"/>
  <c r="AO24" i="17"/>
  <c r="AO25" i="17"/>
  <c r="AO28" i="17"/>
  <c r="AO29" i="17"/>
  <c r="AO30" i="17"/>
  <c r="AO31" i="17"/>
  <c r="AO32" i="17"/>
  <c r="AO33" i="17"/>
  <c r="AO42" i="17"/>
  <c r="AO43" i="17"/>
  <c r="AO44" i="17"/>
  <c r="AO45" i="17"/>
  <c r="AO46" i="17"/>
  <c r="AO47" i="17"/>
  <c r="AO48" i="17"/>
  <c r="AO49" i="17"/>
  <c r="AO50" i="17"/>
  <c r="AO51" i="17"/>
  <c r="AO52" i="17"/>
  <c r="AO53" i="17"/>
  <c r="AO54" i="17"/>
  <c r="AO56" i="17"/>
  <c r="AP56" i="17"/>
  <c r="AQ56" i="17"/>
  <c r="AR3" i="17"/>
  <c r="AR4" i="17"/>
  <c r="AR9" i="17"/>
  <c r="AR10" i="17"/>
  <c r="AR11" i="17"/>
  <c r="AR12" i="17"/>
  <c r="AR13" i="17"/>
  <c r="AR14" i="17"/>
  <c r="AR15" i="17"/>
  <c r="AR16" i="17"/>
  <c r="AR17" i="17"/>
  <c r="AR18" i="17"/>
  <c r="AR19" i="17"/>
  <c r="AR20" i="17"/>
  <c r="AR21" i="17"/>
  <c r="AR22" i="17"/>
  <c r="AR23" i="17"/>
  <c r="AR24" i="17"/>
  <c r="AR25" i="17"/>
  <c r="AR26" i="17"/>
  <c r="AR27" i="17"/>
  <c r="AR28" i="17"/>
  <c r="F29" i="17"/>
  <c r="AR29" i="17"/>
  <c r="AR30" i="17"/>
  <c r="F31" i="17"/>
  <c r="AR31" i="17"/>
  <c r="AR32" i="17"/>
  <c r="AR33" i="17"/>
  <c r="AR34" i="17"/>
  <c r="AR35" i="17"/>
  <c r="AR36" i="17"/>
  <c r="AR37" i="17"/>
  <c r="AR38" i="17"/>
  <c r="AR39" i="17"/>
  <c r="AR40" i="17"/>
  <c r="AR41" i="17"/>
  <c r="AR42" i="17"/>
  <c r="AR43" i="17"/>
  <c r="AR44" i="17"/>
  <c r="AR45" i="17"/>
  <c r="AR46" i="17"/>
  <c r="AR47" i="17"/>
  <c r="AR48" i="17"/>
  <c r="AR49" i="17"/>
  <c r="AR50" i="17"/>
  <c r="AR51" i="17"/>
  <c r="AR52" i="17"/>
  <c r="AR53" i="17"/>
  <c r="AR54" i="17"/>
  <c r="AR56" i="17"/>
  <c r="AS4" i="17"/>
  <c r="AS10" i="17"/>
  <c r="AS11" i="17"/>
  <c r="AS12" i="17"/>
  <c r="AS13" i="17"/>
  <c r="AS14" i="17"/>
  <c r="AS15" i="17"/>
  <c r="AS16" i="17"/>
  <c r="AS17" i="17"/>
  <c r="AS18" i="17"/>
  <c r="AS19" i="17"/>
  <c r="AS20" i="17"/>
  <c r="AS21" i="17"/>
  <c r="AS22" i="17"/>
  <c r="AS23" i="17"/>
  <c r="AS24" i="17"/>
  <c r="AS25" i="17"/>
  <c r="AS26" i="17"/>
  <c r="AS27" i="17"/>
  <c r="AS28" i="17"/>
  <c r="AS29" i="17"/>
  <c r="AS30" i="17"/>
  <c r="AS31" i="17"/>
  <c r="AS32" i="17"/>
  <c r="AS33" i="17"/>
  <c r="AS34" i="17"/>
  <c r="AS35" i="17"/>
  <c r="AS36" i="17"/>
  <c r="AS37" i="17"/>
  <c r="AS38" i="17"/>
  <c r="AS39" i="17"/>
  <c r="AS40" i="17"/>
  <c r="AS41" i="17"/>
  <c r="AS42" i="17"/>
  <c r="AS43" i="17"/>
  <c r="AS44" i="17"/>
  <c r="AS45" i="17"/>
  <c r="AS46" i="17"/>
  <c r="AS47" i="17"/>
  <c r="AS48" i="17"/>
  <c r="AS49" i="17"/>
  <c r="AS50" i="17"/>
  <c r="AS51" i="17"/>
  <c r="AS52" i="17"/>
  <c r="AS53" i="17"/>
  <c r="AS54" i="17"/>
  <c r="AS56" i="17"/>
  <c r="AT6" i="17"/>
  <c r="AT9" i="17"/>
  <c r="AT10" i="17"/>
  <c r="AT11" i="17"/>
  <c r="AT12" i="17"/>
  <c r="AT13" i="17"/>
  <c r="AT14" i="17"/>
  <c r="AT15" i="17"/>
  <c r="AT16" i="17"/>
  <c r="AT17" i="17"/>
  <c r="AT18" i="17"/>
  <c r="AT19" i="17"/>
  <c r="AT20" i="17"/>
  <c r="AT21" i="17"/>
  <c r="AT22" i="17"/>
  <c r="AT23" i="17"/>
  <c r="AT24" i="17"/>
  <c r="AT25" i="17"/>
  <c r="AT26" i="17"/>
  <c r="AT27" i="17"/>
  <c r="AT28" i="17"/>
  <c r="AT29" i="17"/>
  <c r="AT30" i="17"/>
  <c r="AT31" i="17"/>
  <c r="AT32" i="17"/>
  <c r="AT33" i="17"/>
  <c r="AT34" i="17"/>
  <c r="AT35" i="17"/>
  <c r="AT37" i="17"/>
  <c r="AT38" i="17"/>
  <c r="AT40" i="17"/>
  <c r="AT41" i="17"/>
  <c r="AT42" i="17"/>
  <c r="AT43" i="17"/>
  <c r="AT44" i="17"/>
  <c r="AT45" i="17"/>
  <c r="AT46" i="17"/>
  <c r="AT47" i="17"/>
  <c r="AT48" i="17"/>
  <c r="AT49" i="17"/>
  <c r="AT50" i="17"/>
  <c r="AT51" i="17"/>
  <c r="AT52" i="17"/>
  <c r="AT53" i="17"/>
  <c r="AT54" i="17"/>
  <c r="AT56" i="17"/>
  <c r="AU56" i="17"/>
  <c r="AV56" i="17"/>
  <c r="AW16" i="17"/>
  <c r="AW17" i="17"/>
  <c r="AW18" i="17"/>
  <c r="AW19" i="17"/>
  <c r="AW22" i="17"/>
  <c r="AW23" i="17"/>
  <c r="AW30" i="17"/>
  <c r="AW31" i="17"/>
  <c r="AW32" i="17"/>
  <c r="AW33" i="17"/>
  <c r="AW36" i="17"/>
  <c r="AW37" i="17"/>
  <c r="AW40" i="17"/>
  <c r="AW41" i="17"/>
  <c r="AW42" i="17"/>
  <c r="AW43" i="17"/>
  <c r="AW44" i="17"/>
  <c r="AW45" i="17"/>
  <c r="AW46" i="17"/>
  <c r="AW47" i="17"/>
  <c r="AW48" i="17"/>
  <c r="AW49" i="17"/>
  <c r="AW50" i="17"/>
  <c r="AW51" i="17"/>
  <c r="AW54" i="17"/>
  <c r="AW55" i="17"/>
  <c r="AW56" i="17"/>
  <c r="AX10" i="17"/>
  <c r="AX11" i="17"/>
  <c r="AX12" i="17"/>
  <c r="AX13" i="17"/>
  <c r="AX14" i="17"/>
  <c r="AX15" i="17"/>
  <c r="AX16" i="17"/>
  <c r="AX17" i="17"/>
  <c r="AX18" i="17"/>
  <c r="AX19" i="17"/>
  <c r="AX20" i="17"/>
  <c r="AX21" i="17"/>
  <c r="AX22" i="17"/>
  <c r="AX23" i="17"/>
  <c r="AX28" i="17"/>
  <c r="AX29" i="17"/>
  <c r="AX30" i="17"/>
  <c r="AX31" i="17"/>
  <c r="AX32" i="17"/>
  <c r="AX33" i="17"/>
  <c r="AX34" i="17"/>
  <c r="AX35" i="17"/>
  <c r="AX36" i="17"/>
  <c r="AX37" i="17"/>
  <c r="AX38" i="17"/>
  <c r="AX39" i="17"/>
  <c r="AX40" i="17"/>
  <c r="AX41" i="17"/>
  <c r="AX42" i="17"/>
  <c r="AX43" i="17"/>
  <c r="AX44" i="17"/>
  <c r="AX45" i="17"/>
  <c r="AX46" i="17"/>
  <c r="AX47" i="17"/>
  <c r="AX48" i="17"/>
  <c r="AX49" i="17"/>
  <c r="AX50" i="17"/>
  <c r="AX51" i="17"/>
  <c r="AX54" i="17"/>
  <c r="AX56" i="17"/>
  <c r="AY56" i="17"/>
  <c r="AZ56" i="17"/>
  <c r="BA56" i="17"/>
  <c r="BB56" i="17"/>
  <c r="BC56" i="17"/>
  <c r="G57" i="17"/>
  <c r="H57" i="17"/>
  <c r="I57" i="17"/>
  <c r="J57" i="17"/>
  <c r="K57" i="17"/>
  <c r="L57" i="17"/>
  <c r="M57" i="17"/>
  <c r="N57" i="17"/>
  <c r="O57" i="17"/>
  <c r="P57" i="17"/>
  <c r="Q57" i="17"/>
  <c r="R57" i="17"/>
  <c r="S57" i="17"/>
  <c r="T57" i="17"/>
  <c r="U57" i="17"/>
  <c r="V57" i="17"/>
  <c r="W57" i="17"/>
  <c r="X57" i="17"/>
  <c r="Y57" i="17"/>
  <c r="Z57" i="17"/>
  <c r="AA57" i="17"/>
  <c r="AB57" i="17"/>
  <c r="AC57" i="17"/>
  <c r="AD57" i="17"/>
  <c r="AE57" i="17"/>
  <c r="AF57" i="17"/>
  <c r="AG57" i="17"/>
  <c r="AH57" i="17"/>
  <c r="AI57" i="17"/>
  <c r="AJ57" i="17"/>
  <c r="AK57" i="17"/>
  <c r="AL57" i="17"/>
  <c r="AM57" i="17"/>
  <c r="AN57" i="17"/>
  <c r="AO57" i="17"/>
  <c r="AP57" i="17"/>
  <c r="AQ57" i="17"/>
  <c r="AR57" i="17"/>
  <c r="AS57" i="17"/>
  <c r="AT57" i="17"/>
  <c r="AU57" i="17"/>
  <c r="AV57" i="17"/>
  <c r="AW57" i="17"/>
  <c r="AX57" i="17"/>
  <c r="AY57" i="17"/>
  <c r="AZ57" i="17"/>
  <c r="BA57" i="17"/>
  <c r="BB57" i="17"/>
  <c r="BC57" i="17"/>
  <c r="F57" i="17"/>
  <c r="F56" i="17"/>
  <c r="G4" i="11"/>
  <c r="V4" i="11"/>
  <c r="G10" i="11"/>
  <c r="V10" i="11"/>
  <c r="O5" i="11"/>
  <c r="G5" i="11"/>
  <c r="V5" i="11"/>
  <c r="O6" i="11"/>
  <c r="G6" i="11"/>
  <c r="V6" i="11"/>
  <c r="G7" i="11"/>
  <c r="V7" i="11"/>
  <c r="G8" i="11"/>
  <c r="V8" i="11"/>
  <c r="O11" i="11"/>
  <c r="G11" i="11"/>
  <c r="V11" i="11"/>
  <c r="G12" i="11"/>
  <c r="V12" i="11"/>
  <c r="G13" i="11"/>
  <c r="V13" i="11"/>
  <c r="O14" i="11"/>
  <c r="G14" i="11"/>
  <c r="V14" i="11"/>
  <c r="G15" i="11"/>
  <c r="V15" i="11"/>
  <c r="G17" i="11"/>
  <c r="V17" i="11"/>
  <c r="G18" i="11"/>
  <c r="V18" i="11"/>
  <c r="G19" i="11"/>
  <c r="V19" i="11"/>
  <c r="G20" i="11"/>
  <c r="V20" i="11"/>
  <c r="O22" i="11"/>
  <c r="G22" i="11"/>
  <c r="V22" i="11"/>
  <c r="G25" i="11"/>
  <c r="V25" i="11"/>
  <c r="G26" i="11"/>
  <c r="V26" i="11"/>
  <c r="G27" i="11"/>
  <c r="V27" i="11"/>
  <c r="G28" i="11"/>
  <c r="V28" i="11"/>
  <c r="G29" i="11"/>
  <c r="V29" i="11"/>
  <c r="G30" i="11"/>
  <c r="V30" i="11"/>
  <c r="O35" i="11"/>
  <c r="G35" i="11"/>
  <c r="V35" i="11"/>
  <c r="G36" i="11"/>
  <c r="V36" i="11"/>
  <c r="G37" i="11"/>
  <c r="V37" i="11"/>
  <c r="G38" i="11"/>
  <c r="V38" i="11"/>
  <c r="G40" i="11"/>
  <c r="V40" i="11"/>
  <c r="G42" i="11"/>
  <c r="V42" i="11"/>
  <c r="G43" i="11"/>
  <c r="V43" i="11"/>
  <c r="G45" i="11"/>
  <c r="V45" i="11"/>
  <c r="G46" i="11"/>
  <c r="V46" i="11"/>
  <c r="G47" i="11"/>
  <c r="V47" i="11"/>
  <c r="G48" i="11"/>
  <c r="V48" i="11"/>
  <c r="G50" i="11"/>
  <c r="V50" i="11"/>
  <c r="G51" i="11"/>
  <c r="V51" i="11"/>
  <c r="AO50" i="11"/>
  <c r="AN50" i="11"/>
  <c r="AM50" i="11"/>
  <c r="AL50" i="11"/>
  <c r="AK50" i="11"/>
  <c r="AO48" i="11"/>
  <c r="AN48" i="11"/>
  <c r="AM48" i="11"/>
  <c r="AL48" i="11"/>
  <c r="AK48" i="11"/>
  <c r="AO46" i="11"/>
  <c r="AN46" i="11"/>
  <c r="AM46" i="11"/>
  <c r="AL46" i="11"/>
  <c r="AK46" i="11"/>
  <c r="AO44" i="11"/>
  <c r="AN44" i="11"/>
  <c r="AM44" i="11"/>
  <c r="AL44" i="11"/>
  <c r="AK44" i="11"/>
  <c r="AO42" i="11"/>
  <c r="AN42" i="11"/>
  <c r="AM42" i="11"/>
  <c r="AL42" i="11"/>
  <c r="AK42" i="11"/>
  <c r="AO40" i="11"/>
  <c r="AN40" i="11"/>
  <c r="AL40" i="11"/>
  <c r="AK40" i="11"/>
  <c r="AO38" i="11"/>
  <c r="AN38" i="11"/>
  <c r="AM38" i="11"/>
  <c r="AL38" i="11"/>
  <c r="AK38" i="11"/>
  <c r="AO34" i="11"/>
  <c r="AN34" i="11"/>
  <c r="AM34" i="11"/>
  <c r="AL34" i="11"/>
  <c r="AK34" i="11"/>
  <c r="AO32" i="11"/>
  <c r="AN32" i="11"/>
  <c r="AM32" i="11"/>
  <c r="AL32" i="11"/>
  <c r="AK32" i="11"/>
  <c r="AO30" i="11"/>
  <c r="AN30" i="11"/>
  <c r="AM30" i="11"/>
  <c r="AK30" i="11"/>
  <c r="AO26" i="11"/>
  <c r="AN26" i="11"/>
  <c r="AM26" i="11"/>
  <c r="AL26" i="11"/>
  <c r="AK26" i="11"/>
  <c r="AO20" i="11"/>
  <c r="AN20" i="11"/>
  <c r="AM20" i="11"/>
  <c r="AL20" i="11"/>
  <c r="AK20" i="11"/>
  <c r="AZ53" i="11"/>
  <c r="AX4" i="11"/>
  <c r="AX10" i="11"/>
  <c r="AW10" i="11"/>
  <c r="AX6" i="11"/>
  <c r="AW6" i="11"/>
  <c r="AX12" i="11"/>
  <c r="AW12" i="11"/>
  <c r="AX14" i="11"/>
  <c r="AX16" i="11"/>
  <c r="AW16" i="11"/>
  <c r="AX18" i="11"/>
  <c r="AW18" i="11"/>
  <c r="AX22" i="11"/>
  <c r="AW22" i="11"/>
  <c r="AX26" i="11"/>
  <c r="AW26" i="11"/>
  <c r="AX28" i="11"/>
  <c r="AW28" i="11"/>
  <c r="AX30" i="11"/>
  <c r="AW30" i="11"/>
  <c r="AX32" i="11"/>
  <c r="AW32" i="11"/>
  <c r="AX34" i="11"/>
  <c r="AW34" i="11"/>
  <c r="AX36" i="11"/>
  <c r="AW36" i="11"/>
  <c r="AX44" i="11"/>
  <c r="AW44" i="11"/>
  <c r="G52" i="11"/>
  <c r="H4" i="11"/>
  <c r="F10" i="11"/>
  <c r="H10" i="11"/>
  <c r="H5" i="11"/>
  <c r="H6" i="11"/>
  <c r="H7" i="11"/>
  <c r="H8" i="11"/>
  <c r="H11" i="11"/>
  <c r="H12" i="11"/>
  <c r="H13" i="11"/>
  <c r="H14" i="11"/>
  <c r="H15" i="11"/>
  <c r="H17" i="11"/>
  <c r="H18" i="11"/>
  <c r="H19" i="11"/>
  <c r="H20" i="11"/>
  <c r="F22" i="11"/>
  <c r="H22" i="11"/>
  <c r="F25" i="11"/>
  <c r="H25" i="11"/>
  <c r="F26" i="11"/>
  <c r="H26" i="11"/>
  <c r="F27" i="11"/>
  <c r="H27" i="11"/>
  <c r="F28" i="11"/>
  <c r="H28" i="11"/>
  <c r="F29" i="11"/>
  <c r="H29" i="11"/>
  <c r="F30" i="11"/>
  <c r="H30" i="11"/>
  <c r="H35" i="11"/>
  <c r="H36" i="11"/>
  <c r="H37" i="11"/>
  <c r="H38" i="11"/>
  <c r="F40" i="11"/>
  <c r="H40" i="11"/>
  <c r="F42" i="11"/>
  <c r="H42" i="11"/>
  <c r="F43" i="11"/>
  <c r="H43" i="11"/>
  <c r="F45" i="11"/>
  <c r="H45" i="11"/>
  <c r="F46" i="11"/>
  <c r="H46" i="11"/>
  <c r="H47" i="11"/>
  <c r="H48" i="11"/>
  <c r="H50" i="11"/>
  <c r="H51" i="11"/>
  <c r="H52" i="11"/>
  <c r="I52" i="11"/>
  <c r="J52" i="11"/>
  <c r="K52" i="11"/>
  <c r="L52" i="11"/>
  <c r="M52" i="11"/>
  <c r="N52" i="11"/>
  <c r="O52" i="11"/>
  <c r="P4" i="11"/>
  <c r="P10" i="11"/>
  <c r="P5" i="11"/>
  <c r="P6" i="11"/>
  <c r="P7" i="11"/>
  <c r="P8" i="11"/>
  <c r="P11" i="11"/>
  <c r="P12" i="11"/>
  <c r="P13" i="11"/>
  <c r="P14" i="11"/>
  <c r="P15" i="11"/>
  <c r="P17" i="11"/>
  <c r="P18" i="11"/>
  <c r="P19" i="11"/>
  <c r="P20" i="11"/>
  <c r="P22" i="11"/>
  <c r="P25" i="11"/>
  <c r="P26" i="11"/>
  <c r="P27" i="11"/>
  <c r="P28" i="11"/>
  <c r="P29" i="11"/>
  <c r="P30" i="11"/>
  <c r="P35" i="11"/>
  <c r="P36" i="11"/>
  <c r="P37" i="11"/>
  <c r="P38" i="11"/>
  <c r="P40" i="11"/>
  <c r="P42" i="11"/>
  <c r="P43" i="11"/>
  <c r="P45" i="11"/>
  <c r="P46" i="11"/>
  <c r="P47" i="11"/>
  <c r="P48" i="11"/>
  <c r="P50" i="11"/>
  <c r="P51" i="11"/>
  <c r="P52" i="11"/>
  <c r="Q4" i="11"/>
  <c r="Q10" i="11"/>
  <c r="Q5" i="11"/>
  <c r="Q6" i="11"/>
  <c r="Q7" i="11"/>
  <c r="Q8" i="11"/>
  <c r="Q11" i="11"/>
  <c r="Q12" i="11"/>
  <c r="Q13" i="11"/>
  <c r="Q14" i="11"/>
  <c r="Q15" i="11"/>
  <c r="Q17" i="11"/>
  <c r="Q18" i="11"/>
  <c r="Q19" i="11"/>
  <c r="Q20" i="11"/>
  <c r="Q22" i="11"/>
  <c r="Q25" i="11"/>
  <c r="Q26" i="11"/>
  <c r="Q27" i="11"/>
  <c r="Q28" i="11"/>
  <c r="Q29" i="11"/>
  <c r="Q30" i="11"/>
  <c r="Q35" i="11"/>
  <c r="Q36" i="11"/>
  <c r="Q37" i="11"/>
  <c r="Q38" i="11"/>
  <c r="Q40" i="11"/>
  <c r="Q42" i="11"/>
  <c r="Q43" i="11"/>
  <c r="Q45" i="11"/>
  <c r="Q46" i="11"/>
  <c r="Q47" i="11"/>
  <c r="Q48" i="11"/>
  <c r="Q50" i="11"/>
  <c r="Q51" i="11"/>
  <c r="Q52" i="11"/>
  <c r="R3" i="11"/>
  <c r="R4" i="11"/>
  <c r="R9" i="11"/>
  <c r="R10" i="11"/>
  <c r="R5" i="11"/>
  <c r="R6" i="11"/>
  <c r="R7" i="11"/>
  <c r="R8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S3" i="11"/>
  <c r="S4" i="11"/>
  <c r="S9" i="11"/>
  <c r="S10" i="11"/>
  <c r="S5" i="11"/>
  <c r="S6" i="11"/>
  <c r="S7" i="11"/>
  <c r="S8" i="1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32" i="11"/>
  <c r="S33" i="11"/>
  <c r="S35" i="11"/>
  <c r="S36" i="11"/>
  <c r="S37" i="11"/>
  <c r="S38" i="11"/>
  <c r="S39" i="11"/>
  <c r="S40" i="11"/>
  <c r="S41" i="11"/>
  <c r="S42" i="11"/>
  <c r="S43" i="11"/>
  <c r="S44" i="11"/>
  <c r="S45" i="11"/>
  <c r="S46" i="11"/>
  <c r="S47" i="11"/>
  <c r="S48" i="11"/>
  <c r="S49" i="11"/>
  <c r="S50" i="11"/>
  <c r="S51" i="11"/>
  <c r="S52" i="11"/>
  <c r="T4" i="11"/>
  <c r="T10" i="11"/>
  <c r="T5" i="11"/>
  <c r="T6" i="11"/>
  <c r="T7" i="11"/>
  <c r="T8" i="11"/>
  <c r="T11" i="11"/>
  <c r="T12" i="11"/>
  <c r="T13" i="11"/>
  <c r="T14" i="11"/>
  <c r="T15" i="11"/>
  <c r="T17" i="11"/>
  <c r="T18" i="11"/>
  <c r="T19" i="11"/>
  <c r="T20" i="11"/>
  <c r="T22" i="11"/>
  <c r="T25" i="11"/>
  <c r="T26" i="11"/>
  <c r="T27" i="11"/>
  <c r="T28" i="11"/>
  <c r="T29" i="11"/>
  <c r="T30" i="11"/>
  <c r="T35" i="11"/>
  <c r="T36" i="11"/>
  <c r="T37" i="11"/>
  <c r="T38" i="11"/>
  <c r="T40" i="11"/>
  <c r="T42" i="11"/>
  <c r="T43" i="11"/>
  <c r="T45" i="11"/>
  <c r="T46" i="11"/>
  <c r="T47" i="11"/>
  <c r="T48" i="11"/>
  <c r="T50" i="11"/>
  <c r="T51" i="11"/>
  <c r="T52" i="11"/>
  <c r="U52" i="11"/>
  <c r="V52" i="11"/>
  <c r="W52" i="11"/>
  <c r="X52" i="11"/>
  <c r="Y3" i="11"/>
  <c r="Y4" i="11"/>
  <c r="Y9" i="11"/>
  <c r="Y5" i="11"/>
  <c r="Y6" i="11"/>
  <c r="Y11" i="11"/>
  <c r="Y12" i="11"/>
  <c r="Y13" i="11"/>
  <c r="Y15" i="11"/>
  <c r="Y16" i="11"/>
  <c r="Y17" i="11"/>
  <c r="Y18" i="11"/>
  <c r="Y19" i="11"/>
  <c r="Y21" i="11"/>
  <c r="Y22" i="11"/>
  <c r="Y23" i="11"/>
  <c r="Y24" i="11"/>
  <c r="Y25" i="11"/>
  <c r="Y26" i="11"/>
  <c r="Y27" i="11"/>
  <c r="Y28" i="11"/>
  <c r="Y29" i="11"/>
  <c r="Y30" i="11"/>
  <c r="Y31" i="11"/>
  <c r="Y32" i="11"/>
  <c r="Y33" i="11"/>
  <c r="Y34" i="11"/>
  <c r="Y35" i="11"/>
  <c r="Y36" i="11"/>
  <c r="Y37" i="11"/>
  <c r="Y38" i="11"/>
  <c r="Y39" i="11"/>
  <c r="Y40" i="11"/>
  <c r="Y41" i="11"/>
  <c r="Y42" i="11"/>
  <c r="Y43" i="11"/>
  <c r="Y44" i="11"/>
  <c r="Y45" i="11"/>
  <c r="Y46" i="11"/>
  <c r="Y47" i="11"/>
  <c r="Y49" i="11"/>
  <c r="Y51" i="11"/>
  <c r="Y52" i="11"/>
  <c r="Z52" i="11"/>
  <c r="AA52" i="11"/>
  <c r="AB3" i="11"/>
  <c r="AB4" i="11"/>
  <c r="F9" i="11"/>
  <c r="AB9" i="11"/>
  <c r="AB5" i="11"/>
  <c r="AB6" i="11"/>
  <c r="AB11" i="11"/>
  <c r="AB12" i="11"/>
  <c r="AB13" i="11"/>
  <c r="AB14" i="11"/>
  <c r="AB15" i="11"/>
  <c r="AB16" i="11"/>
  <c r="AB17" i="11"/>
  <c r="AB18" i="11"/>
  <c r="AB19" i="11"/>
  <c r="AB20" i="11"/>
  <c r="F21" i="11"/>
  <c r="AB21" i="11"/>
  <c r="AB22" i="11"/>
  <c r="F23" i="11"/>
  <c r="AB23" i="11"/>
  <c r="F24" i="11"/>
  <c r="AB24" i="11"/>
  <c r="AB25" i="11"/>
  <c r="AB26" i="11"/>
  <c r="AB27" i="11"/>
  <c r="AB28" i="11"/>
  <c r="AB29" i="11"/>
  <c r="F31" i="11"/>
  <c r="AB31" i="11"/>
  <c r="F32" i="11"/>
  <c r="AB32" i="11"/>
  <c r="F33" i="11"/>
  <c r="AB33" i="11"/>
  <c r="F34" i="11"/>
  <c r="AB34" i="11"/>
  <c r="AB35" i="11"/>
  <c r="AB36" i="11"/>
  <c r="AB37" i="11"/>
  <c r="AB38" i="11"/>
  <c r="F39" i="11"/>
  <c r="AB39" i="11"/>
  <c r="AB40" i="11"/>
  <c r="F41" i="11"/>
  <c r="AB41" i="11"/>
  <c r="AB42" i="11"/>
  <c r="AB43" i="11"/>
  <c r="F44" i="11"/>
  <c r="AB44" i="11"/>
  <c r="AB45" i="11"/>
  <c r="AB46" i="11"/>
  <c r="AB47" i="11"/>
  <c r="AB48" i="11"/>
  <c r="AB49" i="11"/>
  <c r="AB50" i="11"/>
  <c r="AB51" i="11"/>
  <c r="AB52" i="11"/>
  <c r="AC52" i="11"/>
  <c r="AD3" i="11"/>
  <c r="AD4" i="11"/>
  <c r="AD9" i="11"/>
  <c r="AD10" i="11"/>
  <c r="AD5" i="11"/>
  <c r="AD6" i="11"/>
  <c r="AD11" i="11"/>
  <c r="AD12" i="11"/>
  <c r="AD13" i="11"/>
  <c r="AD14" i="11"/>
  <c r="AD15" i="11"/>
  <c r="AD16" i="11"/>
  <c r="AD17" i="11"/>
  <c r="AD18" i="11"/>
  <c r="AD19" i="11"/>
  <c r="AD20" i="11"/>
  <c r="AD21" i="11"/>
  <c r="AD22" i="11"/>
  <c r="AD23" i="11"/>
  <c r="AD24" i="11"/>
  <c r="AD25" i="11"/>
  <c r="AD26" i="11"/>
  <c r="AD27" i="11"/>
  <c r="AD28" i="11"/>
  <c r="AD29" i="11"/>
  <c r="AD31" i="11"/>
  <c r="AD32" i="11"/>
  <c r="AD33" i="11"/>
  <c r="AD34" i="11"/>
  <c r="AD35" i="11"/>
  <c r="AD36" i="11"/>
  <c r="AD37" i="11"/>
  <c r="AD38" i="11"/>
  <c r="AD39" i="11"/>
  <c r="AD40" i="11"/>
  <c r="AD41" i="11"/>
  <c r="AD42" i="11"/>
  <c r="AD43" i="11"/>
  <c r="AD44" i="11"/>
  <c r="AD45" i="11"/>
  <c r="AD46" i="11"/>
  <c r="AD47" i="11"/>
  <c r="AD48" i="11"/>
  <c r="AD49" i="11"/>
  <c r="AD50" i="11"/>
  <c r="AD51" i="11"/>
  <c r="AD52" i="11"/>
  <c r="AE52" i="11"/>
  <c r="AF3" i="11"/>
  <c r="AF4" i="11"/>
  <c r="AF9" i="11"/>
  <c r="AF10" i="11"/>
  <c r="AF5" i="11"/>
  <c r="AF6" i="11"/>
  <c r="AF11" i="11"/>
  <c r="AF12" i="11"/>
  <c r="AF13" i="11"/>
  <c r="AF14" i="11"/>
  <c r="AF15" i="11"/>
  <c r="AF16" i="11"/>
  <c r="AF17" i="11"/>
  <c r="AF18" i="11"/>
  <c r="AF19" i="11"/>
  <c r="AF20" i="11"/>
  <c r="AF21" i="11"/>
  <c r="AF22" i="11"/>
  <c r="AF23" i="11"/>
  <c r="AF24" i="11"/>
  <c r="AF25" i="11"/>
  <c r="AF26" i="11"/>
  <c r="AF27" i="11"/>
  <c r="AF28" i="11"/>
  <c r="AF29" i="11"/>
  <c r="AF31" i="11"/>
  <c r="AF32" i="11"/>
  <c r="AF33" i="11"/>
  <c r="AF35" i="11"/>
  <c r="AF36" i="11"/>
  <c r="AF37" i="11"/>
  <c r="AF38" i="11"/>
  <c r="AF39" i="11"/>
  <c r="AF40" i="11"/>
  <c r="AF41" i="11"/>
  <c r="AF42" i="11"/>
  <c r="AF43" i="11"/>
  <c r="AF44" i="11"/>
  <c r="AF45" i="11"/>
  <c r="AF46" i="11"/>
  <c r="AF47" i="11"/>
  <c r="AF48" i="11"/>
  <c r="AF49" i="11"/>
  <c r="AF50" i="11"/>
  <c r="AF51" i="11"/>
  <c r="AF52" i="11"/>
  <c r="AG4" i="11"/>
  <c r="AG10" i="11"/>
  <c r="AG5" i="11"/>
  <c r="AG6" i="11"/>
  <c r="AG11" i="11"/>
  <c r="AG12" i="11"/>
  <c r="AG13" i="11"/>
  <c r="AG14" i="11"/>
  <c r="AG15" i="11"/>
  <c r="AG17" i="11"/>
  <c r="AG18" i="11"/>
  <c r="AG19" i="11"/>
  <c r="AG20" i="11"/>
  <c r="AG22" i="11"/>
  <c r="AG25" i="11"/>
  <c r="AG26" i="11"/>
  <c r="AG27" i="11"/>
  <c r="AG28" i="11"/>
  <c r="AG29" i="11"/>
  <c r="AG35" i="11"/>
  <c r="AG36" i="11"/>
  <c r="AG37" i="11"/>
  <c r="AG38" i="11"/>
  <c r="AG40" i="11"/>
  <c r="AG42" i="11"/>
  <c r="AG43" i="11"/>
  <c r="AG45" i="11"/>
  <c r="AG46" i="11"/>
  <c r="AG47" i="11"/>
  <c r="AG48" i="11"/>
  <c r="AG50" i="11"/>
  <c r="AG51" i="11"/>
  <c r="AG52" i="11"/>
  <c r="AH3" i="11"/>
  <c r="AH4" i="11"/>
  <c r="AH9" i="11"/>
  <c r="AH10" i="11"/>
  <c r="AH5" i="11"/>
  <c r="AH6" i="11"/>
  <c r="AH11" i="11"/>
  <c r="AH12" i="11"/>
  <c r="AH13" i="11"/>
  <c r="AH14" i="11"/>
  <c r="AH15" i="11"/>
  <c r="AH16" i="11"/>
  <c r="AH17" i="11"/>
  <c r="AH18" i="11"/>
  <c r="AH19" i="11"/>
  <c r="AH20" i="11"/>
  <c r="AH21" i="11"/>
  <c r="AH22" i="11"/>
  <c r="AH23" i="11"/>
  <c r="AH24" i="11"/>
  <c r="AH25" i="11"/>
  <c r="AH26" i="11"/>
  <c r="AH27" i="11"/>
  <c r="AH28" i="11"/>
  <c r="AH29" i="11"/>
  <c r="AH31" i="11"/>
  <c r="AH32" i="11"/>
  <c r="AH33" i="11"/>
  <c r="AH34" i="11"/>
  <c r="AH35" i="11"/>
  <c r="AH36" i="11"/>
  <c r="AH37" i="11"/>
  <c r="AH38" i="11"/>
  <c r="AH40" i="11"/>
  <c r="AH41" i="11"/>
  <c r="AH42" i="11"/>
  <c r="AH43" i="11"/>
  <c r="AH44" i="11"/>
  <c r="AH45" i="11"/>
  <c r="AH46" i="11"/>
  <c r="AH47" i="11"/>
  <c r="AH48" i="11"/>
  <c r="AH49" i="11"/>
  <c r="AH50" i="11"/>
  <c r="AH51" i="11"/>
  <c r="AH52" i="11"/>
  <c r="AI52" i="11"/>
  <c r="AJ52" i="11"/>
  <c r="AK11" i="11"/>
  <c r="AK12" i="11"/>
  <c r="AK13" i="11"/>
  <c r="AK14" i="11"/>
  <c r="AK15" i="11"/>
  <c r="AK16" i="11"/>
  <c r="AK17" i="11"/>
  <c r="AK18" i="11"/>
  <c r="AK19" i="11"/>
  <c r="AK25" i="11"/>
  <c r="AK29" i="11"/>
  <c r="AK31" i="11"/>
  <c r="AK33" i="11"/>
  <c r="AK37" i="11"/>
  <c r="AK39" i="11"/>
  <c r="AK41" i="11"/>
  <c r="AK43" i="11"/>
  <c r="AK45" i="11"/>
  <c r="AK47" i="11"/>
  <c r="AK49" i="11"/>
  <c r="AK51" i="11"/>
  <c r="AK52" i="11"/>
  <c r="AL11" i="11"/>
  <c r="AL12" i="11"/>
  <c r="AL13" i="11"/>
  <c r="AL14" i="11"/>
  <c r="AL15" i="11"/>
  <c r="AL16" i="11"/>
  <c r="AL17" i="11"/>
  <c r="AL18" i="11"/>
  <c r="AL19" i="11"/>
  <c r="AL25" i="11"/>
  <c r="AL29" i="11"/>
  <c r="AL31" i="11"/>
  <c r="AL33" i="11"/>
  <c r="AL37" i="11"/>
  <c r="AL39" i="11"/>
  <c r="AL41" i="11"/>
  <c r="AL43" i="11"/>
  <c r="AL45" i="11"/>
  <c r="AL47" i="11"/>
  <c r="AL49" i="11"/>
  <c r="AL51" i="11"/>
  <c r="AL52" i="11"/>
  <c r="AM11" i="11"/>
  <c r="AM12" i="11"/>
  <c r="AM13" i="11"/>
  <c r="AM14" i="11"/>
  <c r="AM15" i="11"/>
  <c r="AM16" i="11"/>
  <c r="AM17" i="11"/>
  <c r="AM18" i="11"/>
  <c r="AM19" i="11"/>
  <c r="AM25" i="11"/>
  <c r="AM29" i="11"/>
  <c r="AM31" i="11"/>
  <c r="AM33" i="11"/>
  <c r="AM37" i="11"/>
  <c r="AM41" i="11"/>
  <c r="AM43" i="11"/>
  <c r="AM45" i="11"/>
  <c r="AM47" i="11"/>
  <c r="AM49" i="11"/>
  <c r="AM51" i="11"/>
  <c r="AM52" i="11"/>
  <c r="AN11" i="11"/>
  <c r="AN12" i="11"/>
  <c r="AN13" i="11"/>
  <c r="AN14" i="11"/>
  <c r="AN15" i="11"/>
  <c r="AN16" i="11"/>
  <c r="AN17" i="11"/>
  <c r="AN18" i="11"/>
  <c r="AN19" i="11"/>
  <c r="AN25" i="11"/>
  <c r="AN29" i="11"/>
  <c r="AN31" i="11"/>
  <c r="AN33" i="11"/>
  <c r="AN37" i="11"/>
  <c r="AN39" i="11"/>
  <c r="AN41" i="11"/>
  <c r="AN43" i="11"/>
  <c r="AN45" i="11"/>
  <c r="AN47" i="11"/>
  <c r="AN49" i="11"/>
  <c r="AN51" i="11"/>
  <c r="AN52" i="11"/>
  <c r="AO11" i="11"/>
  <c r="AO12" i="11"/>
  <c r="AO13" i="11"/>
  <c r="AO14" i="11"/>
  <c r="AO15" i="11"/>
  <c r="AO16" i="11"/>
  <c r="AO17" i="11"/>
  <c r="AO18" i="11"/>
  <c r="AO19" i="11"/>
  <c r="AO25" i="11"/>
  <c r="AO29" i="11"/>
  <c r="AO31" i="11"/>
  <c r="AO33" i="11"/>
  <c r="AO37" i="11"/>
  <c r="AO39" i="11"/>
  <c r="AO41" i="11"/>
  <c r="AO43" i="11"/>
  <c r="AO45" i="11"/>
  <c r="AO47" i="11"/>
  <c r="AO49" i="11"/>
  <c r="AO51" i="11"/>
  <c r="AO52" i="11"/>
  <c r="AP52" i="11"/>
  <c r="AQ52" i="11"/>
  <c r="AR3" i="11"/>
  <c r="AR4" i="11"/>
  <c r="AR9" i="11"/>
  <c r="AR10" i="11"/>
  <c r="AR5" i="11"/>
  <c r="AR6" i="11"/>
  <c r="AR7" i="11"/>
  <c r="AR8" i="11"/>
  <c r="AR11" i="11"/>
  <c r="AR12" i="11"/>
  <c r="AR13" i="11"/>
  <c r="AR14" i="11"/>
  <c r="AR15" i="11"/>
  <c r="AR16" i="11"/>
  <c r="AR17" i="11"/>
  <c r="AR18" i="11"/>
  <c r="AR19" i="11"/>
  <c r="AR20" i="11"/>
  <c r="AR21" i="11"/>
  <c r="AR22" i="11"/>
  <c r="AR23" i="11"/>
  <c r="AR24" i="11"/>
  <c r="AR25" i="11"/>
  <c r="AR26" i="11"/>
  <c r="AR27" i="11"/>
  <c r="AR28" i="11"/>
  <c r="AR29" i="11"/>
  <c r="AR30" i="11"/>
  <c r="AR31" i="11"/>
  <c r="AR32" i="11"/>
  <c r="AR33" i="11"/>
  <c r="AR34" i="11"/>
  <c r="AR35" i="11"/>
  <c r="AR36" i="11"/>
  <c r="AR37" i="11"/>
  <c r="AR38" i="11"/>
  <c r="AR39" i="11"/>
  <c r="AR40" i="11"/>
  <c r="AR41" i="11"/>
  <c r="AR42" i="11"/>
  <c r="AR43" i="11"/>
  <c r="AR44" i="11"/>
  <c r="AR45" i="11"/>
  <c r="AR46" i="11"/>
  <c r="AR47" i="11"/>
  <c r="AR48" i="11"/>
  <c r="AR49" i="11"/>
  <c r="AR50" i="11"/>
  <c r="AR51" i="11"/>
  <c r="AR52" i="11"/>
  <c r="AS3" i="11"/>
  <c r="AS4" i="11"/>
  <c r="AS9" i="11"/>
  <c r="AS10" i="11"/>
  <c r="AS5" i="11"/>
  <c r="AS6" i="11"/>
  <c r="AS7" i="11"/>
  <c r="AS8" i="11"/>
  <c r="AS11" i="11"/>
  <c r="AS12" i="11"/>
  <c r="AS13" i="11"/>
  <c r="AS14" i="11"/>
  <c r="AS15" i="11"/>
  <c r="AS16" i="11"/>
  <c r="AS17" i="11"/>
  <c r="AS18" i="11"/>
  <c r="AS19" i="11"/>
  <c r="AS20" i="11"/>
  <c r="AS21" i="11"/>
  <c r="AS22" i="11"/>
  <c r="AS23" i="11"/>
  <c r="AS24" i="11"/>
  <c r="AS25" i="11"/>
  <c r="AS26" i="11"/>
  <c r="AS27" i="11"/>
  <c r="AS28" i="11"/>
  <c r="AS29" i="11"/>
  <c r="AS30" i="11"/>
  <c r="AS31" i="11"/>
  <c r="AS32" i="11"/>
  <c r="AS33" i="11"/>
  <c r="AS34" i="11"/>
  <c r="AS35" i="11"/>
  <c r="AS36" i="11"/>
  <c r="AS37" i="11"/>
  <c r="AS38" i="11"/>
  <c r="AS39" i="11"/>
  <c r="AS40" i="11"/>
  <c r="AS41" i="11"/>
  <c r="AS42" i="11"/>
  <c r="AS43" i="11"/>
  <c r="AS44" i="11"/>
  <c r="AS45" i="11"/>
  <c r="AS46" i="11"/>
  <c r="AS47" i="11"/>
  <c r="AS48" i="11"/>
  <c r="AS49" i="11"/>
  <c r="AS50" i="11"/>
  <c r="AS51" i="11"/>
  <c r="AS52" i="11"/>
  <c r="AT3" i="11"/>
  <c r="AT4" i="11"/>
  <c r="AT9" i="11"/>
  <c r="AT10" i="11"/>
  <c r="AT5" i="11"/>
  <c r="AT6" i="11"/>
  <c r="AT7" i="11"/>
  <c r="AT8" i="11"/>
  <c r="AT11" i="11"/>
  <c r="AT12" i="11"/>
  <c r="AT13" i="11"/>
  <c r="AT14" i="11"/>
  <c r="AT15" i="11"/>
  <c r="AT16" i="11"/>
  <c r="AT17" i="11"/>
  <c r="AT18" i="11"/>
  <c r="AT19" i="11"/>
  <c r="AT20" i="11"/>
  <c r="AT21" i="11"/>
  <c r="AT22" i="11"/>
  <c r="AT23" i="11"/>
  <c r="AT24" i="11"/>
  <c r="AT25" i="11"/>
  <c r="AT26" i="11"/>
  <c r="AT27" i="11"/>
  <c r="AT28" i="11"/>
  <c r="AT29" i="11"/>
  <c r="AT30" i="11"/>
  <c r="AT31" i="11"/>
  <c r="AT32" i="11"/>
  <c r="AT33" i="11"/>
  <c r="AT34" i="11"/>
  <c r="AT35" i="11"/>
  <c r="AT36" i="11"/>
  <c r="AT37" i="11"/>
  <c r="AT38" i="11"/>
  <c r="AT39" i="11"/>
  <c r="AT40" i="11"/>
  <c r="AT41" i="11"/>
  <c r="AT42" i="11"/>
  <c r="AT43" i="11"/>
  <c r="AT44" i="11"/>
  <c r="AT45" i="11"/>
  <c r="AT46" i="11"/>
  <c r="AT47" i="11"/>
  <c r="AT48" i="11"/>
  <c r="AT49" i="11"/>
  <c r="AT50" i="11"/>
  <c r="AT51" i="11"/>
  <c r="AT52" i="11"/>
  <c r="AU52" i="11"/>
  <c r="AV52" i="11"/>
  <c r="AW9" i="11"/>
  <c r="AW5" i="11"/>
  <c r="AW11" i="11"/>
  <c r="AW15" i="11"/>
  <c r="AW17" i="11"/>
  <c r="AW21" i="11"/>
  <c r="AW25" i="11"/>
  <c r="AW27" i="11"/>
  <c r="AW29" i="11"/>
  <c r="AW31" i="11"/>
  <c r="AW33" i="11"/>
  <c r="AW35" i="11"/>
  <c r="AW43" i="11"/>
  <c r="AW51" i="11"/>
  <c r="AW52" i="11"/>
  <c r="AX13" i="11"/>
  <c r="AX3" i="11"/>
  <c r="AX9" i="11"/>
  <c r="AX5" i="11"/>
  <c r="AX11" i="11"/>
  <c r="AX15" i="11"/>
  <c r="AX17" i="11"/>
  <c r="AX21" i="11"/>
  <c r="AX25" i="11"/>
  <c r="AX27" i="11"/>
  <c r="AX29" i="11"/>
  <c r="AX31" i="11"/>
  <c r="AX33" i="11"/>
  <c r="AX35" i="11"/>
  <c r="AX43" i="11"/>
  <c r="AX51" i="11"/>
  <c r="AX52" i="11"/>
  <c r="G53" i="11"/>
  <c r="H53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V53" i="11"/>
  <c r="W53" i="11"/>
  <c r="X53" i="11"/>
  <c r="Y53" i="11"/>
  <c r="Z53" i="11"/>
  <c r="AA53" i="11"/>
  <c r="AB53" i="11"/>
  <c r="AC53" i="11"/>
  <c r="AD53" i="11"/>
  <c r="AE53" i="11"/>
  <c r="AF53" i="11"/>
  <c r="AG53" i="11"/>
  <c r="AH53" i="11"/>
  <c r="AI53" i="11"/>
  <c r="AJ53" i="11"/>
  <c r="AK53" i="11"/>
  <c r="AL53" i="11"/>
  <c r="AM53" i="11"/>
  <c r="AN53" i="11"/>
  <c r="AO53" i="11"/>
  <c r="AP53" i="11"/>
  <c r="AQ53" i="11"/>
  <c r="AR53" i="11"/>
  <c r="AS53" i="11"/>
  <c r="AT53" i="11"/>
  <c r="AU53" i="11"/>
  <c r="AV53" i="11"/>
  <c r="AW53" i="11"/>
  <c r="AX53" i="11"/>
  <c r="F53" i="11"/>
  <c r="AZ41" i="12"/>
  <c r="AZ42" i="12"/>
  <c r="AX4" i="16"/>
  <c r="AF4" i="16"/>
  <c r="AF5" i="16"/>
  <c r="AF8" i="16"/>
  <c r="AF16" i="16"/>
  <c r="AF18" i="16"/>
  <c r="AF20" i="16"/>
  <c r="AF21" i="16"/>
  <c r="AF22" i="16"/>
  <c r="AF23" i="16"/>
  <c r="AF24" i="16"/>
  <c r="AF25" i="16"/>
  <c r="AF10" i="16"/>
  <c r="AF11" i="16"/>
  <c r="AF12" i="16"/>
  <c r="AF13" i="16"/>
  <c r="AF14" i="16"/>
  <c r="AF15" i="16"/>
  <c r="AN4" i="16"/>
  <c r="AN8" i="16"/>
  <c r="AN9" i="16"/>
  <c r="AN20" i="16"/>
  <c r="AN21" i="16"/>
  <c r="AN22" i="16"/>
  <c r="AN23" i="16"/>
  <c r="AN10" i="16"/>
  <c r="AN11" i="16"/>
  <c r="AN12" i="16"/>
  <c r="AN13" i="16"/>
  <c r="AX25" i="16"/>
  <c r="AW25" i="16"/>
  <c r="O5" i="16"/>
  <c r="G5" i="16"/>
  <c r="G6" i="16"/>
  <c r="O8" i="16"/>
  <c r="G8" i="16"/>
  <c r="O9" i="16"/>
  <c r="G9" i="16"/>
  <c r="G10" i="16"/>
  <c r="G11" i="16"/>
  <c r="G12" i="16"/>
  <c r="G13" i="16"/>
  <c r="G14" i="16"/>
  <c r="G15" i="16"/>
  <c r="G16" i="16"/>
  <c r="G18" i="16"/>
  <c r="O20" i="16"/>
  <c r="G20" i="16"/>
  <c r="O21" i="16"/>
  <c r="G21" i="16"/>
  <c r="G22" i="16"/>
  <c r="O23" i="16"/>
  <c r="G23" i="16"/>
  <c r="G24" i="16"/>
  <c r="O25" i="16"/>
  <c r="G25" i="16"/>
  <c r="H5" i="16"/>
  <c r="H6" i="16"/>
  <c r="F8" i="16"/>
  <c r="H8" i="16"/>
  <c r="F9" i="16"/>
  <c r="H9" i="16"/>
  <c r="H10" i="16"/>
  <c r="H11" i="16"/>
  <c r="H12" i="16"/>
  <c r="H13" i="16"/>
  <c r="H14" i="16"/>
  <c r="H15" i="16"/>
  <c r="H16" i="16"/>
  <c r="H18" i="16"/>
  <c r="F20" i="16"/>
  <c r="H20" i="16"/>
  <c r="F21" i="16"/>
  <c r="H21" i="16"/>
  <c r="F22" i="16"/>
  <c r="H22" i="16"/>
  <c r="F23" i="16"/>
  <c r="H23" i="16"/>
  <c r="F24" i="16"/>
  <c r="H24" i="16"/>
  <c r="F25" i="16"/>
  <c r="H25" i="16"/>
  <c r="P5" i="16"/>
  <c r="P6" i="16"/>
  <c r="P8" i="16"/>
  <c r="P9" i="16"/>
  <c r="P10" i="16"/>
  <c r="P11" i="16"/>
  <c r="P12" i="16"/>
  <c r="P13" i="16"/>
  <c r="P14" i="16"/>
  <c r="P15" i="16"/>
  <c r="P16" i="16"/>
  <c r="P18" i="16"/>
  <c r="P20" i="16"/>
  <c r="P21" i="16"/>
  <c r="P22" i="16"/>
  <c r="P23" i="16"/>
  <c r="P24" i="16"/>
  <c r="P25" i="16"/>
  <c r="Q5" i="16"/>
  <c r="Q6" i="16"/>
  <c r="Q8" i="16"/>
  <c r="Q9" i="16"/>
  <c r="Q10" i="16"/>
  <c r="Q11" i="16"/>
  <c r="Q12" i="16"/>
  <c r="Q13" i="16"/>
  <c r="Q14" i="16"/>
  <c r="Q15" i="16"/>
  <c r="Q16" i="16"/>
  <c r="Q18" i="16"/>
  <c r="Q20" i="16"/>
  <c r="Q21" i="16"/>
  <c r="Q22" i="16"/>
  <c r="Q23" i="16"/>
  <c r="Q24" i="16"/>
  <c r="Q25" i="16"/>
  <c r="R3" i="16"/>
  <c r="R4" i="16"/>
  <c r="R5" i="16"/>
  <c r="R6" i="16"/>
  <c r="R7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S3" i="16"/>
  <c r="S4" i="16"/>
  <c r="S5" i="16"/>
  <c r="S6" i="16"/>
  <c r="S7" i="16"/>
  <c r="S8" i="16"/>
  <c r="S9" i="16"/>
  <c r="S10" i="16"/>
  <c r="S11" i="16"/>
  <c r="S12" i="16"/>
  <c r="S13" i="16"/>
  <c r="S14" i="16"/>
  <c r="S15" i="16"/>
  <c r="S16" i="16"/>
  <c r="S17" i="16"/>
  <c r="S18" i="16"/>
  <c r="S19" i="16"/>
  <c r="S20" i="16"/>
  <c r="S21" i="16"/>
  <c r="S22" i="16"/>
  <c r="S23" i="16"/>
  <c r="S24" i="16"/>
  <c r="S25" i="16"/>
  <c r="T5" i="16"/>
  <c r="T6" i="16"/>
  <c r="T8" i="16"/>
  <c r="T9" i="16"/>
  <c r="T10" i="16"/>
  <c r="T11" i="16"/>
  <c r="T12" i="16"/>
  <c r="T13" i="16"/>
  <c r="T14" i="16"/>
  <c r="T15" i="16"/>
  <c r="T18" i="16"/>
  <c r="T20" i="16"/>
  <c r="T21" i="16"/>
  <c r="T22" i="16"/>
  <c r="T23" i="16"/>
  <c r="T24" i="16"/>
  <c r="T25" i="16"/>
  <c r="V5" i="16"/>
  <c r="V6" i="16"/>
  <c r="V12" i="16"/>
  <c r="V13" i="16"/>
  <c r="V14" i="16"/>
  <c r="V15" i="16"/>
  <c r="V16" i="16"/>
  <c r="V18" i="16"/>
  <c r="V20" i="16"/>
  <c r="V21" i="16"/>
  <c r="V24" i="16"/>
  <c r="V25" i="16"/>
  <c r="Y3" i="16"/>
  <c r="Y4" i="16"/>
  <c r="Y10" i="16"/>
  <c r="Y11" i="16"/>
  <c r="Y12" i="16"/>
  <c r="Y13" i="16"/>
  <c r="Y14" i="16"/>
  <c r="Y15" i="16"/>
  <c r="Y20" i="16"/>
  <c r="Y21" i="16"/>
  <c r="Y22" i="16"/>
  <c r="Y23" i="16"/>
  <c r="Y24" i="16"/>
  <c r="Y25" i="16"/>
  <c r="AB3" i="16"/>
  <c r="AB4" i="16"/>
  <c r="AB5" i="16"/>
  <c r="AB6" i="16"/>
  <c r="AB8" i="16"/>
  <c r="AB10" i="16"/>
  <c r="AB11" i="16"/>
  <c r="AB12" i="16"/>
  <c r="AB13" i="16"/>
  <c r="AB14" i="16"/>
  <c r="AB15" i="16"/>
  <c r="AB16" i="16"/>
  <c r="AB18" i="16"/>
  <c r="AB20" i="16"/>
  <c r="AB21" i="16"/>
  <c r="AB22" i="16"/>
  <c r="AB23" i="16"/>
  <c r="AB24" i="16"/>
  <c r="AB25" i="16"/>
  <c r="AD3" i="16"/>
  <c r="AD4" i="16"/>
  <c r="AD5" i="16"/>
  <c r="AD6" i="16"/>
  <c r="AD8" i="16"/>
  <c r="AD10" i="16"/>
  <c r="AD11" i="16"/>
  <c r="AD12" i="16"/>
  <c r="AD13" i="16"/>
  <c r="AD14" i="16"/>
  <c r="AD15" i="16"/>
  <c r="AD16" i="16"/>
  <c r="AD18" i="16"/>
  <c r="AD20" i="16"/>
  <c r="AD21" i="16"/>
  <c r="AD22" i="16"/>
  <c r="AD23" i="16"/>
  <c r="AD24" i="16"/>
  <c r="AD25" i="16"/>
  <c r="AF3" i="16"/>
  <c r="AG5" i="16"/>
  <c r="AG8" i="16"/>
  <c r="AG10" i="16"/>
  <c r="AG11" i="16"/>
  <c r="AG12" i="16"/>
  <c r="AG13" i="16"/>
  <c r="AG14" i="16"/>
  <c r="AG15" i="16"/>
  <c r="AG16" i="16"/>
  <c r="AG18" i="16"/>
  <c r="AG20" i="16"/>
  <c r="AG21" i="16"/>
  <c r="AG22" i="16"/>
  <c r="AG23" i="16"/>
  <c r="AG24" i="16"/>
  <c r="AG25" i="16"/>
  <c r="AH3" i="16"/>
  <c r="AH5" i="16"/>
  <c r="AH8" i="16"/>
  <c r="AH10" i="16"/>
  <c r="AH11" i="16"/>
  <c r="AH12" i="16"/>
  <c r="AH13" i="16"/>
  <c r="AH14" i="16"/>
  <c r="AH15" i="16"/>
  <c r="AH16" i="16"/>
  <c r="AH18" i="16"/>
  <c r="AH20" i="16"/>
  <c r="AH21" i="16"/>
  <c r="AH22" i="16"/>
  <c r="AH23" i="16"/>
  <c r="AH24" i="16"/>
  <c r="AH25" i="16"/>
  <c r="AK3" i="16"/>
  <c r="AK4" i="16"/>
  <c r="AK10" i="16"/>
  <c r="AK11" i="16"/>
  <c r="AK12" i="16"/>
  <c r="AK13" i="16"/>
  <c r="AK20" i="16"/>
  <c r="AK21" i="16"/>
  <c r="AK22" i="16"/>
  <c r="AK23" i="16"/>
  <c r="AL3" i="16"/>
  <c r="AL4" i="16"/>
  <c r="AL8" i="16"/>
  <c r="AL10" i="16"/>
  <c r="AL11" i="16"/>
  <c r="AL12" i="16"/>
  <c r="AL13" i="16"/>
  <c r="AL20" i="16"/>
  <c r="AL21" i="16"/>
  <c r="AL22" i="16"/>
  <c r="AL23" i="16"/>
  <c r="AM3" i="16"/>
  <c r="AM8" i="16"/>
  <c r="AM9" i="16"/>
  <c r="AM10" i="16"/>
  <c r="AM11" i="16"/>
  <c r="AM12" i="16"/>
  <c r="AM13" i="16"/>
  <c r="AM20" i="16"/>
  <c r="AM21" i="16"/>
  <c r="AM22" i="16"/>
  <c r="AM23" i="16"/>
  <c r="AN3" i="16"/>
  <c r="AO3" i="16"/>
  <c r="AO4" i="16"/>
  <c r="AO8" i="16"/>
  <c r="AO10" i="16"/>
  <c r="AO12" i="16"/>
  <c r="AO13" i="16"/>
  <c r="AO20" i="16"/>
  <c r="AO22" i="16"/>
  <c r="AO23" i="16"/>
  <c r="AR3" i="16"/>
  <c r="AR4" i="16"/>
  <c r="AR5" i="16"/>
  <c r="AR6" i="16"/>
  <c r="AR8" i="16"/>
  <c r="AR10" i="16"/>
  <c r="AR12" i="16"/>
  <c r="AR13" i="16"/>
  <c r="AR14" i="16"/>
  <c r="AR15" i="16"/>
  <c r="AR16" i="16"/>
  <c r="AR18" i="16"/>
  <c r="AR20" i="16"/>
  <c r="AR22" i="16"/>
  <c r="AR23" i="16"/>
  <c r="AR24" i="16"/>
  <c r="AR25" i="16"/>
  <c r="AS3" i="16"/>
  <c r="AS4" i="16"/>
  <c r="AS5" i="16"/>
  <c r="AS6" i="16"/>
  <c r="AS8" i="16"/>
  <c r="AS10" i="16"/>
  <c r="AS12" i="16"/>
  <c r="AS13" i="16"/>
  <c r="AS14" i="16"/>
  <c r="AS15" i="16"/>
  <c r="AS16" i="16"/>
  <c r="AS18" i="16"/>
  <c r="AS20" i="16"/>
  <c r="AS22" i="16"/>
  <c r="AS23" i="16"/>
  <c r="AS24" i="16"/>
  <c r="AS25" i="16"/>
  <c r="AT3" i="16"/>
  <c r="AT4" i="16"/>
  <c r="AT5" i="16"/>
  <c r="AT6" i="16"/>
  <c r="AT8" i="16"/>
  <c r="AT10" i="16"/>
  <c r="AT12" i="16"/>
  <c r="AT13" i="16"/>
  <c r="AT14" i="16"/>
  <c r="AT15" i="16"/>
  <c r="AT16" i="16"/>
  <c r="AT18" i="16"/>
  <c r="AT20" i="16"/>
  <c r="AT22" i="16"/>
  <c r="AT23" i="16"/>
  <c r="AT24" i="16"/>
  <c r="AT25" i="16"/>
  <c r="AW12" i="16"/>
  <c r="AW13" i="16"/>
  <c r="AW14" i="16"/>
  <c r="AW15" i="16"/>
  <c r="AW20" i="16"/>
  <c r="AW21" i="16"/>
  <c r="AW22" i="16"/>
  <c r="AW23" i="16"/>
  <c r="AW24" i="16"/>
  <c r="AX3" i="16"/>
  <c r="AX12" i="16"/>
  <c r="AX13" i="16"/>
  <c r="AX14" i="16"/>
  <c r="AX15" i="16"/>
  <c r="AX20" i="16"/>
  <c r="AX22" i="16"/>
  <c r="AX23" i="16"/>
  <c r="AX24" i="16"/>
  <c r="AX3" i="15"/>
  <c r="AX4" i="15"/>
  <c r="AX7" i="15"/>
  <c r="AX8" i="15"/>
  <c r="AX5" i="15"/>
  <c r="AX6" i="15"/>
  <c r="AX11" i="15"/>
  <c r="AX12" i="15"/>
  <c r="AX13" i="15"/>
  <c r="AX14" i="15"/>
  <c r="AX15" i="15"/>
  <c r="AX16" i="15"/>
  <c r="AX17" i="15"/>
  <c r="AX18" i="15"/>
  <c r="AX19" i="15"/>
  <c r="AX20" i="15"/>
  <c r="AX21" i="15"/>
  <c r="AX22" i="15"/>
  <c r="AX23" i="15"/>
  <c r="AX24" i="15"/>
  <c r="AX25" i="15"/>
  <c r="AX26" i="15"/>
  <c r="AX9" i="15"/>
  <c r="AX10" i="15"/>
  <c r="AX29" i="15"/>
  <c r="AX30" i="15"/>
  <c r="AX31" i="15"/>
  <c r="AX32" i="15"/>
  <c r="AX33" i="15"/>
  <c r="AX34" i="15"/>
  <c r="AW32" i="15"/>
  <c r="AW30" i="15"/>
  <c r="AW10" i="15"/>
  <c r="AW26" i="15"/>
  <c r="AW24" i="15"/>
  <c r="AW22" i="15"/>
  <c r="AW20" i="15"/>
  <c r="AW18" i="15"/>
  <c r="AW6" i="15"/>
  <c r="AW8" i="15"/>
  <c r="AW16" i="15"/>
  <c r="AW14" i="15"/>
  <c r="AW4" i="15"/>
  <c r="AN4" i="15"/>
  <c r="AN15" i="15"/>
  <c r="AN16" i="15"/>
  <c r="AN7" i="15"/>
  <c r="AN8" i="15"/>
  <c r="AN5" i="15"/>
  <c r="AN6" i="15"/>
  <c r="AN17" i="15"/>
  <c r="AN18" i="15"/>
  <c r="AN19" i="15"/>
  <c r="AN20" i="15"/>
  <c r="AN21" i="15"/>
  <c r="AN22" i="15"/>
  <c r="AN23" i="15"/>
  <c r="AN24" i="15"/>
  <c r="K25" i="15"/>
  <c r="AN25" i="15"/>
  <c r="AN26" i="15"/>
  <c r="AN9" i="15"/>
  <c r="AN10" i="15"/>
  <c r="AN27" i="15"/>
  <c r="AN28" i="15"/>
  <c r="AN29" i="15"/>
  <c r="AN30" i="15"/>
  <c r="AN31" i="15"/>
  <c r="AN32" i="15"/>
  <c r="AF11" i="15"/>
  <c r="AF13" i="15"/>
  <c r="AF14" i="15"/>
  <c r="AF15" i="15"/>
  <c r="AF7" i="15"/>
  <c r="AF8" i="15"/>
  <c r="AF5" i="15"/>
  <c r="AF6" i="15"/>
  <c r="AF17" i="15"/>
  <c r="AF18" i="15"/>
  <c r="AF19" i="15"/>
  <c r="AF20" i="15"/>
  <c r="AF21" i="15"/>
  <c r="AF22" i="15"/>
  <c r="AF23" i="15"/>
  <c r="AF24" i="15"/>
  <c r="AF25" i="15"/>
  <c r="AF26" i="15"/>
  <c r="AF9" i="15"/>
  <c r="AF10" i="15"/>
  <c r="AF27" i="15"/>
  <c r="AF28" i="15"/>
  <c r="AF29" i="15"/>
  <c r="AF30" i="15"/>
  <c r="AF31" i="15"/>
  <c r="AF32" i="15"/>
  <c r="AF3" i="15"/>
  <c r="AN3" i="15"/>
  <c r="AM32" i="15"/>
  <c r="AL32" i="15"/>
  <c r="AK32" i="15"/>
  <c r="AL29" i="15"/>
  <c r="AL30" i="15"/>
  <c r="AM30" i="15"/>
  <c r="AK30" i="15"/>
  <c r="AL28" i="15"/>
  <c r="AK28" i="15"/>
  <c r="AM10" i="15"/>
  <c r="AL10" i="15"/>
  <c r="AK10" i="15"/>
  <c r="G11" i="15"/>
  <c r="V11" i="15"/>
  <c r="G14" i="15"/>
  <c r="V14" i="15"/>
  <c r="O8" i="15"/>
  <c r="G8" i="15"/>
  <c r="V8" i="15"/>
  <c r="G5" i="15"/>
  <c r="V5" i="15"/>
  <c r="G6" i="15"/>
  <c r="V6" i="15"/>
  <c r="G19" i="15"/>
  <c r="V19" i="15"/>
  <c r="G20" i="15"/>
  <c r="V20" i="15"/>
  <c r="G21" i="15"/>
  <c r="V21" i="15"/>
  <c r="O22" i="15"/>
  <c r="G22" i="15"/>
  <c r="V22" i="15"/>
  <c r="O23" i="15"/>
  <c r="G23" i="15"/>
  <c r="V23" i="15"/>
  <c r="O24" i="15"/>
  <c r="G24" i="15"/>
  <c r="V24" i="15"/>
  <c r="G25" i="15"/>
  <c r="V25" i="15"/>
  <c r="G26" i="15"/>
  <c r="V26" i="15"/>
  <c r="G9" i="15"/>
  <c r="V9" i="15"/>
  <c r="G10" i="15"/>
  <c r="V10" i="15"/>
  <c r="O29" i="15"/>
  <c r="G29" i="15"/>
  <c r="V29" i="15"/>
  <c r="O30" i="15"/>
  <c r="G30" i="15"/>
  <c r="V30" i="15"/>
  <c r="O31" i="15"/>
  <c r="G31" i="15"/>
  <c r="V31" i="15"/>
  <c r="G32" i="15"/>
  <c r="V32" i="15"/>
  <c r="V33" i="15"/>
  <c r="V34" i="15"/>
  <c r="G18" i="15"/>
  <c r="G33" i="15"/>
  <c r="H11" i="15"/>
  <c r="H14" i="15"/>
  <c r="H8" i="15"/>
  <c r="H5" i="15"/>
  <c r="H6" i="15"/>
  <c r="H18" i="15"/>
  <c r="H19" i="15"/>
  <c r="H20" i="15"/>
  <c r="H21" i="15"/>
  <c r="H22" i="15"/>
  <c r="H23" i="15"/>
  <c r="H24" i="15"/>
  <c r="H25" i="15"/>
  <c r="H26" i="15"/>
  <c r="H9" i="15"/>
  <c r="H10" i="15"/>
  <c r="H29" i="15"/>
  <c r="H30" i="15"/>
  <c r="H31" i="15"/>
  <c r="H32" i="15"/>
  <c r="H33" i="15"/>
  <c r="I33" i="15"/>
  <c r="J33" i="15"/>
  <c r="K33" i="15"/>
  <c r="L33" i="15"/>
  <c r="M33" i="15"/>
  <c r="N33" i="15"/>
  <c r="O33" i="15"/>
  <c r="P11" i="15"/>
  <c r="P14" i="15"/>
  <c r="P8" i="15"/>
  <c r="P5" i="15"/>
  <c r="P6" i="15"/>
  <c r="P18" i="15"/>
  <c r="P19" i="15"/>
  <c r="P20" i="15"/>
  <c r="P21" i="15"/>
  <c r="P22" i="15"/>
  <c r="P23" i="15"/>
  <c r="P24" i="15"/>
  <c r="P25" i="15"/>
  <c r="P26" i="15"/>
  <c r="P9" i="15"/>
  <c r="P10" i="15"/>
  <c r="P29" i="15"/>
  <c r="P30" i="15"/>
  <c r="P31" i="15"/>
  <c r="P32" i="15"/>
  <c r="P33" i="15"/>
  <c r="Q11" i="15"/>
  <c r="Q14" i="15"/>
  <c r="Q8" i="15"/>
  <c r="Q5" i="15"/>
  <c r="Q6" i="15"/>
  <c r="Q18" i="15"/>
  <c r="Q19" i="15"/>
  <c r="Q20" i="15"/>
  <c r="Q21" i="15"/>
  <c r="Q22" i="15"/>
  <c r="Q23" i="15"/>
  <c r="Q24" i="15"/>
  <c r="Q25" i="15"/>
  <c r="Q26" i="15"/>
  <c r="Q9" i="15"/>
  <c r="Q10" i="15"/>
  <c r="Q29" i="15"/>
  <c r="Q30" i="15"/>
  <c r="Q31" i="15"/>
  <c r="Q32" i="15"/>
  <c r="Q33" i="15"/>
  <c r="R3" i="15"/>
  <c r="R4" i="15"/>
  <c r="R11" i="15"/>
  <c r="R12" i="15"/>
  <c r="R14" i="15"/>
  <c r="R15" i="15"/>
  <c r="R16" i="15"/>
  <c r="R7" i="15"/>
  <c r="R8" i="15"/>
  <c r="R5" i="15"/>
  <c r="R6" i="15"/>
  <c r="R17" i="15"/>
  <c r="R18" i="15"/>
  <c r="R19" i="15"/>
  <c r="R20" i="15"/>
  <c r="R21" i="15"/>
  <c r="R22" i="15"/>
  <c r="R23" i="15"/>
  <c r="R24" i="15"/>
  <c r="R25" i="15"/>
  <c r="R26" i="15"/>
  <c r="R9" i="15"/>
  <c r="R10" i="15"/>
  <c r="R27" i="15"/>
  <c r="R29" i="15"/>
  <c r="R30" i="15"/>
  <c r="R31" i="15"/>
  <c r="R32" i="15"/>
  <c r="R33" i="15"/>
  <c r="S3" i="15"/>
  <c r="S4" i="15"/>
  <c r="S11" i="15"/>
  <c r="S12" i="15"/>
  <c r="S13" i="15"/>
  <c r="S14" i="15"/>
  <c r="S15" i="15"/>
  <c r="S16" i="15"/>
  <c r="S7" i="15"/>
  <c r="S8" i="15"/>
  <c r="S5" i="15"/>
  <c r="S6" i="15"/>
  <c r="S17" i="15"/>
  <c r="S18" i="15"/>
  <c r="S19" i="15"/>
  <c r="S20" i="15"/>
  <c r="S21" i="15"/>
  <c r="S22" i="15"/>
  <c r="S23" i="15"/>
  <c r="S24" i="15"/>
  <c r="S25" i="15"/>
  <c r="S26" i="15"/>
  <c r="S9" i="15"/>
  <c r="S10" i="15"/>
  <c r="S27" i="15"/>
  <c r="S28" i="15"/>
  <c r="S29" i="15"/>
  <c r="S30" i="15"/>
  <c r="S31" i="15"/>
  <c r="S32" i="15"/>
  <c r="S33" i="15"/>
  <c r="T11" i="15"/>
  <c r="T14" i="15"/>
  <c r="T8" i="15"/>
  <c r="T5" i="15"/>
  <c r="T6" i="15"/>
  <c r="T18" i="15"/>
  <c r="T19" i="15"/>
  <c r="T20" i="15"/>
  <c r="T21" i="15"/>
  <c r="T22" i="15"/>
  <c r="T23" i="15"/>
  <c r="T24" i="15"/>
  <c r="T25" i="15"/>
  <c r="T26" i="15"/>
  <c r="T9" i="15"/>
  <c r="T10" i="15"/>
  <c r="T29" i="15"/>
  <c r="T30" i="15"/>
  <c r="T31" i="15"/>
  <c r="T32" i="15"/>
  <c r="T33" i="15"/>
  <c r="U33" i="15"/>
  <c r="W33" i="15"/>
  <c r="X33" i="15"/>
  <c r="Y3" i="15"/>
  <c r="Y4" i="15"/>
  <c r="Y11" i="15"/>
  <c r="Y12" i="15"/>
  <c r="Y13" i="15"/>
  <c r="Y14" i="15"/>
  <c r="Y15" i="15"/>
  <c r="Y16" i="15"/>
  <c r="Y7" i="15"/>
  <c r="Y5" i="15"/>
  <c r="Y6" i="15"/>
  <c r="Y17" i="15"/>
  <c r="Y18" i="15"/>
  <c r="Y19" i="15"/>
  <c r="Y20" i="15"/>
  <c r="Y21" i="15"/>
  <c r="Y22" i="15"/>
  <c r="Y23" i="15"/>
  <c r="Y25" i="15"/>
  <c r="Y26" i="15"/>
  <c r="Y9" i="15"/>
  <c r="Y10" i="15"/>
  <c r="Y27" i="15"/>
  <c r="Y33" i="15"/>
  <c r="Z33" i="15"/>
  <c r="AA33" i="15"/>
  <c r="AB3" i="15"/>
  <c r="AB11" i="15"/>
  <c r="AB13" i="15"/>
  <c r="AB14" i="15"/>
  <c r="AB15" i="15"/>
  <c r="AB7" i="15"/>
  <c r="AB8" i="15"/>
  <c r="AB5" i="15"/>
  <c r="AB6" i="15"/>
  <c r="AB17" i="15"/>
  <c r="AB18" i="15"/>
  <c r="AB19" i="15"/>
  <c r="AB20" i="15"/>
  <c r="AB21" i="15"/>
  <c r="AB22" i="15"/>
  <c r="AB23" i="15"/>
  <c r="AB24" i="15"/>
  <c r="AB25" i="15"/>
  <c r="AB26" i="15"/>
  <c r="AB9" i="15"/>
  <c r="AB10" i="15"/>
  <c r="AB27" i="15"/>
  <c r="AB28" i="15"/>
  <c r="AB29" i="15"/>
  <c r="AB30" i="15"/>
  <c r="AB31" i="15"/>
  <c r="AB32" i="15"/>
  <c r="AB33" i="15"/>
  <c r="AC33" i="15"/>
  <c r="AD3" i="15"/>
  <c r="AD11" i="15"/>
  <c r="AD13" i="15"/>
  <c r="AD14" i="15"/>
  <c r="AD15" i="15"/>
  <c r="AD7" i="15"/>
  <c r="AD8" i="15"/>
  <c r="AD5" i="15"/>
  <c r="AD6" i="15"/>
  <c r="AD17" i="15"/>
  <c r="AD18" i="15"/>
  <c r="AD19" i="15"/>
  <c r="AD20" i="15"/>
  <c r="AD21" i="15"/>
  <c r="AD22" i="15"/>
  <c r="AD23" i="15"/>
  <c r="AD24" i="15"/>
  <c r="AD25" i="15"/>
  <c r="AD26" i="15"/>
  <c r="AD9" i="15"/>
  <c r="AD10" i="15"/>
  <c r="AD27" i="15"/>
  <c r="AD28" i="15"/>
  <c r="AD29" i="15"/>
  <c r="AD30" i="15"/>
  <c r="AD31" i="15"/>
  <c r="AD32" i="15"/>
  <c r="AD33" i="15"/>
  <c r="AE33" i="15"/>
  <c r="AF33" i="15"/>
  <c r="AG11" i="15"/>
  <c r="AG14" i="15"/>
  <c r="AG8" i="15"/>
  <c r="AG5" i="15"/>
  <c r="AG6" i="15"/>
  <c r="AG18" i="15"/>
  <c r="AG19" i="15"/>
  <c r="AG20" i="15"/>
  <c r="AG21" i="15"/>
  <c r="AG22" i="15"/>
  <c r="AG23" i="15"/>
  <c r="AG24" i="15"/>
  <c r="AG25" i="15"/>
  <c r="AG26" i="15"/>
  <c r="AG9" i="15"/>
  <c r="AG10" i="15"/>
  <c r="AG29" i="15"/>
  <c r="AG30" i="15"/>
  <c r="AG31" i="15"/>
  <c r="AG32" i="15"/>
  <c r="AG33" i="15"/>
  <c r="AH3" i="15"/>
  <c r="AH11" i="15"/>
  <c r="AH14" i="15"/>
  <c r="AH7" i="15"/>
  <c r="AH8" i="15"/>
  <c r="AH5" i="15"/>
  <c r="AH6" i="15"/>
  <c r="AH17" i="15"/>
  <c r="AH18" i="15"/>
  <c r="AH19" i="15"/>
  <c r="AH20" i="15"/>
  <c r="AH21" i="15"/>
  <c r="AH22" i="15"/>
  <c r="AH23" i="15"/>
  <c r="AH24" i="15"/>
  <c r="AH25" i="15"/>
  <c r="AH26" i="15"/>
  <c r="AH9" i="15"/>
  <c r="AH10" i="15"/>
  <c r="AH27" i="15"/>
  <c r="AH29" i="15"/>
  <c r="AH30" i="15"/>
  <c r="AH31" i="15"/>
  <c r="AH32" i="15"/>
  <c r="AH33" i="15"/>
  <c r="AI33" i="15"/>
  <c r="AJ33" i="15"/>
  <c r="AK7" i="15"/>
  <c r="AK8" i="15"/>
  <c r="AK5" i="15"/>
  <c r="AK6" i="15"/>
  <c r="AK15" i="15"/>
  <c r="AK16" i="15"/>
  <c r="AK17" i="15"/>
  <c r="AK18" i="15"/>
  <c r="AK19" i="15"/>
  <c r="AK20" i="15"/>
  <c r="AK21" i="15"/>
  <c r="AK22" i="15"/>
  <c r="AK23" i="15"/>
  <c r="AK24" i="15"/>
  <c r="AK25" i="15"/>
  <c r="AK26" i="15"/>
  <c r="AK9" i="15"/>
  <c r="AK27" i="15"/>
  <c r="AK29" i="15"/>
  <c r="AK31" i="15"/>
  <c r="AK33" i="15"/>
  <c r="AL3" i="15"/>
  <c r="AL7" i="15"/>
  <c r="AL8" i="15"/>
  <c r="AL5" i="15"/>
  <c r="AL6" i="15"/>
  <c r="AL15" i="15"/>
  <c r="AL17" i="15"/>
  <c r="AL18" i="15"/>
  <c r="AL19" i="15"/>
  <c r="AL20" i="15"/>
  <c r="AL21" i="15"/>
  <c r="AL22" i="15"/>
  <c r="AL23" i="15"/>
  <c r="AL24" i="15"/>
  <c r="AL25" i="15"/>
  <c r="AL26" i="15"/>
  <c r="AL9" i="15"/>
  <c r="AL27" i="15"/>
  <c r="AL31" i="15"/>
  <c r="AL33" i="15"/>
  <c r="AM3" i="15"/>
  <c r="AM4" i="15"/>
  <c r="AM16" i="15"/>
  <c r="AM7" i="15"/>
  <c r="AM8" i="15"/>
  <c r="AM5" i="15"/>
  <c r="AM6" i="15"/>
  <c r="AM17" i="15"/>
  <c r="AM18" i="15"/>
  <c r="AM19" i="15"/>
  <c r="AM20" i="15"/>
  <c r="AM21" i="15"/>
  <c r="AM22" i="15"/>
  <c r="AM23" i="15"/>
  <c r="AM24" i="15"/>
  <c r="AM25" i="15"/>
  <c r="AM26" i="15"/>
  <c r="AM9" i="15"/>
  <c r="AM27" i="15"/>
  <c r="AM29" i="15"/>
  <c r="AM31" i="15"/>
  <c r="AM33" i="15"/>
  <c r="AN33" i="15"/>
  <c r="AO3" i="15"/>
  <c r="AO4" i="15"/>
  <c r="AO15" i="15"/>
  <c r="AO16" i="15"/>
  <c r="AO7" i="15"/>
  <c r="AO8" i="15"/>
  <c r="AO5" i="15"/>
  <c r="AO6" i="15"/>
  <c r="AO17" i="15"/>
  <c r="AO18" i="15"/>
  <c r="AO19" i="15"/>
  <c r="AO20" i="15"/>
  <c r="AO21" i="15"/>
  <c r="AO22" i="15"/>
  <c r="AO23" i="15"/>
  <c r="AO24" i="15"/>
  <c r="AO25" i="15"/>
  <c r="AO26" i="15"/>
  <c r="AO9" i="15"/>
  <c r="AO27" i="15"/>
  <c r="AO29" i="15"/>
  <c r="AO31" i="15"/>
  <c r="AO33" i="15"/>
  <c r="AP33" i="15"/>
  <c r="AQ33" i="15"/>
  <c r="AR3" i="15"/>
  <c r="AR4" i="15"/>
  <c r="AR11" i="15"/>
  <c r="AR12" i="15"/>
  <c r="AR13" i="15"/>
  <c r="AR14" i="15"/>
  <c r="AR15" i="15"/>
  <c r="AR16" i="15"/>
  <c r="AR7" i="15"/>
  <c r="AR8" i="15"/>
  <c r="AR5" i="15"/>
  <c r="AR6" i="15"/>
  <c r="AR17" i="15"/>
  <c r="AR18" i="15"/>
  <c r="AR19" i="15"/>
  <c r="AR20" i="15"/>
  <c r="AR21" i="15"/>
  <c r="AR22" i="15"/>
  <c r="AR23" i="15"/>
  <c r="AR24" i="15"/>
  <c r="AR25" i="15"/>
  <c r="AR26" i="15"/>
  <c r="AR9" i="15"/>
  <c r="AR10" i="15"/>
  <c r="AR27" i="15"/>
  <c r="AR28" i="15"/>
  <c r="AR29" i="15"/>
  <c r="AR30" i="15"/>
  <c r="AR31" i="15"/>
  <c r="AR32" i="15"/>
  <c r="AR33" i="15"/>
  <c r="AS3" i="15"/>
  <c r="AS4" i="15"/>
  <c r="AS11" i="15"/>
  <c r="AS12" i="15"/>
  <c r="AS13" i="15"/>
  <c r="AS14" i="15"/>
  <c r="AS15" i="15"/>
  <c r="AS16" i="15"/>
  <c r="AS7" i="15"/>
  <c r="AS8" i="15"/>
  <c r="AS5" i="15"/>
  <c r="AS6" i="15"/>
  <c r="AS17" i="15"/>
  <c r="AS18" i="15"/>
  <c r="AS19" i="15"/>
  <c r="AS20" i="15"/>
  <c r="AS21" i="15"/>
  <c r="AS22" i="15"/>
  <c r="AS23" i="15"/>
  <c r="AS24" i="15"/>
  <c r="AS25" i="15"/>
  <c r="AS26" i="15"/>
  <c r="AS9" i="15"/>
  <c r="AS10" i="15"/>
  <c r="AS27" i="15"/>
  <c r="AS28" i="15"/>
  <c r="AS29" i="15"/>
  <c r="AS30" i="15"/>
  <c r="AS31" i="15"/>
  <c r="AS32" i="15"/>
  <c r="AS33" i="15"/>
  <c r="AT3" i="15"/>
  <c r="AT4" i="15"/>
  <c r="AT11" i="15"/>
  <c r="AT12" i="15"/>
  <c r="AT13" i="15"/>
  <c r="AT14" i="15"/>
  <c r="AT15" i="15"/>
  <c r="AT16" i="15"/>
  <c r="AT7" i="15"/>
  <c r="AT8" i="15"/>
  <c r="AT5" i="15"/>
  <c r="AT6" i="15"/>
  <c r="AT17" i="15"/>
  <c r="AT18" i="15"/>
  <c r="AT19" i="15"/>
  <c r="AT20" i="15"/>
  <c r="AT21" i="15"/>
  <c r="AT22" i="15"/>
  <c r="AT23" i="15"/>
  <c r="AT24" i="15"/>
  <c r="AT25" i="15"/>
  <c r="AT26" i="15"/>
  <c r="AT9" i="15"/>
  <c r="AT10" i="15"/>
  <c r="AT27" i="15"/>
  <c r="AT28" i="15"/>
  <c r="AT29" i="15"/>
  <c r="AT30" i="15"/>
  <c r="AT31" i="15"/>
  <c r="AT32" i="15"/>
  <c r="AT33" i="15"/>
  <c r="AU33" i="15"/>
  <c r="AV33" i="15"/>
  <c r="AW3" i="15"/>
  <c r="AW13" i="15"/>
  <c r="AW15" i="15"/>
  <c r="AW7" i="15"/>
  <c r="AW5" i="15"/>
  <c r="AW17" i="15"/>
  <c r="AW19" i="15"/>
  <c r="AW21" i="15"/>
  <c r="AW23" i="15"/>
  <c r="AW25" i="15"/>
  <c r="AW9" i="15"/>
  <c r="AW29" i="15"/>
  <c r="AW31" i="15"/>
  <c r="AW33" i="15"/>
  <c r="AY33" i="15"/>
  <c r="AZ33" i="15"/>
  <c r="BA33" i="15"/>
  <c r="BB33" i="15"/>
  <c r="BC33" i="15"/>
  <c r="G34" i="15"/>
  <c r="H34" i="15"/>
  <c r="I34" i="15"/>
  <c r="J34" i="15"/>
  <c r="K34" i="15"/>
  <c r="L34" i="15"/>
  <c r="M34" i="15"/>
  <c r="N34" i="15"/>
  <c r="O34" i="15"/>
  <c r="P34" i="15"/>
  <c r="Q34" i="15"/>
  <c r="R34" i="15"/>
  <c r="S34" i="15"/>
  <c r="T34" i="15"/>
  <c r="U34" i="15"/>
  <c r="W34" i="15"/>
  <c r="X34" i="15"/>
  <c r="Y34" i="15"/>
  <c r="Z34" i="15"/>
  <c r="AA34" i="15"/>
  <c r="AB34" i="15"/>
  <c r="AC34" i="15"/>
  <c r="AD34" i="15"/>
  <c r="AE34" i="15"/>
  <c r="AF34" i="15"/>
  <c r="AG34" i="15"/>
  <c r="AH34" i="15"/>
  <c r="AI34" i="15"/>
  <c r="AJ34" i="15"/>
  <c r="AK34" i="15"/>
  <c r="AL34" i="15"/>
  <c r="AM34" i="15"/>
  <c r="AN34" i="15"/>
  <c r="AO34" i="15"/>
  <c r="AP34" i="15"/>
  <c r="AQ34" i="15"/>
  <c r="AR34" i="15"/>
  <c r="AS34" i="15"/>
  <c r="AT34" i="15"/>
  <c r="AU34" i="15"/>
  <c r="AV34" i="15"/>
  <c r="AW34" i="15"/>
  <c r="AY34" i="15"/>
  <c r="AZ34" i="15"/>
  <c r="BA34" i="15"/>
  <c r="BB34" i="15"/>
  <c r="BC34" i="15"/>
  <c r="V6" i="14"/>
  <c r="V8" i="14"/>
  <c r="V9" i="14"/>
  <c r="V11" i="14"/>
  <c r="V12" i="14"/>
  <c r="V13" i="14"/>
  <c r="V14" i="14"/>
  <c r="V15" i="14"/>
  <c r="V17" i="14"/>
  <c r="V19" i="14"/>
  <c r="V20" i="14"/>
  <c r="V21" i="14"/>
  <c r="V22" i="14"/>
  <c r="V23" i="14"/>
  <c r="V24" i="14"/>
  <c r="V25" i="14"/>
  <c r="V26" i="14"/>
  <c r="V27" i="14"/>
  <c r="V28" i="14"/>
  <c r="V30" i="14"/>
  <c r="V3" i="14"/>
  <c r="AM30" i="14"/>
  <c r="AO30" i="14"/>
  <c r="AN30" i="14"/>
  <c r="AL30" i="14"/>
  <c r="AK30" i="14"/>
  <c r="AO28" i="14"/>
  <c r="AN28" i="14"/>
  <c r="AM28" i="14"/>
  <c r="AL28" i="14"/>
  <c r="AK28" i="14"/>
  <c r="AO26" i="14"/>
  <c r="AN26" i="14"/>
  <c r="AM26" i="14"/>
  <c r="AK26" i="14"/>
  <c r="AO24" i="14"/>
  <c r="AN24" i="14"/>
  <c r="AM24" i="14"/>
  <c r="AL24" i="14"/>
  <c r="AK24" i="14"/>
  <c r="V31" i="14"/>
  <c r="V32" i="14"/>
  <c r="AN4" i="14"/>
  <c r="AN5" i="14"/>
  <c r="AN6" i="14"/>
  <c r="AN7" i="14"/>
  <c r="AN8" i="14"/>
  <c r="AN9" i="14"/>
  <c r="AN10" i="14"/>
  <c r="AN13" i="14"/>
  <c r="AN14" i="14"/>
  <c r="AN17" i="14"/>
  <c r="AN18" i="14"/>
  <c r="AN19" i="14"/>
  <c r="AN20" i="14"/>
  <c r="AN21" i="14"/>
  <c r="AN22" i="14"/>
  <c r="AN23" i="14"/>
  <c r="AN25" i="14"/>
  <c r="AN27" i="14"/>
  <c r="AN29" i="14"/>
  <c r="AF4" i="14"/>
  <c r="AF5" i="14"/>
  <c r="AF6" i="14"/>
  <c r="AF7" i="14"/>
  <c r="AF9" i="14"/>
  <c r="AF10" i="14"/>
  <c r="AF11" i="14"/>
  <c r="AF12" i="14"/>
  <c r="AF13" i="14"/>
  <c r="AF14" i="14"/>
  <c r="AF15" i="14"/>
  <c r="AF16" i="14"/>
  <c r="AF17" i="14"/>
  <c r="AF18" i="14"/>
  <c r="AF19" i="14"/>
  <c r="AF20" i="14"/>
  <c r="AF21" i="14"/>
  <c r="AF22" i="14"/>
  <c r="AF23" i="14"/>
  <c r="AF24" i="14"/>
  <c r="AF25" i="14"/>
  <c r="AF27" i="14"/>
  <c r="AF28" i="14"/>
  <c r="AF29" i="14"/>
  <c r="AF30" i="14"/>
  <c r="AF3" i="14"/>
  <c r="AN3" i="14"/>
  <c r="AX28" i="14"/>
  <c r="AW28" i="14"/>
  <c r="AX24" i="14"/>
  <c r="AW24" i="14"/>
  <c r="AX22" i="14"/>
  <c r="AW22" i="14"/>
  <c r="AX20" i="14"/>
  <c r="AW20" i="14"/>
  <c r="AX16" i="14"/>
  <c r="AW16" i="14"/>
  <c r="AX14" i="14"/>
  <c r="AW14" i="14"/>
  <c r="AX12" i="14"/>
  <c r="AW12" i="14"/>
  <c r="AX10" i="14"/>
  <c r="AW10" i="14"/>
  <c r="AX8" i="14"/>
  <c r="AW8" i="14"/>
  <c r="AX6" i="14"/>
  <c r="AW6" i="14"/>
  <c r="AX4" i="14"/>
  <c r="AW4" i="14"/>
  <c r="G3" i="14"/>
  <c r="G6" i="14"/>
  <c r="G8" i="14"/>
  <c r="O9" i="14"/>
  <c r="G9" i="14"/>
  <c r="O11" i="14"/>
  <c r="G11" i="14"/>
  <c r="G12" i="14"/>
  <c r="O13" i="14"/>
  <c r="G13" i="14"/>
  <c r="G14" i="14"/>
  <c r="G15" i="14"/>
  <c r="G17" i="14"/>
  <c r="G19" i="14"/>
  <c r="G20" i="14"/>
  <c r="G21" i="14"/>
  <c r="O22" i="14"/>
  <c r="G22" i="14"/>
  <c r="O23" i="14"/>
  <c r="G23" i="14"/>
  <c r="G24" i="14"/>
  <c r="G25" i="14"/>
  <c r="G26" i="14"/>
  <c r="G27" i="14"/>
  <c r="G28" i="14"/>
  <c r="O30" i="14"/>
  <c r="G30" i="14"/>
  <c r="G31" i="14"/>
  <c r="F3" i="14"/>
  <c r="H3" i="14"/>
  <c r="F6" i="14"/>
  <c r="H6" i="14"/>
  <c r="F8" i="14"/>
  <c r="H8" i="14"/>
  <c r="F9" i="14"/>
  <c r="H9" i="14"/>
  <c r="F11" i="14"/>
  <c r="H11" i="14"/>
  <c r="F12" i="14"/>
  <c r="H12" i="14"/>
  <c r="F13" i="14"/>
  <c r="H13" i="14"/>
  <c r="F14" i="14"/>
  <c r="H14" i="14"/>
  <c r="H15" i="14"/>
  <c r="F17" i="14"/>
  <c r="H17" i="14"/>
  <c r="F19" i="14"/>
  <c r="H19" i="14"/>
  <c r="F20" i="14"/>
  <c r="H20" i="14"/>
  <c r="F21" i="14"/>
  <c r="H21" i="14"/>
  <c r="F22" i="14"/>
  <c r="H22" i="14"/>
  <c r="F23" i="14"/>
  <c r="H23" i="14"/>
  <c r="F24" i="14"/>
  <c r="H24" i="14"/>
  <c r="F25" i="14"/>
  <c r="H25" i="14"/>
  <c r="F26" i="14"/>
  <c r="H26" i="14"/>
  <c r="F27" i="14"/>
  <c r="H27" i="14"/>
  <c r="F28" i="14"/>
  <c r="H28" i="14"/>
  <c r="F29" i="14"/>
  <c r="F30" i="14"/>
  <c r="H30" i="14"/>
  <c r="H31" i="14"/>
  <c r="I31" i="14"/>
  <c r="J31" i="14"/>
  <c r="K31" i="14"/>
  <c r="L31" i="14"/>
  <c r="M31" i="14"/>
  <c r="N31" i="14"/>
  <c r="O31" i="14"/>
  <c r="P3" i="14"/>
  <c r="P6" i="14"/>
  <c r="P8" i="14"/>
  <c r="P9" i="14"/>
  <c r="P11" i="14"/>
  <c r="P12" i="14"/>
  <c r="P13" i="14"/>
  <c r="P14" i="14"/>
  <c r="P15" i="14"/>
  <c r="P17" i="14"/>
  <c r="P19" i="14"/>
  <c r="P20" i="14"/>
  <c r="P21" i="14"/>
  <c r="P22" i="14"/>
  <c r="P23" i="14"/>
  <c r="P24" i="14"/>
  <c r="P25" i="14"/>
  <c r="P26" i="14"/>
  <c r="P27" i="14"/>
  <c r="P28" i="14"/>
  <c r="P30" i="14"/>
  <c r="P31" i="14"/>
  <c r="Q3" i="14"/>
  <c r="Q6" i="14"/>
  <c r="Q8" i="14"/>
  <c r="Q9" i="14"/>
  <c r="Q11" i="14"/>
  <c r="Q12" i="14"/>
  <c r="Q13" i="14"/>
  <c r="Q14" i="14"/>
  <c r="Q15" i="14"/>
  <c r="Q17" i="14"/>
  <c r="Q19" i="14"/>
  <c r="Q20" i="14"/>
  <c r="Q21" i="14"/>
  <c r="Q22" i="14"/>
  <c r="Q23" i="14"/>
  <c r="Q24" i="14"/>
  <c r="Q25" i="14"/>
  <c r="Q26" i="14"/>
  <c r="Q27" i="14"/>
  <c r="Q28" i="14"/>
  <c r="Q30" i="14"/>
  <c r="Q31" i="14"/>
  <c r="R3" i="14"/>
  <c r="R4" i="14"/>
  <c r="R5" i="14"/>
  <c r="R6" i="14"/>
  <c r="R7" i="14"/>
  <c r="R8" i="14"/>
  <c r="R9" i="14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S3" i="14"/>
  <c r="S4" i="14"/>
  <c r="S5" i="14"/>
  <c r="S6" i="14"/>
  <c r="S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T3" i="14"/>
  <c r="T6" i="14"/>
  <c r="T8" i="14"/>
  <c r="T9" i="14"/>
  <c r="T11" i="14"/>
  <c r="T12" i="14"/>
  <c r="T13" i="14"/>
  <c r="T14" i="14"/>
  <c r="T15" i="14"/>
  <c r="T17" i="14"/>
  <c r="T19" i="14"/>
  <c r="T20" i="14"/>
  <c r="T21" i="14"/>
  <c r="T22" i="14"/>
  <c r="T23" i="14"/>
  <c r="T24" i="14"/>
  <c r="T25" i="14"/>
  <c r="T26" i="14"/>
  <c r="T27" i="14"/>
  <c r="T28" i="14"/>
  <c r="T30" i="14"/>
  <c r="T31" i="14"/>
  <c r="U31" i="14"/>
  <c r="W31" i="14"/>
  <c r="X31" i="14"/>
  <c r="Y3" i="14"/>
  <c r="Y4" i="14"/>
  <c r="Y5" i="14"/>
  <c r="Y6" i="14"/>
  <c r="Y10" i="14"/>
  <c r="Y11" i="14"/>
  <c r="Y13" i="14"/>
  <c r="Y15" i="14"/>
  <c r="Y16" i="14"/>
  <c r="Y17" i="14"/>
  <c r="Y18" i="14"/>
  <c r="Y19" i="14"/>
  <c r="Y20" i="14"/>
  <c r="Y21" i="14"/>
  <c r="Y22" i="14"/>
  <c r="Y23" i="14"/>
  <c r="Y24" i="14"/>
  <c r="Y25" i="14"/>
  <c r="Y26" i="14"/>
  <c r="Y27" i="14"/>
  <c r="Y28" i="14"/>
  <c r="Y29" i="14"/>
  <c r="Y30" i="14"/>
  <c r="Y31" i="14"/>
  <c r="Z31" i="14"/>
  <c r="AA31" i="14"/>
  <c r="AB3" i="14"/>
  <c r="F4" i="14"/>
  <c r="AB4" i="14"/>
  <c r="F5" i="14"/>
  <c r="AB5" i="14"/>
  <c r="AB6" i="14"/>
  <c r="F7" i="14"/>
  <c r="AB7" i="14"/>
  <c r="AB8" i="14"/>
  <c r="AB9" i="14"/>
  <c r="F10" i="14"/>
  <c r="AB10" i="14"/>
  <c r="AB11" i="14"/>
  <c r="AB12" i="14"/>
  <c r="AB13" i="14"/>
  <c r="AB14" i="14"/>
  <c r="AB15" i="14"/>
  <c r="AB16" i="14"/>
  <c r="AB17" i="14"/>
  <c r="F18" i="14"/>
  <c r="AB18" i="14"/>
  <c r="AB19" i="14"/>
  <c r="AB20" i="14"/>
  <c r="AB21" i="14"/>
  <c r="AB22" i="14"/>
  <c r="AB23" i="14"/>
  <c r="AB24" i="14"/>
  <c r="AB25" i="14"/>
  <c r="AB27" i="14"/>
  <c r="AB28" i="14"/>
  <c r="AB29" i="14"/>
  <c r="AB30" i="14"/>
  <c r="AB31" i="14"/>
  <c r="AC31" i="14"/>
  <c r="AD3" i="14"/>
  <c r="AD4" i="14"/>
  <c r="AD5" i="14"/>
  <c r="AD6" i="14"/>
  <c r="AD7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7" i="14"/>
  <c r="AD28" i="14"/>
  <c r="AD29" i="14"/>
  <c r="AD30" i="14"/>
  <c r="AD31" i="14"/>
  <c r="AE31" i="14"/>
  <c r="AF31" i="14"/>
  <c r="AG3" i="14"/>
  <c r="AG6" i="14"/>
  <c r="AG9" i="14"/>
  <c r="AG11" i="14"/>
  <c r="AG12" i="14"/>
  <c r="AG13" i="14"/>
  <c r="AG14" i="14"/>
  <c r="AG15" i="14"/>
  <c r="AG17" i="14"/>
  <c r="AG19" i="14"/>
  <c r="AG20" i="14"/>
  <c r="AG21" i="14"/>
  <c r="AG22" i="14"/>
  <c r="AG23" i="14"/>
  <c r="AG24" i="14"/>
  <c r="AG25" i="14"/>
  <c r="AG27" i="14"/>
  <c r="AG28" i="14"/>
  <c r="AG30" i="14"/>
  <c r="AG31" i="14"/>
  <c r="AH3" i="14"/>
  <c r="AH4" i="14"/>
  <c r="AH5" i="14"/>
  <c r="AH6" i="14"/>
  <c r="AH7" i="14"/>
  <c r="AH9" i="14"/>
  <c r="AH11" i="14"/>
  <c r="AH12" i="14"/>
  <c r="AH13" i="14"/>
  <c r="AH14" i="14"/>
  <c r="AH15" i="14"/>
  <c r="AH16" i="14"/>
  <c r="AH17" i="14"/>
  <c r="AH18" i="14"/>
  <c r="AH19" i="14"/>
  <c r="AH20" i="14"/>
  <c r="AH21" i="14"/>
  <c r="AH22" i="14"/>
  <c r="AH23" i="14"/>
  <c r="AH24" i="14"/>
  <c r="AH25" i="14"/>
  <c r="AH27" i="14"/>
  <c r="AH28" i="14"/>
  <c r="AH30" i="14"/>
  <c r="AH31" i="14"/>
  <c r="AI31" i="14"/>
  <c r="AJ31" i="14"/>
  <c r="AK3" i="14"/>
  <c r="AK4" i="14"/>
  <c r="AK5" i="14"/>
  <c r="AK6" i="14"/>
  <c r="AK7" i="14"/>
  <c r="AK8" i="14"/>
  <c r="AK9" i="14"/>
  <c r="AK10" i="14"/>
  <c r="AK13" i="14"/>
  <c r="AK14" i="14"/>
  <c r="AK17" i="14"/>
  <c r="AK18" i="14"/>
  <c r="AK19" i="14"/>
  <c r="AK20" i="14"/>
  <c r="AK21" i="14"/>
  <c r="AK22" i="14"/>
  <c r="AK23" i="14"/>
  <c r="AK25" i="14"/>
  <c r="AK27" i="14"/>
  <c r="AK29" i="14"/>
  <c r="AK31" i="14"/>
  <c r="AL3" i="14"/>
  <c r="AL4" i="14"/>
  <c r="AL5" i="14"/>
  <c r="AL6" i="14"/>
  <c r="AL7" i="14"/>
  <c r="AL9" i="14"/>
  <c r="AL10" i="14"/>
  <c r="AL13" i="14"/>
  <c r="AL14" i="14"/>
  <c r="AL17" i="14"/>
  <c r="AL18" i="14"/>
  <c r="AL19" i="14"/>
  <c r="AL20" i="14"/>
  <c r="AL21" i="14"/>
  <c r="AL22" i="14"/>
  <c r="AL23" i="14"/>
  <c r="AL25" i="14"/>
  <c r="AL27" i="14"/>
  <c r="AL29" i="14"/>
  <c r="AL31" i="14"/>
  <c r="AM3" i="14"/>
  <c r="AM4" i="14"/>
  <c r="AM5" i="14"/>
  <c r="AM6" i="14"/>
  <c r="AM7" i="14"/>
  <c r="AM8" i="14"/>
  <c r="AM9" i="14"/>
  <c r="AM13" i="14"/>
  <c r="AM14" i="14"/>
  <c r="AM17" i="14"/>
  <c r="AM18" i="14"/>
  <c r="AM19" i="14"/>
  <c r="AM20" i="14"/>
  <c r="AM21" i="14"/>
  <c r="AM22" i="14"/>
  <c r="AM23" i="14"/>
  <c r="AM25" i="14"/>
  <c r="AM27" i="14"/>
  <c r="AM31" i="14"/>
  <c r="AN31" i="14"/>
  <c r="AO3" i="14"/>
  <c r="AO4" i="14"/>
  <c r="AO5" i="14"/>
  <c r="AO6" i="14"/>
  <c r="AO7" i="14"/>
  <c r="AO8" i="14"/>
  <c r="AO9" i="14"/>
  <c r="AO10" i="14"/>
  <c r="AO13" i="14"/>
  <c r="AO14" i="14"/>
  <c r="AO17" i="14"/>
  <c r="AO18" i="14"/>
  <c r="AO19" i="14"/>
  <c r="AO20" i="14"/>
  <c r="AO21" i="14"/>
  <c r="AO22" i="14"/>
  <c r="AO23" i="14"/>
  <c r="AO25" i="14"/>
  <c r="AO27" i="14"/>
  <c r="AO29" i="14"/>
  <c r="AO31" i="14"/>
  <c r="AP31" i="14"/>
  <c r="AQ31" i="14"/>
  <c r="AR3" i="14"/>
  <c r="AR4" i="14"/>
  <c r="AR5" i="14"/>
  <c r="AR6" i="14"/>
  <c r="AR7" i="14"/>
  <c r="AR8" i="14"/>
  <c r="AR9" i="14"/>
  <c r="AR10" i="14"/>
  <c r="AR11" i="14"/>
  <c r="AR12" i="14"/>
  <c r="AR13" i="14"/>
  <c r="AR14" i="14"/>
  <c r="AR15" i="14"/>
  <c r="AR16" i="14"/>
  <c r="AR17" i="14"/>
  <c r="AR18" i="14"/>
  <c r="AR19" i="14"/>
  <c r="AR20" i="14"/>
  <c r="AR21" i="14"/>
  <c r="AR22" i="14"/>
  <c r="AR23" i="14"/>
  <c r="AR24" i="14"/>
  <c r="AR25" i="14"/>
  <c r="AR26" i="14"/>
  <c r="AR27" i="14"/>
  <c r="AR28" i="14"/>
  <c r="AR29" i="14"/>
  <c r="AR30" i="14"/>
  <c r="AR31" i="14"/>
  <c r="AS3" i="14"/>
  <c r="AS4" i="14"/>
  <c r="AS5" i="14"/>
  <c r="AS6" i="14"/>
  <c r="AS7" i="14"/>
  <c r="AS8" i="14"/>
  <c r="AS9" i="14"/>
  <c r="AS10" i="14"/>
  <c r="AS11" i="14"/>
  <c r="AS12" i="14"/>
  <c r="AS13" i="14"/>
  <c r="AS14" i="14"/>
  <c r="AS15" i="14"/>
  <c r="AS16" i="14"/>
  <c r="AS17" i="14"/>
  <c r="AS18" i="14"/>
  <c r="AS19" i="14"/>
  <c r="AS20" i="14"/>
  <c r="AS21" i="14"/>
  <c r="AS22" i="14"/>
  <c r="AS23" i="14"/>
  <c r="AS24" i="14"/>
  <c r="AS25" i="14"/>
  <c r="AS26" i="14"/>
  <c r="AS27" i="14"/>
  <c r="AS28" i="14"/>
  <c r="AS29" i="14"/>
  <c r="AS30" i="14"/>
  <c r="AS31" i="14"/>
  <c r="AT3" i="14"/>
  <c r="AT4" i="14"/>
  <c r="AT5" i="14"/>
  <c r="AT6" i="14"/>
  <c r="AT7" i="14"/>
  <c r="AT8" i="14"/>
  <c r="AT9" i="14"/>
  <c r="AT10" i="14"/>
  <c r="AT11" i="14"/>
  <c r="AT12" i="14"/>
  <c r="AT13" i="14"/>
  <c r="AT14" i="14"/>
  <c r="AT15" i="14"/>
  <c r="AT16" i="14"/>
  <c r="AT17" i="14"/>
  <c r="AT18" i="14"/>
  <c r="AT19" i="14"/>
  <c r="AT20" i="14"/>
  <c r="AT21" i="14"/>
  <c r="AT22" i="14"/>
  <c r="AT23" i="14"/>
  <c r="AT24" i="14"/>
  <c r="AT25" i="14"/>
  <c r="AT26" i="14"/>
  <c r="AT27" i="14"/>
  <c r="AT28" i="14"/>
  <c r="AT29" i="14"/>
  <c r="AT30" i="14"/>
  <c r="AT31" i="14"/>
  <c r="AU31" i="14"/>
  <c r="AV31" i="14"/>
  <c r="AW3" i="14"/>
  <c r="AW5" i="14"/>
  <c r="AW7" i="14"/>
  <c r="AW9" i="14"/>
  <c r="AW11" i="14"/>
  <c r="AW13" i="14"/>
  <c r="AW15" i="14"/>
  <c r="AW19" i="14"/>
  <c r="AW21" i="14"/>
  <c r="AW23" i="14"/>
  <c r="AW27" i="14"/>
  <c r="AW31" i="14"/>
  <c r="AX3" i="14"/>
  <c r="AX5" i="14"/>
  <c r="AX7" i="14"/>
  <c r="AX9" i="14"/>
  <c r="AX11" i="14"/>
  <c r="AX13" i="14"/>
  <c r="AX15" i="14"/>
  <c r="AX19" i="14"/>
  <c r="AX21" i="14"/>
  <c r="AX23" i="14"/>
  <c r="AX27" i="14"/>
  <c r="AX31" i="14"/>
  <c r="AY31" i="14"/>
  <c r="AZ31" i="14"/>
  <c r="BA31" i="14"/>
  <c r="BB31" i="14"/>
  <c r="BC31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AT32" i="14"/>
  <c r="AU32" i="14"/>
  <c r="AV32" i="14"/>
  <c r="AW32" i="14"/>
  <c r="AX32" i="14"/>
  <c r="AY32" i="14"/>
  <c r="AZ32" i="14"/>
  <c r="BA32" i="14"/>
  <c r="BB32" i="14"/>
  <c r="BC32" i="14"/>
  <c r="F32" i="14"/>
  <c r="F31" i="14"/>
  <c r="G25" i="18"/>
  <c r="H25" i="18"/>
  <c r="I25" i="18"/>
  <c r="J25" i="18"/>
  <c r="K25" i="18"/>
  <c r="L25" i="18"/>
  <c r="M25" i="18"/>
  <c r="N25" i="18"/>
  <c r="O25" i="18"/>
  <c r="P25" i="18"/>
  <c r="Q25" i="18"/>
  <c r="R25" i="18"/>
  <c r="S25" i="18"/>
  <c r="T25" i="18"/>
  <c r="U25" i="18"/>
  <c r="V25" i="18"/>
  <c r="W25" i="18"/>
  <c r="X25" i="18"/>
  <c r="Y25" i="18"/>
  <c r="Z25" i="18"/>
  <c r="AA25" i="18"/>
  <c r="AB25" i="18"/>
  <c r="AC25" i="18"/>
  <c r="AD25" i="18"/>
  <c r="AE25" i="18"/>
  <c r="AF25" i="18"/>
  <c r="AG25" i="18"/>
  <c r="AH25" i="18"/>
  <c r="AI25" i="18"/>
  <c r="AJ25" i="18"/>
  <c r="AK25" i="18"/>
  <c r="AL25" i="18"/>
  <c r="AM25" i="18"/>
  <c r="AN25" i="18"/>
  <c r="AO25" i="18"/>
  <c r="AP25" i="18"/>
  <c r="AQ25" i="18"/>
  <c r="AR25" i="18"/>
  <c r="AS25" i="18"/>
  <c r="AT25" i="18"/>
  <c r="AU25" i="18"/>
  <c r="AV25" i="18"/>
  <c r="AW25" i="18"/>
  <c r="AX25" i="18"/>
  <c r="G26" i="18"/>
  <c r="H26" i="18"/>
  <c r="I26" i="18"/>
  <c r="J26" i="18"/>
  <c r="K26" i="18"/>
  <c r="L26" i="18"/>
  <c r="M26" i="18"/>
  <c r="N26" i="18"/>
  <c r="O26" i="18"/>
  <c r="P26" i="18"/>
  <c r="Q26" i="18"/>
  <c r="R26" i="18"/>
  <c r="S26" i="18"/>
  <c r="T26" i="18"/>
  <c r="U26" i="18"/>
  <c r="V26" i="18"/>
  <c r="W26" i="18"/>
  <c r="X26" i="18"/>
  <c r="Y26" i="18"/>
  <c r="Z26" i="18"/>
  <c r="AA26" i="18"/>
  <c r="AB26" i="18"/>
  <c r="AC26" i="18"/>
  <c r="AD26" i="18"/>
  <c r="AE26" i="18"/>
  <c r="AF26" i="18"/>
  <c r="AG26" i="18"/>
  <c r="AH26" i="18"/>
  <c r="AI26" i="18"/>
  <c r="AJ26" i="18"/>
  <c r="AK26" i="18"/>
  <c r="AL26" i="18"/>
  <c r="AM26" i="18"/>
  <c r="AN26" i="18"/>
  <c r="AO26" i="18"/>
  <c r="AP26" i="18"/>
  <c r="AQ26" i="18"/>
  <c r="AR26" i="18"/>
  <c r="AS26" i="18"/>
  <c r="AT26" i="18"/>
  <c r="AU26" i="18"/>
  <c r="AV26" i="18"/>
  <c r="AW26" i="18"/>
  <c r="AX26" i="18"/>
  <c r="F26" i="18"/>
  <c r="F25" i="18"/>
  <c r="V4" i="18"/>
  <c r="AN24" i="18"/>
  <c r="AL24" i="18"/>
  <c r="AK24" i="18"/>
  <c r="AM15" i="18"/>
  <c r="AM16" i="18"/>
  <c r="AO22" i="18"/>
  <c r="AL22" i="18"/>
  <c r="AK22" i="18"/>
  <c r="AO20" i="18"/>
  <c r="AN20" i="18"/>
  <c r="AL20" i="18"/>
  <c r="AK20" i="18"/>
  <c r="AO18" i="18"/>
  <c r="AN18" i="18"/>
  <c r="AL18" i="18"/>
  <c r="AK18" i="18"/>
  <c r="AO16" i="18"/>
  <c r="AN16" i="18"/>
  <c r="AL16" i="18"/>
  <c r="AK16" i="18"/>
  <c r="AO14" i="18"/>
  <c r="AN14" i="18"/>
  <c r="AL14" i="18"/>
  <c r="AK14" i="18"/>
  <c r="AO12" i="18"/>
  <c r="AN12" i="18"/>
  <c r="AL12" i="18"/>
  <c r="AK12" i="18"/>
  <c r="AO10" i="18"/>
  <c r="AN10" i="18"/>
  <c r="AM10" i="18"/>
  <c r="AK10" i="18"/>
  <c r="AO8" i="18"/>
  <c r="AN8" i="18"/>
  <c r="AM8" i="18"/>
  <c r="AL8" i="18"/>
  <c r="AK8" i="18"/>
  <c r="AO6" i="18"/>
  <c r="AN6" i="18"/>
  <c r="AM6" i="18"/>
  <c r="AL6" i="18"/>
  <c r="AK6" i="18"/>
  <c r="AO4" i="18"/>
  <c r="AN4" i="18"/>
  <c r="AM4" i="18"/>
  <c r="AL4" i="18"/>
  <c r="AK4" i="18"/>
  <c r="AW24" i="18"/>
  <c r="AW20" i="18"/>
  <c r="AX18" i="18"/>
  <c r="AW18" i="18"/>
  <c r="AX16" i="18"/>
  <c r="AW16" i="18"/>
  <c r="AX14" i="18"/>
  <c r="AW14" i="18"/>
  <c r="AX12" i="18"/>
  <c r="AW12" i="18"/>
  <c r="AX10" i="18"/>
  <c r="AW10" i="18"/>
  <c r="AX8" i="18"/>
  <c r="AW8" i="18"/>
  <c r="AX6" i="18"/>
  <c r="AW6" i="18"/>
  <c r="AX4" i="18"/>
  <c r="AW4" i="18"/>
  <c r="AY25" i="18"/>
  <c r="AZ25" i="18"/>
  <c r="BA25" i="18"/>
  <c r="BB25" i="18"/>
  <c r="BC25" i="18"/>
  <c r="AY26" i="18"/>
  <c r="AZ26" i="18"/>
  <c r="BA26" i="18"/>
  <c r="BB26" i="18"/>
  <c r="BC26" i="18"/>
  <c r="R30" i="13"/>
  <c r="V4" i="13"/>
  <c r="V5" i="13"/>
  <c r="V6" i="13"/>
  <c r="V7" i="13"/>
  <c r="V9" i="13"/>
  <c r="V10" i="13"/>
  <c r="V13" i="13"/>
  <c r="V14" i="13"/>
  <c r="V19" i="13"/>
  <c r="V20" i="13"/>
  <c r="V21" i="13"/>
  <c r="V25" i="13"/>
  <c r="V26" i="13"/>
  <c r="V27" i="13"/>
  <c r="V28" i="13"/>
  <c r="V29" i="13"/>
  <c r="G30" i="13"/>
  <c r="V30" i="13"/>
  <c r="V3" i="13"/>
  <c r="G31" i="13"/>
  <c r="H30" i="13"/>
  <c r="H31" i="13"/>
  <c r="I31" i="13"/>
  <c r="J31" i="13"/>
  <c r="K31" i="13"/>
  <c r="L31" i="13"/>
  <c r="M31" i="13"/>
  <c r="N31" i="13"/>
  <c r="O31" i="13"/>
  <c r="P31" i="13"/>
  <c r="Q31" i="13"/>
  <c r="R31" i="13"/>
  <c r="S31" i="13"/>
  <c r="T31" i="13"/>
  <c r="U31" i="13"/>
  <c r="V31" i="13"/>
  <c r="W31" i="13"/>
  <c r="X31" i="13"/>
  <c r="Y31" i="13"/>
  <c r="Z31" i="13"/>
  <c r="AA31" i="13"/>
  <c r="AB31" i="13"/>
  <c r="AC31" i="13"/>
  <c r="AD31" i="13"/>
  <c r="AE31" i="13"/>
  <c r="AF31" i="13"/>
  <c r="AG31" i="13"/>
  <c r="AH31" i="13"/>
  <c r="AI31" i="13"/>
  <c r="AJ31" i="13"/>
  <c r="AK31" i="13"/>
  <c r="AL31" i="13"/>
  <c r="AM31" i="13"/>
  <c r="AN31" i="13"/>
  <c r="AO31" i="13"/>
  <c r="G32" i="13"/>
  <c r="H32" i="13"/>
  <c r="I32" i="13"/>
  <c r="J32" i="13"/>
  <c r="K32" i="13"/>
  <c r="L32" i="13"/>
  <c r="M32" i="13"/>
  <c r="N32" i="13"/>
  <c r="O32" i="13"/>
  <c r="P32" i="13"/>
  <c r="Q32" i="13"/>
  <c r="R32" i="13"/>
  <c r="S32" i="13"/>
  <c r="T32" i="13"/>
  <c r="U32" i="13"/>
  <c r="V32" i="13"/>
  <c r="W32" i="13"/>
  <c r="X32" i="13"/>
  <c r="Y32" i="13"/>
  <c r="Z32" i="13"/>
  <c r="AA32" i="13"/>
  <c r="AB32" i="13"/>
  <c r="AC32" i="13"/>
  <c r="AD32" i="13"/>
  <c r="AE32" i="13"/>
  <c r="AF32" i="13"/>
  <c r="AG32" i="13"/>
  <c r="AH32" i="13"/>
  <c r="AI32" i="13"/>
  <c r="AJ32" i="13"/>
  <c r="AK32" i="13"/>
  <c r="AL32" i="13"/>
  <c r="AM32" i="13"/>
  <c r="AN32" i="13"/>
  <c r="AO32" i="13"/>
  <c r="G13" i="13"/>
  <c r="F13" i="13"/>
  <c r="H13" i="13"/>
  <c r="AF9" i="13"/>
  <c r="AF10" i="13"/>
  <c r="AF11" i="13"/>
  <c r="AF12" i="13"/>
  <c r="AF13" i="13"/>
  <c r="AF14" i="13"/>
  <c r="AF15" i="13"/>
  <c r="AF16" i="13"/>
  <c r="AF17" i="13"/>
  <c r="AF19" i="13"/>
  <c r="AF20" i="13"/>
  <c r="AF21" i="13"/>
  <c r="AF23" i="13"/>
  <c r="K25" i="13"/>
  <c r="AF25" i="13"/>
  <c r="AF26" i="13"/>
  <c r="AF27" i="13"/>
  <c r="AF28" i="13"/>
  <c r="AF29" i="13"/>
  <c r="AF30" i="13"/>
  <c r="AN13" i="13"/>
  <c r="AN14" i="13"/>
  <c r="AN17" i="13"/>
  <c r="K18" i="13"/>
  <c r="AN18" i="13"/>
  <c r="AN21" i="13"/>
  <c r="AN23" i="13"/>
  <c r="AN24" i="13"/>
  <c r="AN25" i="13"/>
  <c r="AN27" i="13"/>
  <c r="AN28" i="13"/>
  <c r="AN29" i="13"/>
  <c r="AN30" i="13"/>
  <c r="AO30" i="13"/>
  <c r="AM30" i="13"/>
  <c r="AL30" i="13"/>
  <c r="AK30" i="13"/>
  <c r="AO28" i="13"/>
  <c r="AM28" i="13"/>
  <c r="AL28" i="13"/>
  <c r="AK28" i="13"/>
  <c r="AX28" i="13"/>
  <c r="AW28" i="13"/>
  <c r="AX26" i="13"/>
  <c r="AW26" i="13"/>
  <c r="AX24" i="13"/>
  <c r="AW24" i="13"/>
  <c r="AX22" i="13"/>
  <c r="AX20" i="13"/>
  <c r="AW20" i="13"/>
  <c r="AX18" i="13"/>
  <c r="AW16" i="13"/>
  <c r="AX14" i="13"/>
  <c r="AW14" i="13"/>
  <c r="AX12" i="13"/>
  <c r="AW12" i="13"/>
  <c r="AX10" i="13"/>
  <c r="AW10" i="13"/>
  <c r="AX8" i="13"/>
  <c r="AW8" i="13"/>
  <c r="AX6" i="13"/>
  <c r="AW6" i="13"/>
  <c r="AX4" i="13"/>
  <c r="AW4" i="13"/>
  <c r="G3" i="13"/>
  <c r="G4" i="13"/>
  <c r="G5" i="13"/>
  <c r="G6" i="13"/>
  <c r="G7" i="13"/>
  <c r="O9" i="13"/>
  <c r="G9" i="13"/>
  <c r="O10" i="13"/>
  <c r="G10" i="13"/>
  <c r="O14" i="13"/>
  <c r="G14" i="13"/>
  <c r="G19" i="13"/>
  <c r="O20" i="13"/>
  <c r="G20" i="13"/>
  <c r="G21" i="13"/>
  <c r="G25" i="13"/>
  <c r="O26" i="13"/>
  <c r="G26" i="13"/>
  <c r="O27" i="13"/>
  <c r="G27" i="13"/>
  <c r="G28" i="13"/>
  <c r="G29" i="13"/>
  <c r="H3" i="13"/>
  <c r="H4" i="13"/>
  <c r="H5" i="13"/>
  <c r="H6" i="13"/>
  <c r="H7" i="13"/>
  <c r="F9" i="13"/>
  <c r="H9" i="13"/>
  <c r="F10" i="13"/>
  <c r="H10" i="13"/>
  <c r="F14" i="13"/>
  <c r="H14" i="13"/>
  <c r="F19" i="13"/>
  <c r="H19" i="13"/>
  <c r="F20" i="13"/>
  <c r="H20" i="13"/>
  <c r="F21" i="13"/>
  <c r="H21" i="13"/>
  <c r="F25" i="13"/>
  <c r="H25" i="13"/>
  <c r="F26" i="13"/>
  <c r="H26" i="13"/>
  <c r="F27" i="13"/>
  <c r="H27" i="13"/>
  <c r="F28" i="13"/>
  <c r="H28" i="13"/>
  <c r="F29" i="13"/>
  <c r="H29" i="13"/>
  <c r="F30" i="13"/>
  <c r="P3" i="13"/>
  <c r="P4" i="13"/>
  <c r="P5" i="13"/>
  <c r="P6" i="13"/>
  <c r="P7" i="13"/>
  <c r="P9" i="13"/>
  <c r="P10" i="13"/>
  <c r="P13" i="13"/>
  <c r="P14" i="13"/>
  <c r="P19" i="13"/>
  <c r="P20" i="13"/>
  <c r="P21" i="13"/>
  <c r="P25" i="13"/>
  <c r="P26" i="13"/>
  <c r="P27" i="13"/>
  <c r="P28" i="13"/>
  <c r="P29" i="13"/>
  <c r="P30" i="13"/>
  <c r="Q3" i="13"/>
  <c r="Q4" i="13"/>
  <c r="Q5" i="13"/>
  <c r="Q6" i="13"/>
  <c r="Q7" i="13"/>
  <c r="Q9" i="13"/>
  <c r="Q10" i="13"/>
  <c r="Q13" i="13"/>
  <c r="Q14" i="13"/>
  <c r="Q19" i="13"/>
  <c r="Q20" i="13"/>
  <c r="Q21" i="13"/>
  <c r="Q25" i="13"/>
  <c r="Q26" i="13"/>
  <c r="Q27" i="13"/>
  <c r="Q28" i="13"/>
  <c r="Q29" i="13"/>
  <c r="Q30" i="13"/>
  <c r="R3" i="13"/>
  <c r="R4" i="13"/>
  <c r="R5" i="13"/>
  <c r="R6" i="13"/>
  <c r="R7" i="13"/>
  <c r="R9" i="13"/>
  <c r="R10" i="13"/>
  <c r="R11" i="13"/>
  <c r="R13" i="13"/>
  <c r="R14" i="13"/>
  <c r="R15" i="13"/>
  <c r="R16" i="13"/>
  <c r="R18" i="13"/>
  <c r="R19" i="13"/>
  <c r="R20" i="13"/>
  <c r="R21" i="13"/>
  <c r="R23" i="13"/>
  <c r="R24" i="13"/>
  <c r="R25" i="13"/>
  <c r="R26" i="13"/>
  <c r="R27" i="13"/>
  <c r="R28" i="13"/>
  <c r="R29" i="13"/>
  <c r="S3" i="13"/>
  <c r="S4" i="13"/>
  <c r="S5" i="13"/>
  <c r="S6" i="13"/>
  <c r="S7" i="13"/>
  <c r="S8" i="13"/>
  <c r="S9" i="13"/>
  <c r="S10" i="13"/>
  <c r="S11" i="13"/>
  <c r="S12" i="13"/>
  <c r="S13" i="13"/>
  <c r="S14" i="13"/>
  <c r="S15" i="13"/>
  <c r="S16" i="13"/>
  <c r="S17" i="13"/>
  <c r="S18" i="13"/>
  <c r="S19" i="13"/>
  <c r="S20" i="13"/>
  <c r="S21" i="13"/>
  <c r="S23" i="13"/>
  <c r="S24" i="13"/>
  <c r="S25" i="13"/>
  <c r="S26" i="13"/>
  <c r="S27" i="13"/>
  <c r="S28" i="13"/>
  <c r="S29" i="13"/>
  <c r="S30" i="13"/>
  <c r="T3" i="13"/>
  <c r="T4" i="13"/>
  <c r="T5" i="13"/>
  <c r="T6" i="13"/>
  <c r="T7" i="13"/>
  <c r="T9" i="13"/>
  <c r="T10" i="13"/>
  <c r="T13" i="13"/>
  <c r="T14" i="13"/>
  <c r="T19" i="13"/>
  <c r="T20" i="13"/>
  <c r="T21" i="13"/>
  <c r="T25" i="13"/>
  <c r="T26" i="13"/>
  <c r="T27" i="13"/>
  <c r="T28" i="13"/>
  <c r="T29" i="13"/>
  <c r="T30" i="13"/>
  <c r="Y3" i="13"/>
  <c r="Y9" i="13"/>
  <c r="Y10" i="13"/>
  <c r="Y11" i="13"/>
  <c r="Y13" i="13"/>
  <c r="Y14" i="13"/>
  <c r="Y15" i="13"/>
  <c r="Y17" i="13"/>
  <c r="Y19" i="13"/>
  <c r="Y21" i="13"/>
  <c r="Y22" i="13"/>
  <c r="Y23" i="13"/>
  <c r="Y24" i="13"/>
  <c r="Y25" i="13"/>
  <c r="Y26" i="13"/>
  <c r="Y27" i="13"/>
  <c r="Y28" i="13"/>
  <c r="Y29" i="13"/>
  <c r="Y30" i="13"/>
  <c r="AB3" i="13"/>
  <c r="AB5" i="13"/>
  <c r="AB7" i="13"/>
  <c r="AB8" i="13"/>
  <c r="AB9" i="13"/>
  <c r="AB10" i="13"/>
  <c r="F11" i="13"/>
  <c r="AB11" i="13"/>
  <c r="F12" i="13"/>
  <c r="AB12" i="13"/>
  <c r="AB13" i="13"/>
  <c r="AB14" i="13"/>
  <c r="F15" i="13"/>
  <c r="AB15" i="13"/>
  <c r="F16" i="13"/>
  <c r="AB16" i="13"/>
  <c r="F17" i="13"/>
  <c r="AB17" i="13"/>
  <c r="AB19" i="13"/>
  <c r="AB20" i="13"/>
  <c r="AB21" i="13"/>
  <c r="F22" i="13"/>
  <c r="AB22" i="13"/>
  <c r="F23" i="13"/>
  <c r="AB23" i="13"/>
  <c r="F24" i="13"/>
  <c r="AB24" i="13"/>
  <c r="AB25" i="13"/>
  <c r="AB26" i="13"/>
  <c r="AB27" i="13"/>
  <c r="AB28" i="13"/>
  <c r="AB29" i="13"/>
  <c r="AB30" i="13"/>
  <c r="AD3" i="13"/>
  <c r="AD5" i="13"/>
  <c r="AD7" i="13"/>
  <c r="AD8" i="13"/>
  <c r="AD9" i="13"/>
  <c r="AD10" i="13"/>
  <c r="AD11" i="13"/>
  <c r="AD12" i="13"/>
  <c r="AD13" i="13"/>
  <c r="AD14" i="13"/>
  <c r="AD15" i="13"/>
  <c r="AD16" i="13"/>
  <c r="AD17" i="13"/>
  <c r="AD19" i="13"/>
  <c r="AD20" i="13"/>
  <c r="AD21" i="13"/>
  <c r="AD22" i="13"/>
  <c r="AD23" i="13"/>
  <c r="AD25" i="13"/>
  <c r="AD26" i="13"/>
  <c r="AD27" i="13"/>
  <c r="AD28" i="13"/>
  <c r="AD29" i="13"/>
  <c r="AD30" i="13"/>
  <c r="AG9" i="13"/>
  <c r="AG10" i="13"/>
  <c r="AG13" i="13"/>
  <c r="AG14" i="13"/>
  <c r="AG19" i="13"/>
  <c r="AG20" i="13"/>
  <c r="AG21" i="13"/>
  <c r="AG25" i="13"/>
  <c r="AG26" i="13"/>
  <c r="AG27" i="13"/>
  <c r="AG28" i="13"/>
  <c r="AG29" i="13"/>
  <c r="AG30" i="13"/>
  <c r="AH9" i="13"/>
  <c r="AH10" i="13"/>
  <c r="AH11" i="13"/>
  <c r="AH12" i="13"/>
  <c r="AH13" i="13"/>
  <c r="AH14" i="13"/>
  <c r="AH15" i="13"/>
  <c r="AH19" i="13"/>
  <c r="AH20" i="13"/>
  <c r="AH21" i="13"/>
  <c r="AH23" i="13"/>
  <c r="AH25" i="13"/>
  <c r="AH26" i="13"/>
  <c r="AH27" i="13"/>
  <c r="AH28" i="13"/>
  <c r="AH29" i="13"/>
  <c r="AH30" i="13"/>
  <c r="AK13" i="13"/>
  <c r="AK14" i="13"/>
  <c r="AK17" i="13"/>
  <c r="AK18" i="13"/>
  <c r="AK21" i="13"/>
  <c r="AK22" i="13"/>
  <c r="AK23" i="13"/>
  <c r="AK24" i="13"/>
  <c r="AK25" i="13"/>
  <c r="AK27" i="13"/>
  <c r="AK29" i="13"/>
  <c r="AL13" i="13"/>
  <c r="AL14" i="13"/>
  <c r="AL17" i="13"/>
  <c r="AL21" i="13"/>
  <c r="AL22" i="13"/>
  <c r="AL23" i="13"/>
  <c r="AL25" i="13"/>
  <c r="AL27" i="13"/>
  <c r="AL29" i="13"/>
  <c r="AM13" i="13"/>
  <c r="AM14" i="13"/>
  <c r="AM21" i="13"/>
  <c r="AM23" i="13"/>
  <c r="AM24" i="13"/>
  <c r="AM25" i="13"/>
  <c r="AM27" i="13"/>
  <c r="AM29" i="13"/>
  <c r="AO13" i="13"/>
  <c r="AO14" i="13"/>
  <c r="AO17" i="13"/>
  <c r="AO18" i="13"/>
  <c r="AO21" i="13"/>
  <c r="AO22" i="13"/>
  <c r="AO23" i="13"/>
  <c r="AO24" i="13"/>
  <c r="AO25" i="13"/>
  <c r="AO27" i="13"/>
  <c r="AO29" i="13"/>
  <c r="AP31" i="13"/>
  <c r="AQ31" i="13"/>
  <c r="AR3" i="13"/>
  <c r="AR4" i="13"/>
  <c r="AR5" i="13"/>
  <c r="AR6" i="13"/>
  <c r="AR7" i="13"/>
  <c r="AR8" i="13"/>
  <c r="AR9" i="13"/>
  <c r="AR10" i="13"/>
  <c r="AR11" i="13"/>
  <c r="AR12" i="13"/>
  <c r="AR13" i="13"/>
  <c r="AR14" i="13"/>
  <c r="AR17" i="13"/>
  <c r="F18" i="13"/>
  <c r="AR18" i="13"/>
  <c r="AR19" i="13"/>
  <c r="AR20" i="13"/>
  <c r="AR21" i="13"/>
  <c r="AR22" i="13"/>
  <c r="AR23" i="13"/>
  <c r="AR24" i="13"/>
  <c r="AR25" i="13"/>
  <c r="AR26" i="13"/>
  <c r="AR27" i="13"/>
  <c r="AR28" i="13"/>
  <c r="AR29" i="13"/>
  <c r="AR30" i="13"/>
  <c r="AR31" i="13"/>
  <c r="AS3" i="13"/>
  <c r="AS4" i="13"/>
  <c r="AS5" i="13"/>
  <c r="AS6" i="13"/>
  <c r="AS7" i="13"/>
  <c r="AS8" i="13"/>
  <c r="AS9" i="13"/>
  <c r="AS10" i="13"/>
  <c r="AS11" i="13"/>
  <c r="AS12" i="13"/>
  <c r="AS13" i="13"/>
  <c r="AS14" i="13"/>
  <c r="AS17" i="13"/>
  <c r="AS18" i="13"/>
  <c r="AS19" i="13"/>
  <c r="AS20" i="13"/>
  <c r="AS21" i="13"/>
  <c r="AS22" i="13"/>
  <c r="AS23" i="13"/>
  <c r="AS24" i="13"/>
  <c r="AS25" i="13"/>
  <c r="AS26" i="13"/>
  <c r="AS27" i="13"/>
  <c r="AS28" i="13"/>
  <c r="AS29" i="13"/>
  <c r="AS30" i="13"/>
  <c r="AS31" i="13"/>
  <c r="AT3" i="13"/>
  <c r="AT4" i="13"/>
  <c r="AT5" i="13"/>
  <c r="AT6" i="13"/>
  <c r="AT7" i="13"/>
  <c r="AT8" i="13"/>
  <c r="AT9" i="13"/>
  <c r="AT10" i="13"/>
  <c r="AT11" i="13"/>
  <c r="AT12" i="13"/>
  <c r="AT13" i="13"/>
  <c r="AT14" i="13"/>
  <c r="AT17" i="13"/>
  <c r="AT18" i="13"/>
  <c r="AT19" i="13"/>
  <c r="AT20" i="13"/>
  <c r="AT21" i="13"/>
  <c r="AT23" i="13"/>
  <c r="AT24" i="13"/>
  <c r="AT25" i="13"/>
  <c r="AT26" i="13"/>
  <c r="AT27" i="13"/>
  <c r="AT28" i="13"/>
  <c r="AT29" i="13"/>
  <c r="AT30" i="13"/>
  <c r="AT31" i="13"/>
  <c r="AU31" i="13"/>
  <c r="AV31" i="13"/>
  <c r="AW3" i="13"/>
  <c r="AW5" i="13"/>
  <c r="AW7" i="13"/>
  <c r="AW9" i="13"/>
  <c r="AW11" i="13"/>
  <c r="AW13" i="13"/>
  <c r="AW15" i="13"/>
  <c r="AW19" i="13"/>
  <c r="AW23" i="13"/>
  <c r="AW25" i="13"/>
  <c r="AW27" i="13"/>
  <c r="AW31" i="13"/>
  <c r="AX3" i="13"/>
  <c r="AX5" i="13"/>
  <c r="AX7" i="13"/>
  <c r="AX9" i="13"/>
  <c r="AX11" i="13"/>
  <c r="AX13" i="13"/>
  <c r="AX17" i="13"/>
  <c r="AX19" i="13"/>
  <c r="AX21" i="13"/>
  <c r="AX23" i="13"/>
  <c r="AX25" i="13"/>
  <c r="AX27" i="13"/>
  <c r="AX31" i="13"/>
  <c r="AY31" i="13"/>
  <c r="AZ31" i="13"/>
  <c r="BA31" i="13"/>
  <c r="BB31" i="13"/>
  <c r="BC31" i="13"/>
  <c r="AP32" i="13"/>
  <c r="AQ32" i="13"/>
  <c r="AR32" i="13"/>
  <c r="AS32" i="13"/>
  <c r="AT32" i="13"/>
  <c r="AU32" i="13"/>
  <c r="AV32" i="13"/>
  <c r="AW32" i="13"/>
  <c r="AX32" i="13"/>
  <c r="AY32" i="13"/>
  <c r="AZ32" i="13"/>
  <c r="BA32" i="13"/>
  <c r="BB32" i="13"/>
  <c r="BC32" i="13"/>
  <c r="F31" i="13"/>
  <c r="F32" i="13"/>
  <c r="AX104" i="10"/>
  <c r="AW104" i="10"/>
  <c r="AX98" i="10"/>
  <c r="AW98" i="10"/>
  <c r="AX96" i="10"/>
  <c r="AW96" i="10"/>
  <c r="AX92" i="10"/>
  <c r="AW92" i="10"/>
  <c r="AX90" i="10"/>
  <c r="AW90" i="10"/>
  <c r="AX88" i="10"/>
  <c r="AW88" i="10"/>
  <c r="AX86" i="10"/>
  <c r="AW86" i="10"/>
  <c r="AX82" i="10"/>
  <c r="AW82" i="10"/>
  <c r="AX80" i="10"/>
  <c r="AW80" i="10"/>
  <c r="AX76" i="10"/>
  <c r="AW76" i="10"/>
  <c r="AX72" i="10"/>
  <c r="AW72" i="10"/>
  <c r="AX70" i="10"/>
  <c r="AW70" i="10"/>
  <c r="AX66" i="10"/>
  <c r="AW66" i="10"/>
  <c r="AX62" i="10"/>
  <c r="AW62" i="10"/>
  <c r="AX60" i="10"/>
  <c r="AW60" i="10"/>
  <c r="AX58" i="10"/>
  <c r="AW58" i="10"/>
  <c r="AX56" i="10"/>
  <c r="AW56" i="10"/>
  <c r="AX54" i="10"/>
  <c r="AW54" i="10"/>
  <c r="AX52" i="10"/>
  <c r="AW52" i="10"/>
  <c r="AX50" i="10"/>
  <c r="AW50" i="10"/>
  <c r="AX48" i="10"/>
  <c r="AW48" i="10"/>
  <c r="AX44" i="10"/>
  <c r="AW44" i="10"/>
  <c r="AX42" i="10"/>
  <c r="AW42" i="10"/>
  <c r="AX36" i="10"/>
  <c r="AW36" i="10"/>
  <c r="AX32" i="10"/>
  <c r="AX30" i="10"/>
  <c r="AW30" i="10"/>
  <c r="AX26" i="10"/>
  <c r="AW26" i="10"/>
  <c r="AW24" i="10"/>
  <c r="AX20" i="10"/>
  <c r="AW20" i="10"/>
  <c r="AX18" i="10"/>
  <c r="AW18" i="10"/>
  <c r="AW16" i="10"/>
  <c r="AX14" i="10"/>
  <c r="AW14" i="10"/>
  <c r="AX10" i="10"/>
  <c r="AW10" i="10"/>
  <c r="AW8" i="10"/>
  <c r="AW6" i="10"/>
  <c r="AM5" i="10"/>
  <c r="AM6" i="10"/>
  <c r="AL7" i="10"/>
  <c r="AM7" i="10"/>
  <c r="AL8" i="10"/>
  <c r="AL9" i="10"/>
  <c r="AL11" i="10"/>
  <c r="AM11" i="10"/>
  <c r="AL12" i="10"/>
  <c r="AM12" i="10"/>
  <c r="AL13" i="10"/>
  <c r="AM13" i="10"/>
  <c r="AL14" i="10"/>
  <c r="AM14" i="10"/>
  <c r="AL15" i="10"/>
  <c r="AL16" i="10"/>
  <c r="AL19" i="10"/>
  <c r="AM19" i="10"/>
  <c r="AL20" i="10"/>
  <c r="AM20" i="10"/>
  <c r="AL21" i="10"/>
  <c r="AL22" i="10"/>
  <c r="AM22" i="10"/>
  <c r="AM25" i="10"/>
  <c r="AL27" i="10"/>
  <c r="AM27" i="10"/>
  <c r="AL29" i="10"/>
  <c r="AM29" i="10"/>
  <c r="AL30" i="10"/>
  <c r="AL31" i="10"/>
  <c r="AM31" i="10"/>
  <c r="AL32" i="10"/>
  <c r="AM32" i="10"/>
  <c r="AL33" i="10"/>
  <c r="AM33" i="10"/>
  <c r="AL34" i="10"/>
  <c r="AM34" i="10"/>
  <c r="AL39" i="10"/>
  <c r="AM40" i="10"/>
  <c r="AL41" i="10"/>
  <c r="AM41" i="10"/>
  <c r="AM42" i="10"/>
  <c r="AL43" i="10"/>
  <c r="AM43" i="10"/>
  <c r="AL44" i="10"/>
  <c r="AM44" i="10"/>
  <c r="AL45" i="10"/>
  <c r="AM45" i="10"/>
  <c r="AM46" i="10"/>
  <c r="AL49" i="10"/>
  <c r="AM49" i="10"/>
  <c r="AL50" i="10"/>
  <c r="AM50" i="10"/>
  <c r="AL51" i="10"/>
  <c r="AL52" i="10"/>
  <c r="AL53" i="10"/>
  <c r="AL54" i="10"/>
  <c r="AL55" i="10"/>
  <c r="AM55" i="10"/>
  <c r="AM62" i="10"/>
  <c r="AL63" i="10"/>
  <c r="AL65" i="10"/>
  <c r="AL66" i="10"/>
  <c r="AM66" i="10"/>
  <c r="AL67" i="10"/>
  <c r="AM67" i="10"/>
  <c r="AL68" i="10"/>
  <c r="AM68" i="10"/>
  <c r="AL69" i="10"/>
  <c r="AM69" i="10"/>
  <c r="AM70" i="10"/>
  <c r="AL71" i="10"/>
  <c r="AM71" i="10"/>
  <c r="AL72" i="10"/>
  <c r="AM72" i="10"/>
  <c r="AL73" i="10"/>
  <c r="AM73" i="10"/>
  <c r="AL74" i="10"/>
  <c r="AM74" i="10"/>
  <c r="AL75" i="10"/>
  <c r="AL76" i="10"/>
  <c r="AM77" i="10"/>
  <c r="AM78" i="10"/>
  <c r="AL79" i="10"/>
  <c r="AM79" i="10"/>
  <c r="AL80" i="10"/>
  <c r="AM80" i="10"/>
  <c r="AL81" i="10"/>
  <c r="AM81" i="10"/>
  <c r="AL82" i="10"/>
  <c r="AM82" i="10"/>
  <c r="AL83" i="10"/>
  <c r="AM83" i="10"/>
  <c r="AL84" i="10"/>
  <c r="AM84" i="10"/>
  <c r="AL85" i="10"/>
  <c r="AL87" i="10"/>
  <c r="AM87" i="10"/>
  <c r="AL88" i="10"/>
  <c r="AM88" i="10"/>
  <c r="AL89" i="10"/>
  <c r="AM89" i="10"/>
  <c r="AL90" i="10"/>
  <c r="AM90" i="10"/>
  <c r="AL91" i="10"/>
  <c r="AL92" i="10"/>
  <c r="AL93" i="10"/>
  <c r="AM93" i="10"/>
  <c r="AM94" i="10"/>
  <c r="AL95" i="10"/>
  <c r="AM95" i="10"/>
  <c r="AL96" i="10"/>
  <c r="AM96" i="10"/>
  <c r="AL97" i="10"/>
  <c r="AM97" i="10"/>
  <c r="AL98" i="10"/>
  <c r="AM98" i="10"/>
  <c r="AL99" i="10"/>
  <c r="AM99" i="10"/>
  <c r="AL100" i="10"/>
  <c r="AM100" i="10"/>
  <c r="AL103" i="10"/>
  <c r="AL104" i="10"/>
  <c r="AN4" i="10"/>
  <c r="AN5" i="10"/>
  <c r="AN7" i="10"/>
  <c r="AN8" i="10"/>
  <c r="AN9" i="10"/>
  <c r="AN11" i="10"/>
  <c r="AN12" i="10"/>
  <c r="AN13" i="10"/>
  <c r="AN14" i="10"/>
  <c r="AN19" i="10"/>
  <c r="AN20" i="10"/>
  <c r="AN21" i="10"/>
  <c r="AN22" i="10"/>
  <c r="AN25" i="10"/>
  <c r="AN27" i="10"/>
  <c r="AN29" i="10"/>
  <c r="AN30" i="10"/>
  <c r="AN31" i="10"/>
  <c r="AN32" i="10"/>
  <c r="AN33" i="10"/>
  <c r="AN34" i="10"/>
  <c r="AN39" i="10"/>
  <c r="AN40" i="10"/>
  <c r="AN41" i="10"/>
  <c r="AN42" i="10"/>
  <c r="AN43" i="10"/>
  <c r="AN44" i="10"/>
  <c r="AN45" i="10"/>
  <c r="AN46" i="10"/>
  <c r="AN49" i="10"/>
  <c r="AN50" i="10"/>
  <c r="AN51" i="10"/>
  <c r="AN52" i="10"/>
  <c r="AN53" i="10"/>
  <c r="AN55" i="10"/>
  <c r="AN58" i="10"/>
  <c r="AN61" i="10"/>
  <c r="AN62" i="10"/>
  <c r="AN63" i="10"/>
  <c r="AN65" i="10"/>
  <c r="AN66" i="10"/>
  <c r="AN67" i="10"/>
  <c r="AN68" i="10"/>
  <c r="AN69" i="10"/>
  <c r="AN70" i="10"/>
  <c r="AN71" i="10"/>
  <c r="AN72" i="10"/>
  <c r="AN73" i="10"/>
  <c r="AN74" i="10"/>
  <c r="AN77" i="10"/>
  <c r="AN78" i="10"/>
  <c r="AN79" i="10"/>
  <c r="AN80" i="10"/>
  <c r="AN81" i="10"/>
  <c r="AN82" i="10"/>
  <c r="AN83" i="10"/>
  <c r="AN84" i="10"/>
  <c r="AN87" i="10"/>
  <c r="AN88" i="10"/>
  <c r="AN89" i="10"/>
  <c r="AN90" i="10"/>
  <c r="AN91" i="10"/>
  <c r="AN93" i="10"/>
  <c r="AN94" i="10"/>
  <c r="AN95" i="10"/>
  <c r="AN96" i="10"/>
  <c r="AN97" i="10"/>
  <c r="AN98" i="10"/>
  <c r="AN99" i="10"/>
  <c r="AN100" i="10"/>
  <c r="AN3" i="10"/>
  <c r="AO104" i="10"/>
  <c r="AK104" i="10"/>
  <c r="AO100" i="10"/>
  <c r="AK100" i="10"/>
  <c r="AO98" i="10"/>
  <c r="AK98" i="10"/>
  <c r="AO96" i="10"/>
  <c r="AK96" i="10"/>
  <c r="AO94" i="10"/>
  <c r="AK94" i="10"/>
  <c r="AO92" i="10"/>
  <c r="AK92" i="10"/>
  <c r="AO90" i="10"/>
  <c r="AK90" i="10"/>
  <c r="AO88" i="10"/>
  <c r="AK88" i="10"/>
  <c r="AO86" i="10"/>
  <c r="AK86" i="10"/>
  <c r="AO84" i="10"/>
  <c r="AK84" i="10"/>
  <c r="AO82" i="10"/>
  <c r="AK82" i="10"/>
  <c r="AO80" i="10"/>
  <c r="AK80" i="10"/>
  <c r="AO78" i="10"/>
  <c r="AK78" i="10"/>
  <c r="AO76" i="10"/>
  <c r="AK76" i="10"/>
  <c r="AO74" i="10"/>
  <c r="AK74" i="10"/>
  <c r="AO72" i="10"/>
  <c r="AK72" i="10"/>
  <c r="AO70" i="10"/>
  <c r="AK70" i="10"/>
  <c r="AO68" i="10"/>
  <c r="AK68" i="10"/>
  <c r="AO66" i="10"/>
  <c r="AK66" i="10"/>
  <c r="AO64" i="10"/>
  <c r="AK64" i="10"/>
  <c r="AO62" i="10"/>
  <c r="AK62" i="10"/>
  <c r="AO58" i="10"/>
  <c r="AK58" i="10"/>
  <c r="AO56" i="10"/>
  <c r="AK56" i="10"/>
  <c r="AO54" i="10"/>
  <c r="AK54" i="10"/>
  <c r="AO52" i="10"/>
  <c r="AK52" i="10"/>
  <c r="AO50" i="10"/>
  <c r="AK50" i="10"/>
  <c r="AO46" i="10"/>
  <c r="AK46" i="10"/>
  <c r="AO44" i="10"/>
  <c r="AK44" i="10"/>
  <c r="AO42" i="10"/>
  <c r="AK42" i="10"/>
  <c r="AO40" i="10"/>
  <c r="AK40" i="10"/>
  <c r="AK16" i="10"/>
  <c r="AK14" i="10"/>
  <c r="AZ105" i="10"/>
  <c r="AZ106" i="10"/>
  <c r="G77" i="10"/>
  <c r="G78" i="10"/>
  <c r="G105" i="10"/>
  <c r="H77" i="10"/>
  <c r="H78" i="10"/>
  <c r="H105" i="10"/>
  <c r="I105" i="10"/>
  <c r="J105" i="10"/>
  <c r="K105" i="10"/>
  <c r="L105" i="10"/>
  <c r="M105" i="10"/>
  <c r="N105" i="10"/>
  <c r="O105" i="10"/>
  <c r="P105" i="10"/>
  <c r="Q105" i="10"/>
  <c r="R105" i="10"/>
  <c r="S105" i="10"/>
  <c r="T105" i="10"/>
  <c r="U105" i="10"/>
  <c r="V77" i="10"/>
  <c r="V78" i="10"/>
  <c r="V105" i="10"/>
  <c r="W105" i="10"/>
  <c r="X105" i="10"/>
  <c r="Y105" i="10"/>
  <c r="Z105" i="10"/>
  <c r="AA105" i="10"/>
  <c r="AB105" i="10"/>
  <c r="AC105" i="10"/>
  <c r="AD105" i="10"/>
  <c r="AE105" i="10"/>
  <c r="AF105" i="10"/>
  <c r="AG8" i="10"/>
  <c r="AG105" i="10"/>
  <c r="AH105" i="10"/>
  <c r="AI105" i="10"/>
  <c r="AJ105" i="10"/>
  <c r="AK105" i="10"/>
  <c r="AL105" i="10"/>
  <c r="AM105" i="10"/>
  <c r="AN105" i="10"/>
  <c r="AO105" i="10"/>
  <c r="AP105" i="10"/>
  <c r="AQ105" i="10"/>
  <c r="AR105" i="10"/>
  <c r="AS105" i="10"/>
  <c r="AT105" i="10"/>
  <c r="AU105" i="10"/>
  <c r="AV105" i="10"/>
  <c r="AW105" i="10"/>
  <c r="AX105" i="10"/>
  <c r="G106" i="10"/>
  <c r="H106" i="10"/>
  <c r="I106" i="10"/>
  <c r="J106" i="10"/>
  <c r="K106" i="10"/>
  <c r="L106" i="10"/>
  <c r="M106" i="10"/>
  <c r="N106" i="10"/>
  <c r="O106" i="10"/>
  <c r="P106" i="10"/>
  <c r="Q106" i="10"/>
  <c r="R106" i="10"/>
  <c r="S106" i="10"/>
  <c r="T106" i="10"/>
  <c r="U106" i="10"/>
  <c r="V106" i="10"/>
  <c r="W106" i="10"/>
  <c r="X106" i="10"/>
  <c r="Y106" i="10"/>
  <c r="Z106" i="10"/>
  <c r="AA106" i="10"/>
  <c r="AB106" i="10"/>
  <c r="AC106" i="10"/>
  <c r="AD106" i="10"/>
  <c r="AE106" i="10"/>
  <c r="AF106" i="10"/>
  <c r="AG106" i="10"/>
  <c r="AH106" i="10"/>
  <c r="AI106" i="10"/>
  <c r="AJ106" i="10"/>
  <c r="AK106" i="10"/>
  <c r="AL106" i="10"/>
  <c r="AM106" i="10"/>
  <c r="AN106" i="10"/>
  <c r="AO106" i="10"/>
  <c r="AP106" i="10"/>
  <c r="AQ106" i="10"/>
  <c r="AR106" i="10"/>
  <c r="AS106" i="10"/>
  <c r="AT106" i="10"/>
  <c r="AU106" i="10"/>
  <c r="AV106" i="10"/>
  <c r="AW106" i="10"/>
  <c r="AX106" i="10"/>
  <c r="F106" i="10"/>
  <c r="F105" i="10"/>
  <c r="V5" i="10"/>
  <c r="V11" i="10"/>
  <c r="V13" i="10"/>
  <c r="V14" i="10"/>
  <c r="V17" i="10"/>
  <c r="V20" i="10"/>
  <c r="V22" i="10"/>
  <c r="V25" i="10"/>
  <c r="V29" i="10"/>
  <c r="V32" i="10"/>
  <c r="V33" i="10"/>
  <c r="V34" i="10"/>
  <c r="V35" i="10"/>
  <c r="V36" i="10"/>
  <c r="V37" i="10"/>
  <c r="V38" i="10"/>
  <c r="V41" i="10"/>
  <c r="V42" i="10"/>
  <c r="V43" i="10"/>
  <c r="V49" i="10"/>
  <c r="V50" i="10"/>
  <c r="V62" i="10"/>
  <c r="V67" i="10"/>
  <c r="V69" i="10"/>
  <c r="V72" i="10"/>
  <c r="V73" i="10"/>
  <c r="V74" i="10"/>
  <c r="V79" i="10"/>
  <c r="V80" i="10"/>
  <c r="V81" i="10"/>
  <c r="V88" i="10"/>
  <c r="V89" i="10"/>
  <c r="V90" i="10"/>
  <c r="V95" i="10"/>
  <c r="V96" i="10"/>
  <c r="V97" i="10"/>
  <c r="V3" i="10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AT26" i="9"/>
  <c r="AU26" i="9"/>
  <c r="AV26" i="9"/>
  <c r="AW26" i="9"/>
  <c r="F25" i="9"/>
  <c r="V4" i="9"/>
  <c r="V5" i="9"/>
  <c r="V6" i="9"/>
  <c r="V8" i="9"/>
  <c r="V11" i="9"/>
  <c r="V15" i="9"/>
  <c r="V16" i="9"/>
  <c r="V17" i="9"/>
  <c r="V19" i="9"/>
  <c r="V20" i="9"/>
  <c r="V22" i="9"/>
  <c r="V23" i="9"/>
  <c r="AF4" i="9"/>
  <c r="AF5" i="9"/>
  <c r="AF6" i="9"/>
  <c r="K7" i="9"/>
  <c r="AF7" i="9"/>
  <c r="K8" i="9"/>
  <c r="AF8" i="9"/>
  <c r="AF9" i="9"/>
  <c r="AF11" i="9"/>
  <c r="AF12" i="9"/>
  <c r="AF13" i="9"/>
  <c r="AF15" i="9"/>
  <c r="AF17" i="9"/>
  <c r="AF18" i="9"/>
  <c r="AF19" i="9"/>
  <c r="AF20" i="9"/>
  <c r="AF21" i="9"/>
  <c r="AF22" i="9"/>
  <c r="AF23" i="9"/>
  <c r="AF24" i="9"/>
  <c r="AF3" i="9"/>
  <c r="AN4" i="9"/>
  <c r="AN7" i="9"/>
  <c r="AN8" i="9"/>
  <c r="AN9" i="9"/>
  <c r="AN10" i="9"/>
  <c r="AN11" i="9"/>
  <c r="AN12" i="9"/>
  <c r="AN15" i="9"/>
  <c r="AN16" i="9"/>
  <c r="AN17" i="9"/>
  <c r="AN18" i="9"/>
  <c r="AN19" i="9"/>
  <c r="AN20" i="9"/>
  <c r="AN21" i="9"/>
  <c r="AN22" i="9"/>
  <c r="AN23" i="9"/>
  <c r="AN24" i="9"/>
  <c r="AN3" i="9"/>
  <c r="AX24" i="9"/>
  <c r="AW24" i="9"/>
  <c r="AX22" i="9"/>
  <c r="AW22" i="9"/>
  <c r="AX20" i="9"/>
  <c r="AW20" i="9"/>
  <c r="AX18" i="9"/>
  <c r="AW18" i="9"/>
  <c r="AX16" i="9"/>
  <c r="AW16" i="9"/>
  <c r="AW14" i="9"/>
  <c r="AX12" i="9"/>
  <c r="AW12" i="9"/>
  <c r="AX10" i="9"/>
  <c r="AW10" i="9"/>
  <c r="AX8" i="9"/>
  <c r="AW8" i="9"/>
  <c r="AX6" i="9"/>
  <c r="AW6" i="9"/>
  <c r="O4" i="9"/>
  <c r="G4" i="9"/>
  <c r="G5" i="9"/>
  <c r="G6" i="9"/>
  <c r="O8" i="9"/>
  <c r="G8" i="9"/>
  <c r="O11" i="9"/>
  <c r="G11" i="9"/>
  <c r="G15" i="9"/>
  <c r="O16" i="9"/>
  <c r="G16" i="9"/>
  <c r="O17" i="9"/>
  <c r="G17" i="9"/>
  <c r="G19" i="9"/>
  <c r="G20" i="9"/>
  <c r="G22" i="9"/>
  <c r="O23" i="9"/>
  <c r="G23" i="9"/>
  <c r="O24" i="9"/>
  <c r="F4" i="9"/>
  <c r="H4" i="9"/>
  <c r="F5" i="9"/>
  <c r="H5" i="9"/>
  <c r="F6" i="9"/>
  <c r="H6" i="9"/>
  <c r="F8" i="9"/>
  <c r="H8" i="9"/>
  <c r="F11" i="9"/>
  <c r="H11" i="9"/>
  <c r="F15" i="9"/>
  <c r="H15" i="9"/>
  <c r="F16" i="9"/>
  <c r="H16" i="9"/>
  <c r="F17" i="9"/>
  <c r="H17" i="9"/>
  <c r="F19" i="9"/>
  <c r="H19" i="9"/>
  <c r="F20" i="9"/>
  <c r="H20" i="9"/>
  <c r="F22" i="9"/>
  <c r="H22" i="9"/>
  <c r="F23" i="9"/>
  <c r="H23" i="9"/>
  <c r="F24" i="9"/>
  <c r="L7" i="9"/>
  <c r="M7" i="9"/>
  <c r="P4" i="9"/>
  <c r="P5" i="9"/>
  <c r="P6" i="9"/>
  <c r="P8" i="9"/>
  <c r="P11" i="9"/>
  <c r="P15" i="9"/>
  <c r="P16" i="9"/>
  <c r="P17" i="9"/>
  <c r="P19" i="9"/>
  <c r="P20" i="9"/>
  <c r="P22" i="9"/>
  <c r="P23" i="9"/>
  <c r="P24" i="9"/>
  <c r="Q4" i="9"/>
  <c r="Q5" i="9"/>
  <c r="Q6" i="9"/>
  <c r="Q8" i="9"/>
  <c r="Q11" i="9"/>
  <c r="Q15" i="9"/>
  <c r="Q16" i="9"/>
  <c r="Q17" i="9"/>
  <c r="Q19" i="9"/>
  <c r="Q20" i="9"/>
  <c r="Q22" i="9"/>
  <c r="Q23" i="9"/>
  <c r="Q24" i="9"/>
  <c r="R3" i="9"/>
  <c r="R4" i="9"/>
  <c r="R5" i="9"/>
  <c r="R6" i="9"/>
  <c r="R7" i="9"/>
  <c r="R8" i="9"/>
  <c r="R9" i="9"/>
  <c r="R10" i="9"/>
  <c r="R11" i="9"/>
  <c r="R12" i="9"/>
  <c r="R13" i="9"/>
  <c r="R14" i="9"/>
  <c r="R15" i="9"/>
  <c r="R16" i="9"/>
  <c r="R17" i="9"/>
  <c r="R19" i="9"/>
  <c r="R20" i="9"/>
  <c r="R21" i="9"/>
  <c r="R22" i="9"/>
  <c r="R23" i="9"/>
  <c r="R24" i="9"/>
  <c r="S3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T4" i="9"/>
  <c r="T5" i="9"/>
  <c r="T6" i="9"/>
  <c r="T8" i="9"/>
  <c r="T11" i="9"/>
  <c r="T15" i="9"/>
  <c r="T16" i="9"/>
  <c r="T17" i="9"/>
  <c r="T19" i="9"/>
  <c r="T20" i="9"/>
  <c r="T22" i="9"/>
  <c r="T23" i="9"/>
  <c r="T24" i="9"/>
  <c r="Y3" i="9"/>
  <c r="Y5" i="9"/>
  <c r="Y6" i="9"/>
  <c r="Y7" i="9"/>
  <c r="Y8" i="9"/>
  <c r="Y9" i="9"/>
  <c r="Y10" i="9"/>
  <c r="Y11" i="9"/>
  <c r="Y12" i="9"/>
  <c r="Y13" i="9"/>
  <c r="Y14" i="9"/>
  <c r="Y15" i="9"/>
  <c r="Y16" i="9"/>
  <c r="Y17" i="9"/>
  <c r="Y18" i="9"/>
  <c r="Y19" i="9"/>
  <c r="Y20" i="9"/>
  <c r="Y21" i="9"/>
  <c r="Y22" i="9"/>
  <c r="Y23" i="9"/>
  <c r="Y24" i="9"/>
  <c r="F3" i="9"/>
  <c r="AB3" i="9"/>
  <c r="AB4" i="9"/>
  <c r="AB5" i="9"/>
  <c r="AB6" i="9"/>
  <c r="F7" i="9"/>
  <c r="AB7" i="9"/>
  <c r="AB8" i="9"/>
  <c r="F9" i="9"/>
  <c r="AB9" i="9"/>
  <c r="AB11" i="9"/>
  <c r="F12" i="9"/>
  <c r="AB12" i="9"/>
  <c r="F13" i="9"/>
  <c r="AB13" i="9"/>
  <c r="AB15" i="9"/>
  <c r="AB16" i="9"/>
  <c r="AB17" i="9"/>
  <c r="F18" i="9"/>
  <c r="AB18" i="9"/>
  <c r="AB19" i="9"/>
  <c r="AB20" i="9"/>
  <c r="F21" i="9"/>
  <c r="AB21" i="9"/>
  <c r="AB22" i="9"/>
  <c r="AB23" i="9"/>
  <c r="AB24" i="9"/>
  <c r="AC5" i="9"/>
  <c r="AC17" i="9"/>
  <c r="AD3" i="9"/>
  <c r="AD4" i="9"/>
  <c r="AD5" i="9"/>
  <c r="AD6" i="9"/>
  <c r="AD7" i="9"/>
  <c r="AD8" i="9"/>
  <c r="AD9" i="9"/>
  <c r="AD11" i="9"/>
  <c r="AD12" i="9"/>
  <c r="AD13" i="9"/>
  <c r="AD15" i="9"/>
  <c r="AD17" i="9"/>
  <c r="AD18" i="9"/>
  <c r="AD19" i="9"/>
  <c r="AD20" i="9"/>
  <c r="AD21" i="9"/>
  <c r="AD22" i="9"/>
  <c r="AD23" i="9"/>
  <c r="AD24" i="9"/>
  <c r="AG4" i="9"/>
  <c r="AG5" i="9"/>
  <c r="AG6" i="9"/>
  <c r="AG8" i="9"/>
  <c r="AG11" i="9"/>
  <c r="AG15" i="9"/>
  <c r="AG17" i="9"/>
  <c r="AG19" i="9"/>
  <c r="AG20" i="9"/>
  <c r="AG22" i="9"/>
  <c r="AG23" i="9"/>
  <c r="AG24" i="9"/>
  <c r="AH3" i="9"/>
  <c r="AH4" i="9"/>
  <c r="AH5" i="9"/>
  <c r="AH6" i="9"/>
  <c r="AH7" i="9"/>
  <c r="AH8" i="9"/>
  <c r="AH11" i="9"/>
  <c r="AH12" i="9"/>
  <c r="AH15" i="9"/>
  <c r="AH17" i="9"/>
  <c r="AH19" i="9"/>
  <c r="AH20" i="9"/>
  <c r="AH22" i="9"/>
  <c r="AH23" i="9"/>
  <c r="AH24" i="9"/>
  <c r="AK3" i="9"/>
  <c r="AK4" i="9"/>
  <c r="AK7" i="9"/>
  <c r="AK8" i="9"/>
  <c r="AK9" i="9"/>
  <c r="AK10" i="9"/>
  <c r="AK11" i="9"/>
  <c r="AK12" i="9"/>
  <c r="AK15" i="9"/>
  <c r="AK16" i="9"/>
  <c r="AK17" i="9"/>
  <c r="AK18" i="9"/>
  <c r="AK19" i="9"/>
  <c r="AK20" i="9"/>
  <c r="AK21" i="9"/>
  <c r="AK22" i="9"/>
  <c r="AK23" i="9"/>
  <c r="AK24" i="9"/>
  <c r="AL3" i="9"/>
  <c r="AL4" i="9"/>
  <c r="AL7" i="9"/>
  <c r="AL8" i="9"/>
  <c r="AL9" i="9"/>
  <c r="AL11" i="9"/>
  <c r="AL12" i="9"/>
  <c r="AL15" i="9"/>
  <c r="AL17" i="9"/>
  <c r="AL18" i="9"/>
  <c r="AL19" i="9"/>
  <c r="AL20" i="9"/>
  <c r="AL21" i="9"/>
  <c r="AL22" i="9"/>
  <c r="AL23" i="9"/>
  <c r="AL24" i="9"/>
  <c r="AM3" i="9"/>
  <c r="AM4" i="9"/>
  <c r="AM7" i="9"/>
  <c r="AM8" i="9"/>
  <c r="AM10" i="9"/>
  <c r="AM11" i="9"/>
  <c r="AM12" i="9"/>
  <c r="AM15" i="9"/>
  <c r="AM16" i="9"/>
  <c r="AM17" i="9"/>
  <c r="AM19" i="9"/>
  <c r="AM20" i="9"/>
  <c r="AM22" i="9"/>
  <c r="AM23" i="9"/>
  <c r="AM24" i="9"/>
  <c r="AO3" i="9"/>
  <c r="AO4" i="9"/>
  <c r="AO7" i="9"/>
  <c r="AO8" i="9"/>
  <c r="AO9" i="9"/>
  <c r="AO10" i="9"/>
  <c r="AO11" i="9"/>
  <c r="AO12" i="9"/>
  <c r="AO15" i="9"/>
  <c r="AO16" i="9"/>
  <c r="AO17" i="9"/>
  <c r="AO18" i="9"/>
  <c r="AO19" i="9"/>
  <c r="AO20" i="9"/>
  <c r="AO21" i="9"/>
  <c r="AO22" i="9"/>
  <c r="AO23" i="9"/>
  <c r="AO24" i="9"/>
  <c r="AR3" i="9"/>
  <c r="AR4" i="9"/>
  <c r="AR5" i="9"/>
  <c r="AR6" i="9"/>
  <c r="AR7" i="9"/>
  <c r="AR8" i="9"/>
  <c r="AR9" i="9"/>
  <c r="F10" i="9"/>
  <c r="AR10" i="9"/>
  <c r="AR11" i="9"/>
  <c r="AR12" i="9"/>
  <c r="AR13" i="9"/>
  <c r="AR15" i="9"/>
  <c r="AR16" i="9"/>
  <c r="AR17" i="9"/>
  <c r="AR18" i="9"/>
  <c r="AR19" i="9"/>
  <c r="AR20" i="9"/>
  <c r="AR21" i="9"/>
  <c r="AR22" i="9"/>
  <c r="AR23" i="9"/>
  <c r="AR24" i="9"/>
  <c r="AS3" i="9"/>
  <c r="AS4" i="9"/>
  <c r="AS5" i="9"/>
  <c r="AS6" i="9"/>
  <c r="AS7" i="9"/>
  <c r="AS8" i="9"/>
  <c r="AS9" i="9"/>
  <c r="AS10" i="9"/>
  <c r="AS11" i="9"/>
  <c r="AS12" i="9"/>
  <c r="AS13" i="9"/>
  <c r="AS15" i="9"/>
  <c r="AS16" i="9"/>
  <c r="AS17" i="9"/>
  <c r="AS18" i="9"/>
  <c r="AS19" i="9"/>
  <c r="AS20" i="9"/>
  <c r="AS21" i="9"/>
  <c r="AS22" i="9"/>
  <c r="AS23" i="9"/>
  <c r="AS24" i="9"/>
  <c r="AT3" i="9"/>
  <c r="AT4" i="9"/>
  <c r="AT5" i="9"/>
  <c r="AT6" i="9"/>
  <c r="AT7" i="9"/>
  <c r="AT8" i="9"/>
  <c r="AT9" i="9"/>
  <c r="AT10" i="9"/>
  <c r="AT11" i="9"/>
  <c r="AT12" i="9"/>
  <c r="AT13" i="9"/>
  <c r="AT15" i="9"/>
  <c r="AT16" i="9"/>
  <c r="AT17" i="9"/>
  <c r="AT18" i="9"/>
  <c r="AT19" i="9"/>
  <c r="AT20" i="9"/>
  <c r="AT21" i="9"/>
  <c r="AT22" i="9"/>
  <c r="AT23" i="9"/>
  <c r="AT24" i="9"/>
  <c r="AW5" i="9"/>
  <c r="AW7" i="9"/>
  <c r="AW9" i="9"/>
  <c r="AW11" i="9"/>
  <c r="AW13" i="9"/>
  <c r="AW15" i="9"/>
  <c r="AW17" i="9"/>
  <c r="AW19" i="9"/>
  <c r="AW21" i="9"/>
  <c r="AW23" i="9"/>
  <c r="AX5" i="9"/>
  <c r="AX7" i="9"/>
  <c r="AX9" i="9"/>
  <c r="AX11" i="9"/>
  <c r="AX13" i="9"/>
  <c r="AX15" i="9"/>
  <c r="AX17" i="9"/>
  <c r="AX19" i="9"/>
  <c r="AX21" i="9"/>
  <c r="AX23" i="9"/>
  <c r="AX25" i="9"/>
  <c r="AY25" i="9"/>
  <c r="AZ25" i="9"/>
  <c r="BA25" i="9"/>
  <c r="BB25" i="9"/>
  <c r="BC25" i="9"/>
  <c r="AX26" i="9"/>
  <c r="AY26" i="9"/>
  <c r="AZ26" i="9"/>
  <c r="BA26" i="9"/>
  <c r="BB26" i="9"/>
  <c r="BC26" i="9"/>
  <c r="F14" i="9"/>
  <c r="F26" i="9"/>
  <c r="V4" i="8"/>
  <c r="V11" i="8"/>
  <c r="V12" i="8"/>
  <c r="V13" i="8"/>
  <c r="V15" i="8"/>
  <c r="V16" i="8"/>
  <c r="G19" i="8"/>
  <c r="V19" i="8"/>
  <c r="V21" i="8"/>
  <c r="V22" i="8"/>
  <c r="V25" i="8"/>
  <c r="V27" i="8"/>
  <c r="V28" i="8"/>
  <c r="V30" i="8"/>
  <c r="V33" i="8"/>
  <c r="V34" i="8"/>
  <c r="V35" i="8"/>
  <c r="V36" i="8"/>
  <c r="V37" i="8"/>
  <c r="V39" i="8"/>
  <c r="V40" i="8"/>
  <c r="V41" i="8"/>
  <c r="V42" i="8"/>
  <c r="V43" i="8"/>
  <c r="V44" i="8"/>
  <c r="V46" i="8"/>
  <c r="V51" i="8"/>
  <c r="V52" i="8"/>
  <c r="V3" i="8"/>
  <c r="AO50" i="8"/>
  <c r="AN50" i="8"/>
  <c r="AM50" i="8"/>
  <c r="AL50" i="8"/>
  <c r="AK50" i="8"/>
  <c r="AM48" i="8"/>
  <c r="AO48" i="8"/>
  <c r="AN48" i="8"/>
  <c r="AL48" i="8"/>
  <c r="AK48" i="8"/>
  <c r="AO46" i="8"/>
  <c r="AN46" i="8"/>
  <c r="AM46" i="8"/>
  <c r="AL46" i="8"/>
  <c r="AK46" i="8"/>
  <c r="AO44" i="8"/>
  <c r="AN44" i="8"/>
  <c r="AM44" i="8"/>
  <c r="AL44" i="8"/>
  <c r="AK44" i="8"/>
  <c r="AO42" i="8"/>
  <c r="AN42" i="8"/>
  <c r="AM42" i="8"/>
  <c r="AL42" i="8"/>
  <c r="AK42" i="8"/>
  <c r="AO40" i="8"/>
  <c r="AN40" i="8"/>
  <c r="AM40" i="8"/>
  <c r="AL40" i="8"/>
  <c r="AK40" i="8"/>
  <c r="AO38" i="8"/>
  <c r="AL38" i="8"/>
  <c r="AK38" i="8"/>
  <c r="AO36" i="8"/>
  <c r="AN36" i="8"/>
  <c r="AM36" i="8"/>
  <c r="AK36" i="8"/>
  <c r="AO34" i="8"/>
  <c r="AN34" i="8"/>
  <c r="AM34" i="8"/>
  <c r="AK34" i="8"/>
  <c r="AO32" i="8"/>
  <c r="AK32" i="8"/>
  <c r="AO30" i="8"/>
  <c r="AN30" i="8"/>
  <c r="AM30" i="8"/>
  <c r="AL30" i="8"/>
  <c r="AK30" i="8"/>
  <c r="AO28" i="8"/>
  <c r="AN28" i="8"/>
  <c r="AM28" i="8"/>
  <c r="AK28" i="8"/>
  <c r="AO26" i="8"/>
  <c r="AN26" i="8"/>
  <c r="AM26" i="8"/>
  <c r="AK26" i="8"/>
  <c r="AO24" i="8"/>
  <c r="AN24" i="8"/>
  <c r="AM24" i="8"/>
  <c r="AL24" i="8"/>
  <c r="AK24" i="8"/>
  <c r="AO22" i="8"/>
  <c r="AN22" i="8"/>
  <c r="AM22" i="8"/>
  <c r="AL22" i="8"/>
  <c r="AK22" i="8"/>
  <c r="AO20" i="8"/>
  <c r="AN20" i="8"/>
  <c r="AM20" i="8"/>
  <c r="AL20" i="8"/>
  <c r="AK20" i="8"/>
  <c r="AO14" i="8"/>
  <c r="AL14" i="8"/>
  <c r="AK14" i="8"/>
  <c r="AO12" i="8"/>
  <c r="AN12" i="8"/>
  <c r="AM12" i="8"/>
  <c r="AK12" i="8"/>
  <c r="AO10" i="8"/>
  <c r="AN10" i="8"/>
  <c r="AK10" i="8"/>
  <c r="AO8" i="8"/>
  <c r="AN8" i="8"/>
  <c r="AK8" i="8"/>
  <c r="AO6" i="8"/>
  <c r="AK6" i="8"/>
  <c r="AO4" i="8"/>
  <c r="AN4" i="8"/>
  <c r="AM4" i="8"/>
  <c r="AL4" i="8"/>
  <c r="AK4" i="8"/>
  <c r="AX3" i="8"/>
  <c r="AX4" i="8"/>
  <c r="AX5" i="8"/>
  <c r="AX6" i="8"/>
  <c r="AX7" i="8"/>
  <c r="AX8" i="8"/>
  <c r="AX11" i="8"/>
  <c r="AX12" i="8"/>
  <c r="AX13" i="8"/>
  <c r="AX14" i="8"/>
  <c r="AX15" i="8"/>
  <c r="AX16" i="8"/>
  <c r="AX17" i="8"/>
  <c r="AX18" i="8"/>
  <c r="AX19" i="8"/>
  <c r="AX20" i="8"/>
  <c r="AX21" i="8"/>
  <c r="AX22" i="8"/>
  <c r="AX23" i="8"/>
  <c r="AX24" i="8"/>
  <c r="AX25" i="8"/>
  <c r="AX26" i="8"/>
  <c r="AX29" i="8"/>
  <c r="AX30" i="8"/>
  <c r="AX31" i="8"/>
  <c r="AX32" i="8"/>
  <c r="AX33" i="8"/>
  <c r="AX34" i="8"/>
  <c r="AX35" i="8"/>
  <c r="AX36" i="8"/>
  <c r="AX37" i="8"/>
  <c r="AX38" i="8"/>
  <c r="AX41" i="8"/>
  <c r="AX42" i="8"/>
  <c r="AX43" i="8"/>
  <c r="AX44" i="8"/>
  <c r="AX45" i="8"/>
  <c r="AX46" i="8"/>
  <c r="AX47" i="8"/>
  <c r="AX48" i="8"/>
  <c r="AX52" i="8"/>
  <c r="AW48" i="8"/>
  <c r="AW46" i="8"/>
  <c r="AW44" i="8"/>
  <c r="AW42" i="8"/>
  <c r="AW38" i="8"/>
  <c r="AW36" i="8"/>
  <c r="AW34" i="8"/>
  <c r="AW32" i="8"/>
  <c r="AW30" i="8"/>
  <c r="AW26" i="8"/>
  <c r="AW24" i="8"/>
  <c r="AW22" i="8"/>
  <c r="AW20" i="8"/>
  <c r="AW18" i="8"/>
  <c r="AW16" i="8"/>
  <c r="AW14" i="8"/>
  <c r="AW12" i="8"/>
  <c r="AW8" i="8"/>
  <c r="AW6" i="8"/>
  <c r="AW4" i="8"/>
  <c r="AZ51" i="8"/>
  <c r="AZ52" i="8"/>
  <c r="G3" i="8"/>
  <c r="G4" i="8"/>
  <c r="G11" i="8"/>
  <c r="G12" i="8"/>
  <c r="G13" i="8"/>
  <c r="G15" i="8"/>
  <c r="G16" i="8"/>
  <c r="G21" i="8"/>
  <c r="G22" i="8"/>
  <c r="G24" i="8"/>
  <c r="O25" i="8"/>
  <c r="G25" i="8"/>
  <c r="G27" i="8"/>
  <c r="O28" i="8"/>
  <c r="G28" i="8"/>
  <c r="G30" i="8"/>
  <c r="G33" i="8"/>
  <c r="G34" i="8"/>
  <c r="G35" i="8"/>
  <c r="G36" i="8"/>
  <c r="G37" i="8"/>
  <c r="O39" i="8"/>
  <c r="G39" i="8"/>
  <c r="G40" i="8"/>
  <c r="G41" i="8"/>
  <c r="G42" i="8"/>
  <c r="G43" i="8"/>
  <c r="G44" i="8"/>
  <c r="G46" i="8"/>
  <c r="G51" i="8"/>
  <c r="F3" i="8"/>
  <c r="H3" i="8"/>
  <c r="F4" i="8"/>
  <c r="H4" i="8"/>
  <c r="F11" i="8"/>
  <c r="H11" i="8"/>
  <c r="F12" i="8"/>
  <c r="H12" i="8"/>
  <c r="F13" i="8"/>
  <c r="H13" i="8"/>
  <c r="F15" i="8"/>
  <c r="H15" i="8"/>
  <c r="F16" i="8"/>
  <c r="H16" i="8"/>
  <c r="F19" i="8"/>
  <c r="H19" i="8"/>
  <c r="F21" i="8"/>
  <c r="H21" i="8"/>
  <c r="F22" i="8"/>
  <c r="H22" i="8"/>
  <c r="F24" i="8"/>
  <c r="H24" i="8"/>
  <c r="H25" i="8"/>
  <c r="F27" i="8"/>
  <c r="H27" i="8"/>
  <c r="F28" i="8"/>
  <c r="H28" i="8"/>
  <c r="F30" i="8"/>
  <c r="H30" i="8"/>
  <c r="F33" i="8"/>
  <c r="H33" i="8"/>
  <c r="F34" i="8"/>
  <c r="H34" i="8"/>
  <c r="F35" i="8"/>
  <c r="H35" i="8"/>
  <c r="F36" i="8"/>
  <c r="H36" i="8"/>
  <c r="F37" i="8"/>
  <c r="H37" i="8"/>
  <c r="F39" i="8"/>
  <c r="H39" i="8"/>
  <c r="F40" i="8"/>
  <c r="H40" i="8"/>
  <c r="F41" i="8"/>
  <c r="H41" i="8"/>
  <c r="F42" i="8"/>
  <c r="H42" i="8"/>
  <c r="F43" i="8"/>
  <c r="H43" i="8"/>
  <c r="F44" i="8"/>
  <c r="H44" i="8"/>
  <c r="H46" i="8"/>
  <c r="H51" i="8"/>
  <c r="I51" i="8"/>
  <c r="J51" i="8"/>
  <c r="K51" i="8"/>
  <c r="L51" i="8"/>
  <c r="M51" i="8"/>
  <c r="N51" i="8"/>
  <c r="O51" i="8"/>
  <c r="P3" i="8"/>
  <c r="P4" i="8"/>
  <c r="P11" i="8"/>
  <c r="P12" i="8"/>
  <c r="P13" i="8"/>
  <c r="P15" i="8"/>
  <c r="P16" i="8"/>
  <c r="P21" i="8"/>
  <c r="P22" i="8"/>
  <c r="P24" i="8"/>
  <c r="P25" i="8"/>
  <c r="P27" i="8"/>
  <c r="P28" i="8"/>
  <c r="P30" i="8"/>
  <c r="P33" i="8"/>
  <c r="P34" i="8"/>
  <c r="P35" i="8"/>
  <c r="P36" i="8"/>
  <c r="P37" i="8"/>
  <c r="P39" i="8"/>
  <c r="P40" i="8"/>
  <c r="P41" i="8"/>
  <c r="P42" i="8"/>
  <c r="P43" i="8"/>
  <c r="P44" i="8"/>
  <c r="P46" i="8"/>
  <c r="P51" i="8"/>
  <c r="Q3" i="8"/>
  <c r="Q4" i="8"/>
  <c r="Q11" i="8"/>
  <c r="Q12" i="8"/>
  <c r="Q13" i="8"/>
  <c r="Q15" i="8"/>
  <c r="Q16" i="8"/>
  <c r="Q21" i="8"/>
  <c r="Q22" i="8"/>
  <c r="Q24" i="8"/>
  <c r="Q25" i="8"/>
  <c r="Q27" i="8"/>
  <c r="Q28" i="8"/>
  <c r="Q30" i="8"/>
  <c r="Q33" i="8"/>
  <c r="Q34" i="8"/>
  <c r="Q35" i="8"/>
  <c r="Q36" i="8"/>
  <c r="Q37" i="8"/>
  <c r="Q39" i="8"/>
  <c r="Q40" i="8"/>
  <c r="Q41" i="8"/>
  <c r="Q42" i="8"/>
  <c r="Q43" i="8"/>
  <c r="Q44" i="8"/>
  <c r="Q46" i="8"/>
  <c r="Q51" i="8"/>
  <c r="R3" i="8"/>
  <c r="R4" i="8"/>
  <c r="R7" i="8"/>
  <c r="R11" i="8"/>
  <c r="R12" i="8"/>
  <c r="R13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3" i="8"/>
  <c r="R34" i="8"/>
  <c r="R35" i="8"/>
  <c r="R36" i="8"/>
  <c r="R37" i="8"/>
  <c r="R39" i="8"/>
  <c r="R40" i="8"/>
  <c r="R41" i="8"/>
  <c r="R42" i="8"/>
  <c r="R43" i="8"/>
  <c r="R44" i="8"/>
  <c r="R45" i="8"/>
  <c r="R46" i="8"/>
  <c r="R48" i="8"/>
  <c r="R49" i="8"/>
  <c r="R50" i="8"/>
  <c r="R51" i="8"/>
  <c r="S3" i="8"/>
  <c r="S4" i="8"/>
  <c r="S5" i="8"/>
  <c r="S7" i="8"/>
  <c r="S9" i="8"/>
  <c r="S10" i="8"/>
  <c r="S11" i="8"/>
  <c r="S12" i="8"/>
  <c r="S13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3" i="8"/>
  <c r="S34" i="8"/>
  <c r="S35" i="8"/>
  <c r="S36" i="8"/>
  <c r="S37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T3" i="8"/>
  <c r="T4" i="8"/>
  <c r="T11" i="8"/>
  <c r="T12" i="8"/>
  <c r="T13" i="8"/>
  <c r="T15" i="8"/>
  <c r="T16" i="8"/>
  <c r="T19" i="8"/>
  <c r="T21" i="8"/>
  <c r="T22" i="8"/>
  <c r="T24" i="8"/>
  <c r="T25" i="8"/>
  <c r="T27" i="8"/>
  <c r="T28" i="8"/>
  <c r="T30" i="8"/>
  <c r="T33" i="8"/>
  <c r="T34" i="8"/>
  <c r="T35" i="8"/>
  <c r="T36" i="8"/>
  <c r="T37" i="8"/>
  <c r="T39" i="8"/>
  <c r="T40" i="8"/>
  <c r="T41" i="8"/>
  <c r="T42" i="8"/>
  <c r="T43" i="8"/>
  <c r="T44" i="8"/>
  <c r="T46" i="8"/>
  <c r="T51" i="8"/>
  <c r="U51" i="8"/>
  <c r="W51" i="8"/>
  <c r="X51" i="8"/>
  <c r="Y3" i="8"/>
  <c r="Y4" i="8"/>
  <c r="Y5" i="8"/>
  <c r="Y7" i="8"/>
  <c r="Y9" i="8"/>
  <c r="Y11" i="8"/>
  <c r="Y12" i="8"/>
  <c r="Y13" i="8"/>
  <c r="Y15" i="8"/>
  <c r="Y16" i="8"/>
  <c r="Y17" i="8"/>
  <c r="Y19" i="8"/>
  <c r="Y21" i="8"/>
  <c r="Y22" i="8"/>
  <c r="Y25" i="8"/>
  <c r="Y27" i="8"/>
  <c r="Y35" i="8"/>
  <c r="Y36" i="8"/>
  <c r="Y37" i="8"/>
  <c r="Y39" i="8"/>
  <c r="Y40" i="8"/>
  <c r="Y41" i="8"/>
  <c r="Y43" i="8"/>
  <c r="Y45" i="8"/>
  <c r="Y47" i="8"/>
  <c r="Y49" i="8"/>
  <c r="Y50" i="8"/>
  <c r="Y51" i="8"/>
  <c r="Z51" i="8"/>
  <c r="AA51" i="8"/>
  <c r="AB3" i="8"/>
  <c r="AB4" i="8"/>
  <c r="F5" i="8"/>
  <c r="AB5" i="8"/>
  <c r="F6" i="8"/>
  <c r="AB6" i="8"/>
  <c r="F9" i="8"/>
  <c r="AB9" i="8"/>
  <c r="AB11" i="8"/>
  <c r="AB13" i="8"/>
  <c r="F14" i="8"/>
  <c r="AB14" i="8"/>
  <c r="AB15" i="8"/>
  <c r="AB16" i="8"/>
  <c r="AB17" i="8"/>
  <c r="AB18" i="8"/>
  <c r="AB19" i="8"/>
  <c r="F20" i="8"/>
  <c r="AB20" i="8"/>
  <c r="AB21" i="8"/>
  <c r="AB22" i="8"/>
  <c r="F23" i="8"/>
  <c r="AB23" i="8"/>
  <c r="AB24" i="8"/>
  <c r="AB25" i="8"/>
  <c r="F29" i="8"/>
  <c r="AB29" i="8"/>
  <c r="AB30" i="8"/>
  <c r="AB31" i="8"/>
  <c r="AB33" i="8"/>
  <c r="AB34" i="8"/>
  <c r="AB35" i="8"/>
  <c r="AB36" i="8"/>
  <c r="AB37" i="8"/>
  <c r="F38" i="8"/>
  <c r="AB38" i="8"/>
  <c r="AB39" i="8"/>
  <c r="AB40" i="8"/>
  <c r="AB41" i="8"/>
  <c r="AB42" i="8"/>
  <c r="AB43" i="8"/>
  <c r="AB44" i="8"/>
  <c r="AB45" i="8"/>
  <c r="AB46" i="8"/>
  <c r="F47" i="8"/>
  <c r="AB47" i="8"/>
  <c r="F48" i="8"/>
  <c r="AB48" i="8"/>
  <c r="F49" i="8"/>
  <c r="AB49" i="8"/>
  <c r="F50" i="8"/>
  <c r="AB50" i="8"/>
  <c r="AB51" i="8"/>
  <c r="AC51" i="8"/>
  <c r="AD3" i="8"/>
  <c r="AD4" i="8"/>
  <c r="AD5" i="8"/>
  <c r="AD9" i="8"/>
  <c r="AD11" i="8"/>
  <c r="AD13" i="8"/>
  <c r="AD14" i="8"/>
  <c r="AD15" i="8"/>
  <c r="AD16" i="8"/>
  <c r="AD17" i="8"/>
  <c r="AD18" i="8"/>
  <c r="AD19" i="8"/>
  <c r="AD20" i="8"/>
  <c r="AD21" i="8"/>
  <c r="AD22" i="8"/>
  <c r="AD23" i="8"/>
  <c r="AD25" i="8"/>
  <c r="AD29" i="8"/>
  <c r="AD30" i="8"/>
  <c r="AD31" i="8"/>
  <c r="AD33" i="8"/>
  <c r="AD34" i="8"/>
  <c r="AD35" i="8"/>
  <c r="AD36" i="8"/>
  <c r="AD37" i="8"/>
  <c r="AD38" i="8"/>
  <c r="AD39" i="8"/>
  <c r="AD40" i="8"/>
  <c r="AD41" i="8"/>
  <c r="AD42" i="8"/>
  <c r="AD43" i="8"/>
  <c r="AD44" i="8"/>
  <c r="AD45" i="8"/>
  <c r="AD46" i="8"/>
  <c r="AD47" i="8"/>
  <c r="AD48" i="8"/>
  <c r="AD49" i="8"/>
  <c r="AD50" i="8"/>
  <c r="AD51" i="8"/>
  <c r="AE51" i="8"/>
  <c r="AF3" i="8"/>
  <c r="AF4" i="8"/>
  <c r="AF5" i="8"/>
  <c r="AF7" i="8"/>
  <c r="AF9" i="8"/>
  <c r="AF11" i="8"/>
  <c r="AF13" i="8"/>
  <c r="AF15" i="8"/>
  <c r="AF16" i="8"/>
  <c r="AF17" i="8"/>
  <c r="AF18" i="8"/>
  <c r="AF19" i="8"/>
  <c r="AF20" i="8"/>
  <c r="AF21" i="8"/>
  <c r="AF22" i="8"/>
  <c r="AF23" i="8"/>
  <c r="AF24" i="8"/>
  <c r="AF25" i="8"/>
  <c r="AF29" i="8"/>
  <c r="AF30" i="8"/>
  <c r="AF31" i="8"/>
  <c r="AF33" i="8"/>
  <c r="AF35" i="8"/>
  <c r="AF36" i="8"/>
  <c r="AF37" i="8"/>
  <c r="AF39" i="8"/>
  <c r="AF40" i="8"/>
  <c r="AF41" i="8"/>
  <c r="AF42" i="8"/>
  <c r="AF43" i="8"/>
  <c r="AF44" i="8"/>
  <c r="AF45" i="8"/>
  <c r="AF46" i="8"/>
  <c r="AF47" i="8"/>
  <c r="AF48" i="8"/>
  <c r="AF49" i="8"/>
  <c r="AF50" i="8"/>
  <c r="AF51" i="8"/>
  <c r="AG3" i="8"/>
  <c r="AG4" i="8"/>
  <c r="AG11" i="8"/>
  <c r="AG13" i="8"/>
  <c r="AG15" i="8"/>
  <c r="AG16" i="8"/>
  <c r="AG19" i="8"/>
  <c r="AG21" i="8"/>
  <c r="AG22" i="8"/>
  <c r="AG24" i="8"/>
  <c r="AG25" i="8"/>
  <c r="AG30" i="8"/>
  <c r="AG33" i="8"/>
  <c r="AG35" i="8"/>
  <c r="AG36" i="8"/>
  <c r="AG37" i="8"/>
  <c r="AG39" i="8"/>
  <c r="AG40" i="8"/>
  <c r="AG41" i="8"/>
  <c r="AG42" i="8"/>
  <c r="AG43" i="8"/>
  <c r="AG44" i="8"/>
  <c r="AG46" i="8"/>
  <c r="AG51" i="8"/>
  <c r="AH3" i="8"/>
  <c r="AH4" i="8"/>
  <c r="AH7" i="8"/>
  <c r="AH11" i="8"/>
  <c r="AH13" i="8"/>
  <c r="AH15" i="8"/>
  <c r="AH16" i="8"/>
  <c r="AH17" i="8"/>
  <c r="AH18" i="8"/>
  <c r="AH19" i="8"/>
  <c r="AH20" i="8"/>
  <c r="AH21" i="8"/>
  <c r="AH22" i="8"/>
  <c r="AH23" i="8"/>
  <c r="AH24" i="8"/>
  <c r="AH25" i="8"/>
  <c r="AH29" i="8"/>
  <c r="AH30" i="8"/>
  <c r="AH33" i="8"/>
  <c r="AH35" i="8"/>
  <c r="AH36" i="8"/>
  <c r="AH37" i="8"/>
  <c r="AH39" i="8"/>
  <c r="AH40" i="8"/>
  <c r="AH41" i="8"/>
  <c r="AH42" i="8"/>
  <c r="AH43" i="8"/>
  <c r="AH44" i="8"/>
  <c r="AH45" i="8"/>
  <c r="AH46" i="8"/>
  <c r="AH48" i="8"/>
  <c r="AH50" i="8"/>
  <c r="AH51" i="8"/>
  <c r="AI51" i="8"/>
  <c r="AJ51" i="8"/>
  <c r="AK3" i="8"/>
  <c r="AK5" i="8"/>
  <c r="AK7" i="8"/>
  <c r="AK9" i="8"/>
  <c r="AK11" i="8"/>
  <c r="AK13" i="8"/>
  <c r="AK19" i="8"/>
  <c r="AK21" i="8"/>
  <c r="AK23" i="8"/>
  <c r="AK25" i="8"/>
  <c r="AK27" i="8"/>
  <c r="AK29" i="8"/>
  <c r="AK31" i="8"/>
  <c r="AK33" i="8"/>
  <c r="AK35" i="8"/>
  <c r="AK37" i="8"/>
  <c r="AK39" i="8"/>
  <c r="AK41" i="8"/>
  <c r="AK43" i="8"/>
  <c r="AK45" i="8"/>
  <c r="AK47" i="8"/>
  <c r="AK49" i="8"/>
  <c r="AK51" i="8"/>
  <c r="AL3" i="8"/>
  <c r="AL5" i="8"/>
  <c r="AL7" i="8"/>
  <c r="AL9" i="8"/>
  <c r="AL11" i="8"/>
  <c r="AL13" i="8"/>
  <c r="AL19" i="8"/>
  <c r="AL21" i="8"/>
  <c r="AL23" i="8"/>
  <c r="AL25" i="8"/>
  <c r="AL29" i="8"/>
  <c r="AL31" i="8"/>
  <c r="AL33" i="8"/>
  <c r="AL37" i="8"/>
  <c r="AL39" i="8"/>
  <c r="AL41" i="8"/>
  <c r="AL43" i="8"/>
  <c r="AL45" i="8"/>
  <c r="AL47" i="8"/>
  <c r="AL49" i="8"/>
  <c r="AL51" i="8"/>
  <c r="AM3" i="8"/>
  <c r="AM7" i="8"/>
  <c r="AM11" i="8"/>
  <c r="AM13" i="8"/>
  <c r="AM19" i="8"/>
  <c r="AM21" i="8"/>
  <c r="AM23" i="8"/>
  <c r="AM25" i="8"/>
  <c r="AM27" i="8"/>
  <c r="AM29" i="8"/>
  <c r="AM33" i="8"/>
  <c r="AM35" i="8"/>
  <c r="AM37" i="8"/>
  <c r="AM39" i="8"/>
  <c r="AM41" i="8"/>
  <c r="AM43" i="8"/>
  <c r="AM45" i="8"/>
  <c r="AM51" i="8"/>
  <c r="AN3" i="8"/>
  <c r="AN5" i="8"/>
  <c r="AN7" i="8"/>
  <c r="AN9" i="8"/>
  <c r="AN11" i="8"/>
  <c r="AN13" i="8"/>
  <c r="AN19" i="8"/>
  <c r="AN21" i="8"/>
  <c r="AN23" i="8"/>
  <c r="AN25" i="8"/>
  <c r="AN27" i="8"/>
  <c r="AN29" i="8"/>
  <c r="AN31" i="8"/>
  <c r="AN33" i="8"/>
  <c r="AN35" i="8"/>
  <c r="AN37" i="8"/>
  <c r="AN39" i="8"/>
  <c r="AN41" i="8"/>
  <c r="AN43" i="8"/>
  <c r="AN45" i="8"/>
  <c r="AN47" i="8"/>
  <c r="AN49" i="8"/>
  <c r="AN51" i="8"/>
  <c r="AO3" i="8"/>
  <c r="AO5" i="8"/>
  <c r="AO7" i="8"/>
  <c r="AO9" i="8"/>
  <c r="AO11" i="8"/>
  <c r="AO13" i="8"/>
  <c r="AO19" i="8"/>
  <c r="AO21" i="8"/>
  <c r="AO23" i="8"/>
  <c r="AO25" i="8"/>
  <c r="AO27" i="8"/>
  <c r="AO29" i="8"/>
  <c r="AO31" i="8"/>
  <c r="AO33" i="8"/>
  <c r="AO35" i="8"/>
  <c r="AO37" i="8"/>
  <c r="AO39" i="8"/>
  <c r="AO41" i="8"/>
  <c r="AO43" i="8"/>
  <c r="AO45" i="8"/>
  <c r="AO47" i="8"/>
  <c r="AO49" i="8"/>
  <c r="AO51" i="8"/>
  <c r="AP51" i="8"/>
  <c r="AQ51" i="8"/>
  <c r="AR3" i="8"/>
  <c r="AR4" i="8"/>
  <c r="AR5" i="8"/>
  <c r="AR6" i="8"/>
  <c r="AR9" i="8"/>
  <c r="F10" i="8"/>
  <c r="AR10" i="8"/>
  <c r="AR11" i="8"/>
  <c r="AR12" i="8"/>
  <c r="AR13" i="8"/>
  <c r="AR14" i="8"/>
  <c r="AR15" i="8"/>
  <c r="AR16" i="8"/>
  <c r="AR17" i="8"/>
  <c r="AR18" i="8"/>
  <c r="AR19" i="8"/>
  <c r="AR20" i="8"/>
  <c r="AR21" i="8"/>
  <c r="AR22" i="8"/>
  <c r="AR23" i="8"/>
  <c r="AR24" i="8"/>
  <c r="AR25" i="8"/>
  <c r="AR26" i="8"/>
  <c r="AR27" i="8"/>
  <c r="AR28" i="8"/>
  <c r="AR29" i="8"/>
  <c r="AR30" i="8"/>
  <c r="AR31" i="8"/>
  <c r="AR32" i="8"/>
  <c r="AR33" i="8"/>
  <c r="AR34" i="8"/>
  <c r="AR35" i="8"/>
  <c r="AR36" i="8"/>
  <c r="AR37" i="8"/>
  <c r="AR38" i="8"/>
  <c r="AR39" i="8"/>
  <c r="AR40" i="8"/>
  <c r="AR41" i="8"/>
  <c r="AR42" i="8"/>
  <c r="AR43" i="8"/>
  <c r="AR44" i="8"/>
  <c r="AR45" i="8"/>
  <c r="AR46" i="8"/>
  <c r="AR47" i="8"/>
  <c r="AR48" i="8"/>
  <c r="AR49" i="8"/>
  <c r="AR50" i="8"/>
  <c r="AR51" i="8"/>
  <c r="AS3" i="8"/>
  <c r="AS4" i="8"/>
  <c r="AS5" i="8"/>
  <c r="AS6" i="8"/>
  <c r="AS7" i="8"/>
  <c r="AS8" i="8"/>
  <c r="AS9" i="8"/>
  <c r="AS10" i="8"/>
  <c r="AS11" i="8"/>
  <c r="AS12" i="8"/>
  <c r="AS13" i="8"/>
  <c r="AS14" i="8"/>
  <c r="AS15" i="8"/>
  <c r="AS16" i="8"/>
  <c r="AS17" i="8"/>
  <c r="AS18" i="8"/>
  <c r="AS19" i="8"/>
  <c r="AS20" i="8"/>
  <c r="AS21" i="8"/>
  <c r="AS22" i="8"/>
  <c r="AS23" i="8"/>
  <c r="AS24" i="8"/>
  <c r="AS25" i="8"/>
  <c r="AS26" i="8"/>
  <c r="AS27" i="8"/>
  <c r="AS28" i="8"/>
  <c r="AS29" i="8"/>
  <c r="AS30" i="8"/>
  <c r="AS31" i="8"/>
  <c r="AS32" i="8"/>
  <c r="AS33" i="8"/>
  <c r="AS34" i="8"/>
  <c r="AS35" i="8"/>
  <c r="AS36" i="8"/>
  <c r="AS37" i="8"/>
  <c r="AS38" i="8"/>
  <c r="AS39" i="8"/>
  <c r="AS40" i="8"/>
  <c r="AS41" i="8"/>
  <c r="AS42" i="8"/>
  <c r="AS43" i="8"/>
  <c r="AS44" i="8"/>
  <c r="AS45" i="8"/>
  <c r="AS46" i="8"/>
  <c r="AS47" i="8"/>
  <c r="AS48" i="8"/>
  <c r="AS49" i="8"/>
  <c r="AS50" i="8"/>
  <c r="AS51" i="8"/>
  <c r="AT3" i="8"/>
  <c r="AT4" i="8"/>
  <c r="AT5" i="8"/>
  <c r="AT7" i="8"/>
  <c r="AT8" i="8"/>
  <c r="AT9" i="8"/>
  <c r="AT10" i="8"/>
  <c r="AT11" i="8"/>
  <c r="AT12" i="8"/>
  <c r="AT13" i="8"/>
  <c r="AT15" i="8"/>
  <c r="AT16" i="8"/>
  <c r="AT17" i="8"/>
  <c r="AT18" i="8"/>
  <c r="AT19" i="8"/>
  <c r="AT20" i="8"/>
  <c r="AT21" i="8"/>
  <c r="AT22" i="8"/>
  <c r="AT23" i="8"/>
  <c r="AT24" i="8"/>
  <c r="AT25" i="8"/>
  <c r="AT26" i="8"/>
  <c r="AT27" i="8"/>
  <c r="AT28" i="8"/>
  <c r="AT29" i="8"/>
  <c r="AT30" i="8"/>
  <c r="AT31" i="8"/>
  <c r="AT33" i="8"/>
  <c r="AT34" i="8"/>
  <c r="AT35" i="8"/>
  <c r="AT36" i="8"/>
  <c r="AT37" i="8"/>
  <c r="AT39" i="8"/>
  <c r="AT40" i="8"/>
  <c r="AT41" i="8"/>
  <c r="AT42" i="8"/>
  <c r="AT43" i="8"/>
  <c r="AT44" i="8"/>
  <c r="AT45" i="8"/>
  <c r="AT46" i="8"/>
  <c r="AT47" i="8"/>
  <c r="AT48" i="8"/>
  <c r="AT49" i="8"/>
  <c r="AT50" i="8"/>
  <c r="AT51" i="8"/>
  <c r="AU51" i="8"/>
  <c r="AV51" i="8"/>
  <c r="AW3" i="8"/>
  <c r="AW5" i="8"/>
  <c r="AW7" i="8"/>
  <c r="AW11" i="8"/>
  <c r="AW13" i="8"/>
  <c r="AW15" i="8"/>
  <c r="AW17" i="8"/>
  <c r="AW19" i="8"/>
  <c r="AW21" i="8"/>
  <c r="AW23" i="8"/>
  <c r="AW25" i="8"/>
  <c r="AW29" i="8"/>
  <c r="AW31" i="8"/>
  <c r="AW33" i="8"/>
  <c r="AW35" i="8"/>
  <c r="AW37" i="8"/>
  <c r="AW41" i="8"/>
  <c r="AW43" i="8"/>
  <c r="AW45" i="8"/>
  <c r="AW47" i="8"/>
  <c r="AW51" i="8"/>
  <c r="AX51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U52" i="8"/>
  <c r="AV52" i="8"/>
  <c r="AW52" i="8"/>
  <c r="F51" i="8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2" i="7"/>
  <c r="X25" i="7"/>
  <c r="Y25" i="7"/>
  <c r="Z25" i="7"/>
  <c r="AA25" i="7"/>
  <c r="AB25" i="7"/>
  <c r="AC25" i="7"/>
  <c r="AD18" i="7"/>
  <c r="AD25" i="7"/>
  <c r="AE25" i="7"/>
  <c r="AF25" i="7"/>
  <c r="AG25" i="7"/>
  <c r="AH25" i="7"/>
  <c r="AI25" i="7"/>
  <c r="AJ25" i="7"/>
  <c r="AK25" i="7"/>
  <c r="AL25" i="7"/>
  <c r="AM25" i="7"/>
  <c r="AN25" i="7"/>
  <c r="AO25" i="7"/>
  <c r="AP25" i="7"/>
  <c r="AQ25" i="7"/>
  <c r="AR25" i="7"/>
  <c r="AS25" i="7"/>
  <c r="AT25" i="7"/>
  <c r="AU25" i="7"/>
  <c r="AV25" i="7"/>
  <c r="AW25" i="7"/>
  <c r="AX25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AG26" i="7"/>
  <c r="AH26" i="7"/>
  <c r="AI26" i="7"/>
  <c r="AJ26" i="7"/>
  <c r="AK26" i="7"/>
  <c r="AL26" i="7"/>
  <c r="AM26" i="7"/>
  <c r="AN26" i="7"/>
  <c r="AO26" i="7"/>
  <c r="AP26" i="7"/>
  <c r="AQ26" i="7"/>
  <c r="AR26" i="7"/>
  <c r="AS26" i="7"/>
  <c r="AT26" i="7"/>
  <c r="AU26" i="7"/>
  <c r="AV26" i="7"/>
  <c r="AW26" i="7"/>
  <c r="AX26" i="7"/>
  <c r="F25" i="7"/>
  <c r="AF39" i="6"/>
  <c r="Q39" i="6"/>
  <c r="Q40" i="6"/>
  <c r="AX24" i="7"/>
  <c r="AW24" i="7"/>
  <c r="AX22" i="7"/>
  <c r="AX20" i="7"/>
  <c r="AW20" i="7"/>
  <c r="AX18" i="7"/>
  <c r="AW18" i="7"/>
  <c r="AX16" i="7"/>
  <c r="AW16" i="7"/>
  <c r="AX14" i="7"/>
  <c r="AW14" i="7"/>
  <c r="AW10" i="7"/>
  <c r="AX8" i="7"/>
  <c r="AW8" i="7"/>
  <c r="AX6" i="7"/>
  <c r="AW6" i="7"/>
  <c r="AX4" i="7"/>
  <c r="AW4" i="7"/>
  <c r="AN4" i="7"/>
  <c r="AN7" i="7"/>
  <c r="AN15" i="7"/>
  <c r="AN16" i="7"/>
  <c r="AN17" i="7"/>
  <c r="AN18" i="7"/>
  <c r="AN19" i="7"/>
  <c r="AN20" i="7"/>
  <c r="AN21" i="7"/>
  <c r="AN22" i="7"/>
  <c r="AN23" i="7"/>
  <c r="AN3" i="7"/>
  <c r="AF5" i="7"/>
  <c r="AF6" i="7"/>
  <c r="AF7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V4" i="7"/>
  <c r="V5" i="7"/>
  <c r="V11" i="7"/>
  <c r="V12" i="7"/>
  <c r="V13" i="7"/>
  <c r="V17" i="7"/>
  <c r="V18" i="7"/>
  <c r="V23" i="7"/>
  <c r="V24" i="7"/>
  <c r="V3" i="7"/>
  <c r="K3" i="7"/>
  <c r="L3" i="7"/>
  <c r="O3" i="7"/>
  <c r="G3" i="7"/>
  <c r="K4" i="7"/>
  <c r="O4" i="7"/>
  <c r="G4" i="7"/>
  <c r="O5" i="7"/>
  <c r="G5" i="7"/>
  <c r="O11" i="7"/>
  <c r="G11" i="7"/>
  <c r="O12" i="7"/>
  <c r="G12" i="7"/>
  <c r="G13" i="7"/>
  <c r="G17" i="7"/>
  <c r="G18" i="7"/>
  <c r="G21" i="7"/>
  <c r="G22" i="7"/>
  <c r="O23" i="7"/>
  <c r="G23" i="7"/>
  <c r="G24" i="7"/>
  <c r="F3" i="7"/>
  <c r="H3" i="7"/>
  <c r="F4" i="7"/>
  <c r="H4" i="7"/>
  <c r="F5" i="7"/>
  <c r="H5" i="7"/>
  <c r="H11" i="7"/>
  <c r="H12" i="7"/>
  <c r="F13" i="7"/>
  <c r="H13" i="7"/>
  <c r="F17" i="7"/>
  <c r="H17" i="7"/>
  <c r="F18" i="7"/>
  <c r="H18" i="7"/>
  <c r="H21" i="7"/>
  <c r="H22" i="7"/>
  <c r="H23" i="7"/>
  <c r="H24" i="7"/>
  <c r="L7" i="7"/>
  <c r="P3" i="7"/>
  <c r="P4" i="7"/>
  <c r="P5" i="7"/>
  <c r="P11" i="7"/>
  <c r="P12" i="7"/>
  <c r="P13" i="7"/>
  <c r="P17" i="7"/>
  <c r="P18" i="7"/>
  <c r="P21" i="7"/>
  <c r="P22" i="7"/>
  <c r="P23" i="7"/>
  <c r="P24" i="7"/>
  <c r="Q3" i="7"/>
  <c r="Q4" i="7"/>
  <c r="Q5" i="7"/>
  <c r="Q11" i="7"/>
  <c r="Q12" i="7"/>
  <c r="Q13" i="7"/>
  <c r="Q17" i="7"/>
  <c r="Q18" i="7"/>
  <c r="Q21" i="7"/>
  <c r="Q22" i="7"/>
  <c r="Q23" i="7"/>
  <c r="Q24" i="7"/>
  <c r="R3" i="7"/>
  <c r="R4" i="7"/>
  <c r="R5" i="7"/>
  <c r="R7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S3" i="7"/>
  <c r="S4" i="7"/>
  <c r="S5" i="7"/>
  <c r="S6" i="7"/>
  <c r="S7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T3" i="7"/>
  <c r="T4" i="7"/>
  <c r="T5" i="7"/>
  <c r="T11" i="7"/>
  <c r="T12" i="7"/>
  <c r="T13" i="7"/>
  <c r="T17" i="7"/>
  <c r="T18" i="7"/>
  <c r="T21" i="7"/>
  <c r="T22" i="7"/>
  <c r="T23" i="7"/>
  <c r="T24" i="7"/>
  <c r="Y5" i="7"/>
  <c r="Y6" i="7"/>
  <c r="Y11" i="7"/>
  <c r="Y12" i="7"/>
  <c r="Y13" i="7"/>
  <c r="Y14" i="7"/>
  <c r="Y15" i="7"/>
  <c r="Y16" i="7"/>
  <c r="Y17" i="7"/>
  <c r="Y19" i="7"/>
  <c r="Y21" i="7"/>
  <c r="AB5" i="7"/>
  <c r="F6" i="7"/>
  <c r="AB6" i="7"/>
  <c r="F7" i="7"/>
  <c r="AB7" i="7"/>
  <c r="AB11" i="7"/>
  <c r="AB12" i="7"/>
  <c r="AB13" i="7"/>
  <c r="F14" i="7"/>
  <c r="AB14" i="7"/>
  <c r="F15" i="7"/>
  <c r="AB15" i="7"/>
  <c r="F16" i="7"/>
  <c r="AB16" i="7"/>
  <c r="AB17" i="7"/>
  <c r="AB18" i="7"/>
  <c r="AB19" i="7"/>
  <c r="AB20" i="7"/>
  <c r="AB21" i="7"/>
  <c r="AB22" i="7"/>
  <c r="AB23" i="7"/>
  <c r="AC7" i="7"/>
  <c r="AD5" i="7"/>
  <c r="AD6" i="7"/>
  <c r="AD7" i="7"/>
  <c r="AD11" i="7"/>
  <c r="AD12" i="7"/>
  <c r="AD13" i="7"/>
  <c r="AD14" i="7"/>
  <c r="AD15" i="7"/>
  <c r="AD16" i="7"/>
  <c r="AD17" i="7"/>
  <c r="AD19" i="7"/>
  <c r="AD20" i="7"/>
  <c r="AD21" i="7"/>
  <c r="AD22" i="7"/>
  <c r="AD23" i="7"/>
  <c r="AG5" i="7"/>
  <c r="AG11" i="7"/>
  <c r="AG12" i="7"/>
  <c r="AG13" i="7"/>
  <c r="AG17" i="7"/>
  <c r="AG18" i="7"/>
  <c r="AG21" i="7"/>
  <c r="AG22" i="7"/>
  <c r="AG23" i="7"/>
  <c r="AG24" i="7"/>
  <c r="AH5" i="7"/>
  <c r="AH7" i="7"/>
  <c r="AH11" i="7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K7" i="7"/>
  <c r="AK8" i="7"/>
  <c r="AK15" i="7"/>
  <c r="AK16" i="7"/>
  <c r="AK17" i="7"/>
  <c r="AK18" i="7"/>
  <c r="AK19" i="7"/>
  <c r="AK20" i="7"/>
  <c r="AK21" i="7"/>
  <c r="AK22" i="7"/>
  <c r="AK23" i="7"/>
  <c r="AL7" i="7"/>
  <c r="AL15" i="7"/>
  <c r="AL16" i="7"/>
  <c r="AL17" i="7"/>
  <c r="AL18" i="7"/>
  <c r="AL19" i="7"/>
  <c r="AL20" i="7"/>
  <c r="AL21" i="7"/>
  <c r="AL22" i="7"/>
  <c r="AL23" i="7"/>
  <c r="AM3" i="7"/>
  <c r="AM4" i="7"/>
  <c r="AM7" i="7"/>
  <c r="AM15" i="7"/>
  <c r="AM16" i="7"/>
  <c r="AM17" i="7"/>
  <c r="AM18" i="7"/>
  <c r="AM19" i="7"/>
  <c r="AM20" i="7"/>
  <c r="AM21" i="7"/>
  <c r="AM22" i="7"/>
  <c r="AM23" i="7"/>
  <c r="AO3" i="7"/>
  <c r="AO4" i="7"/>
  <c r="AO7" i="7"/>
  <c r="AO8" i="7"/>
  <c r="AO15" i="7"/>
  <c r="AO16" i="7"/>
  <c r="AO17" i="7"/>
  <c r="AO18" i="7"/>
  <c r="AO19" i="7"/>
  <c r="AO20" i="7"/>
  <c r="AO21" i="7"/>
  <c r="AO22" i="7"/>
  <c r="AO23" i="7"/>
  <c r="AR3" i="7"/>
  <c r="AR4" i="7"/>
  <c r="AR5" i="7"/>
  <c r="AR6" i="7"/>
  <c r="AR7" i="7"/>
  <c r="F8" i="7"/>
  <c r="AR8" i="7"/>
  <c r="AR11" i="7"/>
  <c r="AR12" i="7"/>
  <c r="AR13" i="7"/>
  <c r="AR14" i="7"/>
  <c r="AR15" i="7"/>
  <c r="AR16" i="7"/>
  <c r="AR17" i="7"/>
  <c r="AR18" i="7"/>
  <c r="AR19" i="7"/>
  <c r="AR20" i="7"/>
  <c r="AR21" i="7"/>
  <c r="AR22" i="7"/>
  <c r="AR23" i="7"/>
  <c r="AR24" i="7"/>
  <c r="AS3" i="7"/>
  <c r="AS4" i="7"/>
  <c r="AS5" i="7"/>
  <c r="AS6" i="7"/>
  <c r="AS7" i="7"/>
  <c r="AS8" i="7"/>
  <c r="AS11" i="7"/>
  <c r="AS12" i="7"/>
  <c r="AS13" i="7"/>
  <c r="AS14" i="7"/>
  <c r="AS15" i="7"/>
  <c r="AS16" i="7"/>
  <c r="AS17" i="7"/>
  <c r="AS18" i="7"/>
  <c r="AS19" i="7"/>
  <c r="AS20" i="7"/>
  <c r="AS21" i="7"/>
  <c r="AS22" i="7"/>
  <c r="AS23" i="7"/>
  <c r="AS24" i="7"/>
  <c r="AT3" i="7"/>
  <c r="AT4" i="7"/>
  <c r="AT5" i="7"/>
  <c r="AT6" i="7"/>
  <c r="AT7" i="7"/>
  <c r="AT11" i="7"/>
  <c r="AT12" i="7"/>
  <c r="AT13" i="7"/>
  <c r="AT14" i="7"/>
  <c r="AT15" i="7"/>
  <c r="AT16" i="7"/>
  <c r="AT17" i="7"/>
  <c r="AT18" i="7"/>
  <c r="AT19" i="7"/>
  <c r="AT20" i="7"/>
  <c r="AT21" i="7"/>
  <c r="AT22" i="7"/>
  <c r="AT23" i="7"/>
  <c r="AT24" i="7"/>
  <c r="AW3" i="7"/>
  <c r="AW5" i="7"/>
  <c r="AW7" i="7"/>
  <c r="AW9" i="7"/>
  <c r="AW13" i="7"/>
  <c r="AW15" i="7"/>
  <c r="AW17" i="7"/>
  <c r="AW19" i="7"/>
  <c r="AW23" i="7"/>
  <c r="AX3" i="7"/>
  <c r="AX5" i="7"/>
  <c r="AX7" i="7"/>
  <c r="AX13" i="7"/>
  <c r="AX15" i="7"/>
  <c r="AX17" i="7"/>
  <c r="AX19" i="7"/>
  <c r="AX21" i="7"/>
  <c r="AX23" i="7"/>
  <c r="AY25" i="7"/>
  <c r="AZ25" i="7"/>
  <c r="BA25" i="7"/>
  <c r="BB25" i="7"/>
  <c r="BC25" i="7"/>
  <c r="AY26" i="7"/>
  <c r="AZ26" i="7"/>
  <c r="BA26" i="7"/>
  <c r="BB26" i="7"/>
  <c r="BC26" i="7"/>
  <c r="F26" i="7"/>
  <c r="F39" i="6"/>
  <c r="F40" i="6"/>
  <c r="AF15" i="6"/>
  <c r="AF17" i="6"/>
  <c r="AF19" i="6"/>
  <c r="AF20" i="6"/>
  <c r="AF21" i="6"/>
  <c r="AF22" i="6"/>
  <c r="AF23" i="6"/>
  <c r="AF24" i="6"/>
  <c r="AF25" i="6"/>
  <c r="AF26" i="6"/>
  <c r="AF27" i="6"/>
  <c r="AF28" i="6"/>
  <c r="AF29" i="6"/>
  <c r="AF30" i="6"/>
  <c r="AF31" i="6"/>
  <c r="AF33" i="6"/>
  <c r="AF34" i="6"/>
  <c r="AF35" i="6"/>
  <c r="AF36" i="6"/>
  <c r="AF37" i="6"/>
  <c r="AF38" i="6"/>
  <c r="AL33" i="6"/>
  <c r="AM32" i="6"/>
  <c r="AM33" i="6"/>
  <c r="AN4" i="6"/>
  <c r="AN11" i="6"/>
  <c r="AN21" i="6"/>
  <c r="AN22" i="6"/>
  <c r="AN23" i="6"/>
  <c r="AN24" i="6"/>
  <c r="AN27" i="6"/>
  <c r="AN28" i="6"/>
  <c r="AN29" i="6"/>
  <c r="AN30" i="6"/>
  <c r="AN31" i="6"/>
  <c r="AN32" i="6"/>
  <c r="AN33" i="6"/>
  <c r="AN34" i="6"/>
  <c r="AN35" i="6"/>
  <c r="AN36" i="6"/>
  <c r="K37" i="6"/>
  <c r="AN37" i="6"/>
  <c r="AN38" i="6"/>
  <c r="AO27" i="6"/>
  <c r="AO28" i="6"/>
  <c r="AO29" i="6"/>
  <c r="AO30" i="6"/>
  <c r="AO31" i="6"/>
  <c r="AO32" i="6"/>
  <c r="AO33" i="6"/>
  <c r="AO34" i="6"/>
  <c r="AO35" i="6"/>
  <c r="AO36" i="6"/>
  <c r="AO37" i="6"/>
  <c r="AO38" i="6"/>
  <c r="AW3" i="6"/>
  <c r="AW4" i="6"/>
  <c r="AW9" i="6"/>
  <c r="AW10" i="6"/>
  <c r="AW19" i="6"/>
  <c r="AW20" i="6"/>
  <c r="AW21" i="6"/>
  <c r="AW22" i="6"/>
  <c r="AW23" i="6"/>
  <c r="AW24" i="6"/>
  <c r="AW25" i="6"/>
  <c r="AW26" i="6"/>
  <c r="AW27" i="6"/>
  <c r="AW28" i="6"/>
  <c r="AW31" i="6"/>
  <c r="AW32" i="6"/>
  <c r="AW33" i="6"/>
  <c r="AW34" i="6"/>
  <c r="AW35" i="6"/>
  <c r="AW36" i="6"/>
  <c r="AW37" i="6"/>
  <c r="AW38" i="6"/>
  <c r="AW39" i="6"/>
  <c r="AX3" i="6"/>
  <c r="AX4" i="6"/>
  <c r="AX9" i="6"/>
  <c r="AX19" i="6"/>
  <c r="AX20" i="6"/>
  <c r="AX21" i="6"/>
  <c r="AX22" i="6"/>
  <c r="AX23" i="6"/>
  <c r="AX24" i="6"/>
  <c r="AX25" i="6"/>
  <c r="AX26" i="6"/>
  <c r="AX27" i="6"/>
  <c r="AX28" i="6"/>
  <c r="AX31" i="6"/>
  <c r="AX32" i="6"/>
  <c r="AX33" i="6"/>
  <c r="AX34" i="6"/>
  <c r="AX35" i="6"/>
  <c r="AX36" i="6"/>
  <c r="AX37" i="6"/>
  <c r="AX38" i="6"/>
  <c r="AX39" i="6"/>
  <c r="AW40" i="6"/>
  <c r="AX40" i="6"/>
  <c r="P15" i="6"/>
  <c r="G15" i="6"/>
  <c r="K17" i="6"/>
  <c r="L17" i="6"/>
  <c r="P17" i="6"/>
  <c r="G17" i="6"/>
  <c r="M19" i="6"/>
  <c r="P19" i="6"/>
  <c r="G19" i="6"/>
  <c r="G21" i="6"/>
  <c r="G22" i="6"/>
  <c r="G23" i="6"/>
  <c r="P24" i="6"/>
  <c r="G24" i="6"/>
  <c r="G25" i="6"/>
  <c r="P26" i="6"/>
  <c r="G26" i="6"/>
  <c r="G27" i="6"/>
  <c r="G28" i="6"/>
  <c r="P29" i="6"/>
  <c r="G29" i="6"/>
  <c r="G30" i="6"/>
  <c r="P32" i="6"/>
  <c r="G32" i="6"/>
  <c r="G33" i="6"/>
  <c r="P34" i="6"/>
  <c r="G34" i="6"/>
  <c r="G35" i="6"/>
  <c r="G36" i="6"/>
  <c r="G37" i="6"/>
  <c r="G38" i="6"/>
  <c r="G39" i="6"/>
  <c r="F15" i="6"/>
  <c r="H15" i="6"/>
  <c r="F17" i="6"/>
  <c r="H17" i="6"/>
  <c r="F19" i="6"/>
  <c r="H19" i="6"/>
  <c r="F21" i="6"/>
  <c r="H21" i="6"/>
  <c r="F22" i="6"/>
  <c r="H22" i="6"/>
  <c r="F23" i="6"/>
  <c r="H23" i="6"/>
  <c r="F24" i="6"/>
  <c r="H24" i="6"/>
  <c r="F25" i="6"/>
  <c r="H25" i="6"/>
  <c r="F26" i="6"/>
  <c r="H26" i="6"/>
  <c r="F27" i="6"/>
  <c r="H27" i="6"/>
  <c r="F28" i="6"/>
  <c r="H28" i="6"/>
  <c r="H29" i="6"/>
  <c r="H30" i="6"/>
  <c r="H32" i="6"/>
  <c r="H33" i="6"/>
  <c r="H34" i="6"/>
  <c r="H35" i="6"/>
  <c r="H36" i="6"/>
  <c r="F37" i="6"/>
  <c r="H37" i="6"/>
  <c r="F38" i="6"/>
  <c r="H38" i="6"/>
  <c r="H39" i="6"/>
  <c r="I39" i="6"/>
  <c r="J39" i="6"/>
  <c r="K39" i="6"/>
  <c r="L39" i="6"/>
  <c r="M39" i="6"/>
  <c r="N39" i="6"/>
  <c r="O15" i="6"/>
  <c r="O17" i="6"/>
  <c r="O19" i="6"/>
  <c r="O21" i="6"/>
  <c r="O22" i="6"/>
  <c r="O23" i="6"/>
  <c r="O24" i="6"/>
  <c r="O25" i="6"/>
  <c r="O26" i="6"/>
  <c r="O27" i="6"/>
  <c r="O28" i="6"/>
  <c r="O29" i="6"/>
  <c r="O30" i="6"/>
  <c r="O32" i="6"/>
  <c r="O33" i="6"/>
  <c r="O34" i="6"/>
  <c r="O35" i="6"/>
  <c r="O36" i="6"/>
  <c r="O37" i="6"/>
  <c r="O38" i="6"/>
  <c r="O39" i="6"/>
  <c r="P39" i="6"/>
  <c r="Q15" i="6"/>
  <c r="Q17" i="6"/>
  <c r="Q19" i="6"/>
  <c r="Q21" i="6"/>
  <c r="Q22" i="6"/>
  <c r="Q23" i="6"/>
  <c r="Q24" i="6"/>
  <c r="Q25" i="6"/>
  <c r="Q26" i="6"/>
  <c r="Q27" i="6"/>
  <c r="Q28" i="6"/>
  <c r="Q29" i="6"/>
  <c r="Q30" i="6"/>
  <c r="Q32" i="6"/>
  <c r="Q33" i="6"/>
  <c r="Q34" i="6"/>
  <c r="Q35" i="6"/>
  <c r="Q36" i="6"/>
  <c r="Q37" i="6"/>
  <c r="Q38" i="6"/>
  <c r="R3" i="6"/>
  <c r="R5" i="6"/>
  <c r="R8" i="6"/>
  <c r="R11" i="6"/>
  <c r="R13" i="6"/>
  <c r="R15" i="6"/>
  <c r="R17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S3" i="6"/>
  <c r="S4" i="6"/>
  <c r="S5" i="6"/>
  <c r="S8" i="6"/>
  <c r="S11" i="6"/>
  <c r="S13" i="6"/>
  <c r="S15" i="6"/>
  <c r="S17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T15" i="6"/>
  <c r="T17" i="6"/>
  <c r="T19" i="6"/>
  <c r="T21" i="6"/>
  <c r="T22" i="6"/>
  <c r="T23" i="6"/>
  <c r="T24" i="6"/>
  <c r="T25" i="6"/>
  <c r="T26" i="6"/>
  <c r="T27" i="6"/>
  <c r="T28" i="6"/>
  <c r="T29" i="6"/>
  <c r="T30" i="6"/>
  <c r="T32" i="6"/>
  <c r="T33" i="6"/>
  <c r="T34" i="6"/>
  <c r="T35" i="6"/>
  <c r="T36" i="6"/>
  <c r="T37" i="6"/>
  <c r="T38" i="6"/>
  <c r="T39" i="6"/>
  <c r="U39" i="6"/>
  <c r="V15" i="6"/>
  <c r="V17" i="6"/>
  <c r="V19" i="6"/>
  <c r="V21" i="6"/>
  <c r="V22" i="6"/>
  <c r="V23" i="6"/>
  <c r="V24" i="6"/>
  <c r="V25" i="6"/>
  <c r="V26" i="6"/>
  <c r="V27" i="6"/>
  <c r="V28" i="6"/>
  <c r="V29" i="6"/>
  <c r="V30" i="6"/>
  <c r="V32" i="6"/>
  <c r="V33" i="6"/>
  <c r="V34" i="6"/>
  <c r="V35" i="6"/>
  <c r="V36" i="6"/>
  <c r="V37" i="6"/>
  <c r="V38" i="6"/>
  <c r="V39" i="6"/>
  <c r="W39" i="6"/>
  <c r="X39" i="6"/>
  <c r="Y3" i="6"/>
  <c r="Y4" i="6"/>
  <c r="Y7" i="6"/>
  <c r="Y19" i="6"/>
  <c r="Y20" i="6"/>
  <c r="Y21" i="6"/>
  <c r="Y22" i="6"/>
  <c r="Y23" i="6"/>
  <c r="Y24" i="6"/>
  <c r="Y25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Z39" i="6"/>
  <c r="AA39" i="6"/>
  <c r="AB3" i="6"/>
  <c r="AB4" i="6"/>
  <c r="AB15" i="6"/>
  <c r="AB17" i="6"/>
  <c r="AB19" i="6"/>
  <c r="F20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3" i="6"/>
  <c r="AB34" i="6"/>
  <c r="AB35" i="6"/>
  <c r="AB36" i="6"/>
  <c r="AB37" i="6"/>
  <c r="AB38" i="6"/>
  <c r="AB39" i="6"/>
  <c r="AC39" i="6"/>
  <c r="AD3" i="6"/>
  <c r="AD15" i="6"/>
  <c r="AD17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3" i="6"/>
  <c r="AD34" i="6"/>
  <c r="AD35" i="6"/>
  <c r="AD36" i="6"/>
  <c r="AD37" i="6"/>
  <c r="AD38" i="6"/>
  <c r="AD39" i="6"/>
  <c r="AE39" i="6"/>
  <c r="AG15" i="6"/>
  <c r="AG17" i="6"/>
  <c r="AG19" i="6"/>
  <c r="AG21" i="6"/>
  <c r="AG22" i="6"/>
  <c r="AG23" i="6"/>
  <c r="AG24" i="6"/>
  <c r="AG25" i="6"/>
  <c r="AG27" i="6"/>
  <c r="AG28" i="6"/>
  <c r="AG29" i="6"/>
  <c r="AG30" i="6"/>
  <c r="AG33" i="6"/>
  <c r="AG34" i="6"/>
  <c r="AG35" i="6"/>
  <c r="AG36" i="6"/>
  <c r="AG37" i="6"/>
  <c r="AG38" i="6"/>
  <c r="AG39" i="6"/>
  <c r="AH15" i="6"/>
  <c r="AH17" i="6"/>
  <c r="AH19" i="6"/>
  <c r="AH20" i="6"/>
  <c r="AH21" i="6"/>
  <c r="AH22" i="6"/>
  <c r="AH23" i="6"/>
  <c r="AH24" i="6"/>
  <c r="AH25" i="6"/>
  <c r="AH26" i="6"/>
  <c r="AH27" i="6"/>
  <c r="AH28" i="6"/>
  <c r="AH29" i="6"/>
  <c r="AH30" i="6"/>
  <c r="AH33" i="6"/>
  <c r="AH34" i="6"/>
  <c r="AH35" i="6"/>
  <c r="AH36" i="6"/>
  <c r="AH37" i="6"/>
  <c r="AH38" i="6"/>
  <c r="AH39" i="6"/>
  <c r="AI39" i="6"/>
  <c r="AJ39" i="6"/>
  <c r="AK11" i="6"/>
  <c r="AK12" i="6"/>
  <c r="AK21" i="6"/>
  <c r="AK22" i="6"/>
  <c r="AK23" i="6"/>
  <c r="AK24" i="6"/>
  <c r="AK27" i="6"/>
  <c r="AK28" i="6"/>
  <c r="AK29" i="6"/>
  <c r="AK30" i="6"/>
  <c r="AK31" i="6"/>
  <c r="AK32" i="6"/>
  <c r="AK33" i="6"/>
  <c r="AK34" i="6"/>
  <c r="AK35" i="6"/>
  <c r="AK36" i="6"/>
  <c r="AK37" i="6"/>
  <c r="AK38" i="6"/>
  <c r="AK39" i="6"/>
  <c r="AL21" i="6"/>
  <c r="AL22" i="6"/>
  <c r="AL23" i="6"/>
  <c r="AL24" i="6"/>
  <c r="AL27" i="6"/>
  <c r="AL28" i="6"/>
  <c r="AL29" i="6"/>
  <c r="AL30" i="6"/>
  <c r="AL31" i="6"/>
  <c r="AL34" i="6"/>
  <c r="AL35" i="6"/>
  <c r="AL36" i="6"/>
  <c r="AL37" i="6"/>
  <c r="AL38" i="6"/>
  <c r="AL39" i="6"/>
  <c r="AM11" i="6"/>
  <c r="AM21" i="6"/>
  <c r="AM22" i="6"/>
  <c r="AM23" i="6"/>
  <c r="AM24" i="6"/>
  <c r="AM27" i="6"/>
  <c r="AM28" i="6"/>
  <c r="AM29" i="6"/>
  <c r="AM30" i="6"/>
  <c r="AM34" i="6"/>
  <c r="AM35" i="6"/>
  <c r="AM36" i="6"/>
  <c r="AM37" i="6"/>
  <c r="AM38" i="6"/>
  <c r="AM39" i="6"/>
  <c r="AN3" i="6"/>
  <c r="AN39" i="6"/>
  <c r="AO3" i="6"/>
  <c r="AO4" i="6"/>
  <c r="AO11" i="6"/>
  <c r="AO21" i="6"/>
  <c r="AO22" i="6"/>
  <c r="AO23" i="6"/>
  <c r="AO24" i="6"/>
  <c r="AO39" i="6"/>
  <c r="AP39" i="6"/>
  <c r="AQ39" i="6"/>
  <c r="AR3" i="6"/>
  <c r="AR4" i="6"/>
  <c r="AR9" i="6"/>
  <c r="AR11" i="6"/>
  <c r="F13" i="6"/>
  <c r="AR13" i="6"/>
  <c r="F14" i="6"/>
  <c r="AR14" i="6"/>
  <c r="AR15" i="6"/>
  <c r="AR17" i="6"/>
  <c r="AR19" i="6"/>
  <c r="AR20" i="6"/>
  <c r="AR21" i="6"/>
  <c r="AR22" i="6"/>
  <c r="AR23" i="6"/>
  <c r="AR24" i="6"/>
  <c r="AR25" i="6"/>
  <c r="AR26" i="6"/>
  <c r="AR27" i="6"/>
  <c r="AR28" i="6"/>
  <c r="AR29" i="6"/>
  <c r="AR30" i="6"/>
  <c r="AR31" i="6"/>
  <c r="AR32" i="6"/>
  <c r="AR33" i="6"/>
  <c r="AR34" i="6"/>
  <c r="AR35" i="6"/>
  <c r="AR36" i="6"/>
  <c r="AR37" i="6"/>
  <c r="AR38" i="6"/>
  <c r="AR39" i="6"/>
  <c r="AS3" i="6"/>
  <c r="AS4" i="6"/>
  <c r="AS9" i="6"/>
  <c r="AS11" i="6"/>
  <c r="AS13" i="6"/>
  <c r="AS14" i="6"/>
  <c r="AS19" i="6"/>
  <c r="AS20" i="6"/>
  <c r="AS21" i="6"/>
  <c r="AS22" i="6"/>
  <c r="AS23" i="6"/>
  <c r="AS24" i="6"/>
  <c r="AS25" i="6"/>
  <c r="AS26" i="6"/>
  <c r="AS27" i="6"/>
  <c r="AS28" i="6"/>
  <c r="AS29" i="6"/>
  <c r="AS30" i="6"/>
  <c r="AS31" i="6"/>
  <c r="AS32" i="6"/>
  <c r="AS33" i="6"/>
  <c r="AS34" i="6"/>
  <c r="AS35" i="6"/>
  <c r="AS36" i="6"/>
  <c r="AS37" i="6"/>
  <c r="AS38" i="6"/>
  <c r="AS39" i="6"/>
  <c r="AT3" i="6"/>
  <c r="AT4" i="6"/>
  <c r="AT7" i="6"/>
  <c r="AT11" i="6"/>
  <c r="AT13" i="6"/>
  <c r="AT15" i="6"/>
  <c r="AT17" i="6"/>
  <c r="AT19" i="6"/>
  <c r="AT20" i="6"/>
  <c r="AT21" i="6"/>
  <c r="AT22" i="6"/>
  <c r="AT23" i="6"/>
  <c r="AT24" i="6"/>
  <c r="AT25" i="6"/>
  <c r="AT26" i="6"/>
  <c r="AT27" i="6"/>
  <c r="AT28" i="6"/>
  <c r="AT29" i="6"/>
  <c r="AT30" i="6"/>
  <c r="AT31" i="6"/>
  <c r="AT32" i="6"/>
  <c r="AT33" i="6"/>
  <c r="AT34" i="6"/>
  <c r="AT35" i="6"/>
  <c r="AT36" i="6"/>
  <c r="AT39" i="6"/>
  <c r="AU39" i="6"/>
  <c r="AV39" i="6"/>
  <c r="G40" i="6"/>
  <c r="H40" i="6"/>
  <c r="I40" i="6"/>
  <c r="J40" i="6"/>
  <c r="K40" i="6"/>
  <c r="L40" i="6"/>
  <c r="M40" i="6"/>
  <c r="N40" i="6"/>
  <c r="O40" i="6"/>
  <c r="P40" i="6"/>
  <c r="R40" i="6"/>
  <c r="S40" i="6"/>
  <c r="T40" i="6"/>
  <c r="U40" i="6"/>
  <c r="V40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F18" i="6"/>
  <c r="AY39" i="6"/>
  <c r="AZ39" i="6"/>
  <c r="BA39" i="6"/>
  <c r="BB39" i="6"/>
  <c r="BC39" i="6"/>
  <c r="AY40" i="6"/>
  <c r="AZ40" i="6"/>
  <c r="BA40" i="6"/>
  <c r="BB40" i="6"/>
  <c r="BC40" i="6"/>
  <c r="G23" i="5"/>
  <c r="F23" i="5"/>
  <c r="G3" i="5"/>
  <c r="G4" i="5"/>
  <c r="G5" i="5"/>
  <c r="G6" i="5"/>
  <c r="K9" i="5"/>
  <c r="O9" i="5"/>
  <c r="G9" i="5"/>
  <c r="O10" i="5"/>
  <c r="G10" i="5"/>
  <c r="O7" i="5"/>
  <c r="G7" i="5"/>
  <c r="O8" i="5"/>
  <c r="G8" i="5"/>
  <c r="G13" i="5"/>
  <c r="O14" i="5"/>
  <c r="G14" i="5"/>
  <c r="O17" i="5"/>
  <c r="G17" i="5"/>
  <c r="O18" i="5"/>
  <c r="G18" i="5"/>
  <c r="G19" i="5"/>
  <c r="H3" i="5"/>
  <c r="H4" i="5"/>
  <c r="H5" i="5"/>
  <c r="H6" i="5"/>
  <c r="F9" i="5"/>
  <c r="H9" i="5"/>
  <c r="F10" i="5"/>
  <c r="H10" i="5"/>
  <c r="H7" i="5"/>
  <c r="H8" i="5"/>
  <c r="F13" i="5"/>
  <c r="H13" i="5"/>
  <c r="F14" i="5"/>
  <c r="H14" i="5"/>
  <c r="F17" i="5"/>
  <c r="H17" i="5"/>
  <c r="F18" i="5"/>
  <c r="H18" i="5"/>
  <c r="F19" i="5"/>
  <c r="H19" i="5"/>
  <c r="H23" i="5"/>
  <c r="I23" i="5"/>
  <c r="J23" i="5"/>
  <c r="K23" i="5"/>
  <c r="L23" i="5"/>
  <c r="M23" i="5"/>
  <c r="N23" i="5"/>
  <c r="O23" i="5"/>
  <c r="P3" i="5"/>
  <c r="P4" i="5"/>
  <c r="P5" i="5"/>
  <c r="P6" i="5"/>
  <c r="P9" i="5"/>
  <c r="P10" i="5"/>
  <c r="P7" i="5"/>
  <c r="P8" i="5"/>
  <c r="P13" i="5"/>
  <c r="P14" i="5"/>
  <c r="P17" i="5"/>
  <c r="P18" i="5"/>
  <c r="P19" i="5"/>
  <c r="P23" i="5"/>
  <c r="Q3" i="5"/>
  <c r="Q4" i="5"/>
  <c r="Q5" i="5"/>
  <c r="Q6" i="5"/>
  <c r="Q9" i="5"/>
  <c r="Q10" i="5"/>
  <c r="Q7" i="5"/>
  <c r="Q8" i="5"/>
  <c r="Q13" i="5"/>
  <c r="Q14" i="5"/>
  <c r="Q17" i="5"/>
  <c r="Q18" i="5"/>
  <c r="Q19" i="5"/>
  <c r="Q23" i="5"/>
  <c r="R3" i="5"/>
  <c r="R4" i="5"/>
  <c r="R5" i="5"/>
  <c r="R6" i="5"/>
  <c r="R9" i="5"/>
  <c r="R10" i="5"/>
  <c r="R7" i="5"/>
  <c r="R8" i="5"/>
  <c r="R11" i="5"/>
  <c r="R13" i="5"/>
  <c r="R14" i="5"/>
  <c r="R15" i="5"/>
  <c r="R16" i="5"/>
  <c r="R17" i="5"/>
  <c r="R18" i="5"/>
  <c r="R19" i="5"/>
  <c r="R20" i="5"/>
  <c r="R23" i="5"/>
  <c r="S3" i="5"/>
  <c r="S4" i="5"/>
  <c r="S5" i="5"/>
  <c r="S6" i="5"/>
  <c r="S9" i="5"/>
  <c r="S10" i="5"/>
  <c r="S7" i="5"/>
  <c r="S8" i="5"/>
  <c r="S11" i="5"/>
  <c r="S13" i="5"/>
  <c r="S14" i="5"/>
  <c r="S15" i="5"/>
  <c r="S16" i="5"/>
  <c r="S17" i="5"/>
  <c r="S18" i="5"/>
  <c r="S19" i="5"/>
  <c r="S20" i="5"/>
  <c r="S23" i="5"/>
  <c r="T3" i="5"/>
  <c r="T4" i="5"/>
  <c r="T5" i="5"/>
  <c r="T6" i="5"/>
  <c r="T9" i="5"/>
  <c r="T10" i="5"/>
  <c r="T7" i="5"/>
  <c r="T8" i="5"/>
  <c r="T13" i="5"/>
  <c r="T14" i="5"/>
  <c r="T17" i="5"/>
  <c r="T18" i="5"/>
  <c r="T19" i="5"/>
  <c r="T23" i="5"/>
  <c r="U23" i="5"/>
  <c r="V3" i="5"/>
  <c r="V4" i="5"/>
  <c r="V5" i="5"/>
  <c r="V6" i="5"/>
  <c r="V9" i="5"/>
  <c r="V10" i="5"/>
  <c r="V7" i="5"/>
  <c r="V8" i="5"/>
  <c r="V13" i="5"/>
  <c r="V14" i="5"/>
  <c r="V17" i="5"/>
  <c r="V18" i="5"/>
  <c r="V19" i="5"/>
  <c r="V23" i="5"/>
  <c r="W23" i="5"/>
  <c r="X23" i="5"/>
  <c r="Y3" i="5"/>
  <c r="Y5" i="5"/>
  <c r="Y6" i="5"/>
  <c r="Y9" i="5"/>
  <c r="Y10" i="5"/>
  <c r="Y7" i="5"/>
  <c r="Y8" i="5"/>
  <c r="Y11" i="5"/>
  <c r="Y13" i="5"/>
  <c r="Y14" i="5"/>
  <c r="Y15" i="5"/>
  <c r="Y17" i="5"/>
  <c r="Y18" i="5"/>
  <c r="Y19" i="5"/>
  <c r="Y20" i="5"/>
  <c r="Y23" i="5"/>
  <c r="Z23" i="5"/>
  <c r="AA23" i="5"/>
  <c r="AB3" i="5"/>
  <c r="AB4" i="5"/>
  <c r="AB5" i="5"/>
  <c r="AB9" i="5"/>
  <c r="AB10" i="5"/>
  <c r="AB7" i="5"/>
  <c r="AB8" i="5"/>
  <c r="F11" i="5"/>
  <c r="AB11" i="5"/>
  <c r="F12" i="5"/>
  <c r="AB12" i="5"/>
  <c r="AB13" i="5"/>
  <c r="F15" i="5"/>
  <c r="AB15" i="5"/>
  <c r="AB17" i="5"/>
  <c r="AB18" i="5"/>
  <c r="AB19" i="5"/>
  <c r="F20" i="5"/>
  <c r="AB20" i="5"/>
  <c r="AB23" i="5"/>
  <c r="AC23" i="5"/>
  <c r="AD3" i="5"/>
  <c r="AD4" i="5"/>
  <c r="AD5" i="5"/>
  <c r="AD9" i="5"/>
  <c r="AD10" i="5"/>
  <c r="AD7" i="5"/>
  <c r="AD8" i="5"/>
  <c r="AD11" i="5"/>
  <c r="AD12" i="5"/>
  <c r="AD13" i="5"/>
  <c r="AD15" i="5"/>
  <c r="AD17" i="5"/>
  <c r="AD18" i="5"/>
  <c r="AD19" i="5"/>
  <c r="AD20" i="5"/>
  <c r="AD23" i="5"/>
  <c r="AE23" i="5"/>
  <c r="AF3" i="5"/>
  <c r="AF4" i="5"/>
  <c r="AF5" i="5"/>
  <c r="AF9" i="5"/>
  <c r="AF7" i="5"/>
  <c r="AF8" i="5"/>
  <c r="AF11" i="5"/>
  <c r="AF13" i="5"/>
  <c r="AF15" i="5"/>
  <c r="AF17" i="5"/>
  <c r="AF18" i="5"/>
  <c r="AF19" i="5"/>
  <c r="AF20" i="5"/>
  <c r="AF23" i="5"/>
  <c r="AG3" i="5"/>
  <c r="AG4" i="5"/>
  <c r="AG5" i="5"/>
  <c r="AG9" i="5"/>
  <c r="AG7" i="5"/>
  <c r="AG8" i="5"/>
  <c r="AG13" i="5"/>
  <c r="AG17" i="5"/>
  <c r="AG18" i="5"/>
  <c r="AG19" i="5"/>
  <c r="AG23" i="5"/>
  <c r="AH3" i="5"/>
  <c r="AH4" i="5"/>
  <c r="AH5" i="5"/>
  <c r="AH9" i="5"/>
  <c r="AH7" i="5"/>
  <c r="AH8" i="5"/>
  <c r="AH11" i="5"/>
  <c r="AH13" i="5"/>
  <c r="AH15" i="5"/>
  <c r="AH17" i="5"/>
  <c r="AH18" i="5"/>
  <c r="AH19" i="5"/>
  <c r="AH20" i="5"/>
  <c r="AH23" i="5"/>
  <c r="AI23" i="5"/>
  <c r="AJ23" i="5"/>
  <c r="AK9" i="5"/>
  <c r="AK10" i="5"/>
  <c r="AK7" i="5"/>
  <c r="AK8" i="5"/>
  <c r="AK11" i="5"/>
  <c r="AK12" i="5"/>
  <c r="AK13" i="5"/>
  <c r="AK14" i="5"/>
  <c r="AK15" i="5"/>
  <c r="AK16" i="5"/>
  <c r="AK17" i="5"/>
  <c r="AK18" i="5"/>
  <c r="AK19" i="5"/>
  <c r="AK20" i="5"/>
  <c r="AK21" i="5"/>
  <c r="AK22" i="5"/>
  <c r="AK23" i="5"/>
  <c r="AL3" i="5"/>
  <c r="AL4" i="5"/>
  <c r="AL9" i="5"/>
  <c r="AL7" i="5"/>
  <c r="AL8" i="5"/>
  <c r="AL11" i="5"/>
  <c r="AL13" i="5"/>
  <c r="AL15" i="5"/>
  <c r="AL17" i="5"/>
  <c r="AL18" i="5"/>
  <c r="AL19" i="5"/>
  <c r="AL20" i="5"/>
  <c r="AL23" i="5"/>
  <c r="AM3" i="5"/>
  <c r="AM4" i="5"/>
  <c r="AM9" i="5"/>
  <c r="AM10" i="5"/>
  <c r="AM7" i="5"/>
  <c r="AM8" i="5"/>
  <c r="AM11" i="5"/>
  <c r="AM13" i="5"/>
  <c r="AM14" i="5"/>
  <c r="AM15" i="5"/>
  <c r="AM16" i="5"/>
  <c r="AM17" i="5"/>
  <c r="AM18" i="5"/>
  <c r="AM19" i="5"/>
  <c r="AM20" i="5"/>
  <c r="AM23" i="5"/>
  <c r="AN3" i="5"/>
  <c r="AN4" i="5"/>
  <c r="AN9" i="5"/>
  <c r="AN10" i="5"/>
  <c r="AN7" i="5"/>
  <c r="AN8" i="5"/>
  <c r="AN11" i="5"/>
  <c r="AN13" i="5"/>
  <c r="AN14" i="5"/>
  <c r="AN15" i="5"/>
  <c r="AN16" i="5"/>
  <c r="AN17" i="5"/>
  <c r="AN18" i="5"/>
  <c r="AN19" i="5"/>
  <c r="AN20" i="5"/>
  <c r="AN23" i="5"/>
  <c r="AO3" i="5"/>
  <c r="AO4" i="5"/>
  <c r="AO9" i="5"/>
  <c r="AO10" i="5"/>
  <c r="AO7" i="5"/>
  <c r="AO8" i="5"/>
  <c r="AO11" i="5"/>
  <c r="AO12" i="5"/>
  <c r="AO13" i="5"/>
  <c r="AO14" i="5"/>
  <c r="AO15" i="5"/>
  <c r="AO16" i="5"/>
  <c r="AO17" i="5"/>
  <c r="AO18" i="5"/>
  <c r="AO19" i="5"/>
  <c r="AO20" i="5"/>
  <c r="AO21" i="5"/>
  <c r="AO22" i="5"/>
  <c r="AO23" i="5"/>
  <c r="AP23" i="5"/>
  <c r="AQ23" i="5"/>
  <c r="AR3" i="5"/>
  <c r="AR4" i="5"/>
  <c r="AR5" i="5"/>
  <c r="AR6" i="5"/>
  <c r="AR9" i="5"/>
  <c r="AR10" i="5"/>
  <c r="AR7" i="5"/>
  <c r="AR8" i="5"/>
  <c r="AR11" i="5"/>
  <c r="AR12" i="5"/>
  <c r="AR13" i="5"/>
  <c r="AR14" i="5"/>
  <c r="AR15" i="5"/>
  <c r="F16" i="5"/>
  <c r="AR16" i="5"/>
  <c r="AR17" i="5"/>
  <c r="AR18" i="5"/>
  <c r="AR19" i="5"/>
  <c r="AR20" i="5"/>
  <c r="F21" i="5"/>
  <c r="AR21" i="5"/>
  <c r="F22" i="5"/>
  <c r="AR22" i="5"/>
  <c r="AR23" i="5"/>
  <c r="AS3" i="5"/>
  <c r="AS4" i="5"/>
  <c r="AS5" i="5"/>
  <c r="AS6" i="5"/>
  <c r="AS9" i="5"/>
  <c r="AS10" i="5"/>
  <c r="AS7" i="5"/>
  <c r="AS8" i="5"/>
  <c r="AS11" i="5"/>
  <c r="AS12" i="5"/>
  <c r="AS13" i="5"/>
  <c r="AS14" i="5"/>
  <c r="AS15" i="5"/>
  <c r="AS16" i="5"/>
  <c r="AS17" i="5"/>
  <c r="AS18" i="5"/>
  <c r="AS19" i="5"/>
  <c r="AS20" i="5"/>
  <c r="AS21" i="5"/>
  <c r="AS22" i="5"/>
  <c r="AS23" i="5"/>
  <c r="AT3" i="5"/>
  <c r="AT4" i="5"/>
  <c r="AT5" i="5"/>
  <c r="AT6" i="5"/>
  <c r="AT9" i="5"/>
  <c r="AT10" i="5"/>
  <c r="AT7" i="5"/>
  <c r="AT8" i="5"/>
  <c r="AT11" i="5"/>
  <c r="AT13" i="5"/>
  <c r="AT14" i="5"/>
  <c r="AT15" i="5"/>
  <c r="AT16" i="5"/>
  <c r="AT17" i="5"/>
  <c r="AT18" i="5"/>
  <c r="AT19" i="5"/>
  <c r="AT20" i="5"/>
  <c r="AT23" i="5"/>
  <c r="AU23" i="5"/>
  <c r="AV23" i="5"/>
  <c r="AW3" i="5"/>
  <c r="AW4" i="5"/>
  <c r="AW5" i="5"/>
  <c r="AW6" i="5"/>
  <c r="AW9" i="5"/>
  <c r="AW10" i="5"/>
  <c r="AW7" i="5"/>
  <c r="AW8" i="5"/>
  <c r="AW11" i="5"/>
  <c r="AW12" i="5"/>
  <c r="AW13" i="5"/>
  <c r="AW14" i="5"/>
  <c r="AW15" i="5"/>
  <c r="AW16" i="5"/>
  <c r="AW17" i="5"/>
  <c r="AW18" i="5"/>
  <c r="AW21" i="5"/>
  <c r="AW22" i="5"/>
  <c r="AW23" i="5"/>
  <c r="AX3" i="5"/>
  <c r="AX4" i="5"/>
  <c r="AX5" i="5"/>
  <c r="AX6" i="5"/>
  <c r="AX9" i="5"/>
  <c r="AX10" i="5"/>
  <c r="AX7" i="5"/>
  <c r="AX8" i="5"/>
  <c r="AX11" i="5"/>
  <c r="AX12" i="5"/>
  <c r="AX13" i="5"/>
  <c r="AX14" i="5"/>
  <c r="AX15" i="5"/>
  <c r="AX16" i="5"/>
  <c r="AX17" i="5"/>
  <c r="AX18" i="5"/>
  <c r="AX21" i="5"/>
  <c r="AX22" i="5"/>
  <c r="AX23" i="5"/>
  <c r="AY23" i="5"/>
  <c r="AZ23" i="5"/>
  <c r="BA23" i="5"/>
  <c r="BB23" i="5"/>
  <c r="BC23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F24" i="5"/>
  <c r="G9" i="4"/>
  <c r="V9" i="4"/>
  <c r="G11" i="4"/>
  <c r="V11" i="4"/>
  <c r="G12" i="4"/>
  <c r="V12" i="4"/>
  <c r="G14" i="4"/>
  <c r="V14" i="4"/>
  <c r="G15" i="4"/>
  <c r="V15" i="4"/>
  <c r="G16" i="4"/>
  <c r="V16" i="4"/>
  <c r="G17" i="4"/>
  <c r="V17" i="4"/>
  <c r="G18" i="4"/>
  <c r="V18" i="4"/>
  <c r="G20" i="4"/>
  <c r="V20" i="4"/>
  <c r="G21" i="4"/>
  <c r="V21" i="4"/>
  <c r="G22" i="4"/>
  <c r="V22" i="4"/>
  <c r="G23" i="4"/>
  <c r="V23" i="4"/>
  <c r="O25" i="4"/>
  <c r="G25" i="4"/>
  <c r="V25" i="4"/>
  <c r="G27" i="4"/>
  <c r="V27" i="4"/>
  <c r="G28" i="4"/>
  <c r="V28" i="4"/>
  <c r="V29" i="4"/>
  <c r="V30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30" i="4"/>
  <c r="F29" i="4"/>
  <c r="F29" i="3"/>
  <c r="V29" i="3"/>
  <c r="V30" i="3"/>
  <c r="V28" i="3"/>
  <c r="V27" i="3"/>
  <c r="V25" i="3"/>
  <c r="V24" i="3"/>
  <c r="V23" i="3"/>
  <c r="V22" i="3"/>
  <c r="V21" i="3"/>
  <c r="V16" i="3"/>
  <c r="V15" i="3"/>
  <c r="V12" i="3"/>
  <c r="V11" i="3"/>
  <c r="V10" i="3"/>
  <c r="V9" i="3"/>
  <c r="V35" i="2"/>
  <c r="V36" i="2"/>
  <c r="V33" i="2"/>
  <c r="V32" i="2"/>
  <c r="V30" i="2"/>
  <c r="V29" i="2"/>
  <c r="V25" i="2"/>
  <c r="V22" i="2"/>
  <c r="V21" i="2"/>
  <c r="V20" i="2"/>
  <c r="V16" i="2"/>
  <c r="V15" i="2"/>
  <c r="V12" i="2"/>
  <c r="V8" i="2"/>
  <c r="V7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G5" i="3"/>
  <c r="G9" i="3"/>
  <c r="O10" i="3"/>
  <c r="G10" i="3"/>
  <c r="G11" i="3"/>
  <c r="O12" i="3"/>
  <c r="G12" i="3"/>
  <c r="G15" i="3"/>
  <c r="O16" i="3"/>
  <c r="G16" i="3"/>
  <c r="O21" i="3"/>
  <c r="G21" i="3"/>
  <c r="O22" i="3"/>
  <c r="G22" i="3"/>
  <c r="O23" i="3"/>
  <c r="G23" i="3"/>
  <c r="O24" i="3"/>
  <c r="G24" i="3"/>
  <c r="O25" i="3"/>
  <c r="G25" i="3"/>
  <c r="G27" i="3"/>
  <c r="G28" i="3"/>
  <c r="G29" i="3"/>
  <c r="H5" i="3"/>
  <c r="H9" i="3"/>
  <c r="H10" i="3"/>
  <c r="H11" i="3"/>
  <c r="H12" i="3"/>
  <c r="H15" i="3"/>
  <c r="H16" i="3"/>
  <c r="H21" i="3"/>
  <c r="H22" i="3"/>
  <c r="H23" i="3"/>
  <c r="H24" i="3"/>
  <c r="H25" i="3"/>
  <c r="H27" i="3"/>
  <c r="H28" i="3"/>
  <c r="H29" i="3"/>
  <c r="I29" i="3"/>
  <c r="J29" i="3"/>
  <c r="K29" i="3"/>
  <c r="L29" i="3"/>
  <c r="M29" i="3"/>
  <c r="N29" i="3"/>
  <c r="O29" i="3"/>
  <c r="P5" i="3"/>
  <c r="P9" i="3"/>
  <c r="P10" i="3"/>
  <c r="P11" i="3"/>
  <c r="P12" i="3"/>
  <c r="P15" i="3"/>
  <c r="P16" i="3"/>
  <c r="P21" i="3"/>
  <c r="P22" i="3"/>
  <c r="P23" i="3"/>
  <c r="P24" i="3"/>
  <c r="P25" i="3"/>
  <c r="P27" i="3"/>
  <c r="P28" i="3"/>
  <c r="P29" i="3"/>
  <c r="Q5" i="3"/>
  <c r="Q9" i="3"/>
  <c r="Q10" i="3"/>
  <c r="Q11" i="3"/>
  <c r="Q12" i="3"/>
  <c r="Q15" i="3"/>
  <c r="Q16" i="3"/>
  <c r="Q21" i="3"/>
  <c r="Q22" i="3"/>
  <c r="Q23" i="3"/>
  <c r="Q24" i="3"/>
  <c r="Q25" i="3"/>
  <c r="Q27" i="3"/>
  <c r="Q28" i="3"/>
  <c r="Q29" i="3"/>
  <c r="R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8" i="3"/>
  <c r="R20" i="3"/>
  <c r="R21" i="3"/>
  <c r="R22" i="3"/>
  <c r="R23" i="3"/>
  <c r="R24" i="3"/>
  <c r="R25" i="3"/>
  <c r="R26" i="3"/>
  <c r="R27" i="3"/>
  <c r="R28" i="3"/>
  <c r="R29" i="3"/>
  <c r="S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20" i="3"/>
  <c r="S21" i="3"/>
  <c r="S22" i="3"/>
  <c r="S23" i="3"/>
  <c r="S24" i="3"/>
  <c r="S25" i="3"/>
  <c r="S26" i="3"/>
  <c r="S27" i="3"/>
  <c r="S28" i="3"/>
  <c r="S29" i="3"/>
  <c r="T5" i="3"/>
  <c r="T9" i="3"/>
  <c r="T10" i="3"/>
  <c r="T11" i="3"/>
  <c r="T12" i="3"/>
  <c r="T15" i="3"/>
  <c r="T16" i="3"/>
  <c r="T21" i="3"/>
  <c r="T22" i="3"/>
  <c r="T23" i="3"/>
  <c r="T24" i="3"/>
  <c r="T25" i="3"/>
  <c r="T27" i="3"/>
  <c r="T28" i="3"/>
  <c r="T29" i="3"/>
  <c r="U29" i="3"/>
  <c r="W29" i="3"/>
  <c r="X29" i="3"/>
  <c r="Y3" i="3"/>
  <c r="Y5" i="3"/>
  <c r="Y6" i="3"/>
  <c r="Y7" i="3"/>
  <c r="Y8" i="3"/>
  <c r="Y9" i="3"/>
  <c r="Y10" i="3"/>
  <c r="Y11" i="3"/>
  <c r="Y12" i="3"/>
  <c r="Y13" i="3"/>
  <c r="Y15" i="3"/>
  <c r="Y16" i="3"/>
  <c r="Y17" i="3"/>
  <c r="Y18" i="3"/>
  <c r="Y21" i="3"/>
  <c r="Y23" i="3"/>
  <c r="Y25" i="3"/>
  <c r="Y26" i="3"/>
  <c r="Y27" i="3"/>
  <c r="Y28" i="3"/>
  <c r="Y29" i="3"/>
  <c r="Z29" i="3"/>
  <c r="AA29" i="3"/>
  <c r="AB3" i="3"/>
  <c r="AB4" i="3"/>
  <c r="AB5" i="3"/>
  <c r="AB6" i="3"/>
  <c r="AB7" i="3"/>
  <c r="AB8" i="3"/>
  <c r="AB9" i="3"/>
  <c r="AB10" i="3"/>
  <c r="AB11" i="3"/>
  <c r="AB12" i="3"/>
  <c r="AB13" i="3"/>
  <c r="AB14" i="3"/>
  <c r="AB15" i="3"/>
  <c r="AB21" i="3"/>
  <c r="AB22" i="3"/>
  <c r="AB23" i="3"/>
  <c r="AB24" i="3"/>
  <c r="AB25" i="3"/>
  <c r="AB26" i="3"/>
  <c r="AB27" i="3"/>
  <c r="AB28" i="3"/>
  <c r="AB29" i="3"/>
  <c r="AC29" i="3"/>
  <c r="AD3" i="3"/>
  <c r="AD4" i="3"/>
  <c r="AD5" i="3"/>
  <c r="AD6" i="3"/>
  <c r="AD7" i="3"/>
  <c r="AD8" i="3"/>
  <c r="AD9" i="3"/>
  <c r="AD10" i="3"/>
  <c r="AD11" i="3"/>
  <c r="AD12" i="3"/>
  <c r="AD13" i="3"/>
  <c r="AD14" i="3"/>
  <c r="AD15" i="3"/>
  <c r="AD21" i="3"/>
  <c r="AD22" i="3"/>
  <c r="AD23" i="3"/>
  <c r="AD24" i="3"/>
  <c r="AD25" i="3"/>
  <c r="AD26" i="3"/>
  <c r="AD27" i="3"/>
  <c r="AD28" i="3"/>
  <c r="AD29" i="3"/>
  <c r="AE29" i="3"/>
  <c r="AF3" i="3"/>
  <c r="AF4" i="3"/>
  <c r="AF5" i="3"/>
  <c r="AF6" i="3"/>
  <c r="AF7" i="3"/>
  <c r="AF8" i="3"/>
  <c r="AF9" i="3"/>
  <c r="AF10" i="3"/>
  <c r="AF11" i="3"/>
  <c r="AF12" i="3"/>
  <c r="AF13" i="3"/>
  <c r="AF14" i="3"/>
  <c r="AF15" i="3"/>
  <c r="AF17" i="3"/>
  <c r="AF18" i="3"/>
  <c r="AF21" i="3"/>
  <c r="AF22" i="3"/>
  <c r="AF23" i="3"/>
  <c r="AF24" i="3"/>
  <c r="AF25" i="3"/>
  <c r="AF26" i="3"/>
  <c r="AF27" i="3"/>
  <c r="AF29" i="3"/>
  <c r="AG5" i="3"/>
  <c r="AG9" i="3"/>
  <c r="AG10" i="3"/>
  <c r="AG11" i="3"/>
  <c r="AG12" i="3"/>
  <c r="AG15" i="3"/>
  <c r="AG21" i="3"/>
  <c r="AG22" i="3"/>
  <c r="AG23" i="3"/>
  <c r="AG24" i="3"/>
  <c r="AG25" i="3"/>
  <c r="AG27" i="3"/>
  <c r="AG29" i="3"/>
  <c r="AH3" i="3"/>
  <c r="AH5" i="3"/>
  <c r="AH6" i="3"/>
  <c r="AH9" i="3"/>
  <c r="AH10" i="3"/>
  <c r="AH11" i="3"/>
  <c r="AH12" i="3"/>
  <c r="AH13" i="3"/>
  <c r="AH14" i="3"/>
  <c r="AH15" i="3"/>
  <c r="AH21" i="3"/>
  <c r="AH22" i="3"/>
  <c r="AH23" i="3"/>
  <c r="AH24" i="3"/>
  <c r="AH25" i="3"/>
  <c r="AH26" i="3"/>
  <c r="AH27" i="3"/>
  <c r="AH29" i="3"/>
  <c r="AI29" i="3"/>
  <c r="AJ29" i="3"/>
  <c r="AK9" i="3"/>
  <c r="AK10" i="3"/>
  <c r="AK11" i="3"/>
  <c r="AK12" i="3"/>
  <c r="AK13" i="3"/>
  <c r="AK14" i="3"/>
  <c r="AK15" i="3"/>
  <c r="AK16" i="3"/>
  <c r="AK17" i="3"/>
  <c r="AK18" i="3"/>
  <c r="AK21" i="3"/>
  <c r="AK22" i="3"/>
  <c r="AK23" i="3"/>
  <c r="AK24" i="3"/>
  <c r="AK25" i="3"/>
  <c r="AK26" i="3"/>
  <c r="AK29" i="3"/>
  <c r="AL3" i="3"/>
  <c r="AL4" i="3"/>
  <c r="AL5" i="3"/>
  <c r="AL6" i="3"/>
  <c r="AL7" i="3"/>
  <c r="AL8" i="3"/>
  <c r="AL9" i="3"/>
  <c r="AL10" i="3"/>
  <c r="AL11" i="3"/>
  <c r="AL12" i="3"/>
  <c r="AL13" i="3"/>
  <c r="AL14" i="3"/>
  <c r="AL15" i="3"/>
  <c r="AL17" i="3"/>
  <c r="AL18" i="3"/>
  <c r="AL21" i="3"/>
  <c r="AL22" i="3"/>
  <c r="AL23" i="3"/>
  <c r="AL24" i="3"/>
  <c r="AL25" i="3"/>
  <c r="AL26" i="3"/>
  <c r="AL29" i="3"/>
  <c r="AM3" i="3"/>
  <c r="AM5" i="3"/>
  <c r="AM6" i="3"/>
  <c r="AM9" i="3"/>
  <c r="AM10" i="3"/>
  <c r="AM11" i="3"/>
  <c r="AM12" i="3"/>
  <c r="AM13" i="3"/>
  <c r="AM14" i="3"/>
  <c r="AM16" i="3"/>
  <c r="AM21" i="3"/>
  <c r="AM22" i="3"/>
  <c r="AM23" i="3"/>
  <c r="AM24" i="3"/>
  <c r="AM25" i="3"/>
  <c r="AM26" i="3"/>
  <c r="AM29" i="3"/>
  <c r="AN3" i="3"/>
  <c r="AN4" i="3"/>
  <c r="AN5" i="3"/>
  <c r="AN6" i="3"/>
  <c r="AN7" i="3"/>
  <c r="AN8" i="3"/>
  <c r="AN9" i="3"/>
  <c r="AN10" i="3"/>
  <c r="AN11" i="3"/>
  <c r="AN12" i="3"/>
  <c r="AN13" i="3"/>
  <c r="AN14" i="3"/>
  <c r="AN15" i="3"/>
  <c r="AN16" i="3"/>
  <c r="AN17" i="3"/>
  <c r="AN18" i="3"/>
  <c r="AN21" i="3"/>
  <c r="AN22" i="3"/>
  <c r="AN23" i="3"/>
  <c r="AN24" i="3"/>
  <c r="AN25" i="3"/>
  <c r="AN26" i="3"/>
  <c r="AN29" i="3"/>
  <c r="AO3" i="3"/>
  <c r="AO4" i="3"/>
  <c r="AO5" i="3"/>
  <c r="AO6" i="3"/>
  <c r="AO7" i="3"/>
  <c r="AO8" i="3"/>
  <c r="AO9" i="3"/>
  <c r="AO10" i="3"/>
  <c r="AO11" i="3"/>
  <c r="AO12" i="3"/>
  <c r="AO13" i="3"/>
  <c r="AO14" i="3"/>
  <c r="AO15" i="3"/>
  <c r="AO16" i="3"/>
  <c r="AO17" i="3"/>
  <c r="AO18" i="3"/>
  <c r="AO21" i="3"/>
  <c r="AO22" i="3"/>
  <c r="AO23" i="3"/>
  <c r="AO24" i="3"/>
  <c r="AO25" i="3"/>
  <c r="AO26" i="3"/>
  <c r="AO29" i="3"/>
  <c r="AP29" i="3"/>
  <c r="AQ29" i="3"/>
  <c r="AR3" i="3"/>
  <c r="AR4" i="3"/>
  <c r="AR5" i="3"/>
  <c r="AR6" i="3"/>
  <c r="AR7" i="3"/>
  <c r="AR8" i="3"/>
  <c r="AR9" i="3"/>
  <c r="AR10" i="3"/>
  <c r="AR11" i="3"/>
  <c r="AR12" i="3"/>
  <c r="AR13" i="3"/>
  <c r="AR14" i="3"/>
  <c r="AR15" i="3"/>
  <c r="AR16" i="3"/>
  <c r="AR20" i="3"/>
  <c r="AR21" i="3"/>
  <c r="AR22" i="3"/>
  <c r="AR23" i="3"/>
  <c r="AR24" i="3"/>
  <c r="AR25" i="3"/>
  <c r="AR26" i="3"/>
  <c r="AR27" i="3"/>
  <c r="AR28" i="3"/>
  <c r="AR29" i="3"/>
  <c r="AS3" i="3"/>
  <c r="AS4" i="3"/>
  <c r="AS5" i="3"/>
  <c r="AS6" i="3"/>
  <c r="AS7" i="3"/>
  <c r="AS8" i="3"/>
  <c r="AS9" i="3"/>
  <c r="AS10" i="3"/>
  <c r="AS11" i="3"/>
  <c r="AS12" i="3"/>
  <c r="AS13" i="3"/>
  <c r="AS14" i="3"/>
  <c r="AS15" i="3"/>
  <c r="AS16" i="3"/>
  <c r="AS17" i="3"/>
  <c r="AS18" i="3"/>
  <c r="AS19" i="3"/>
  <c r="AS20" i="3"/>
  <c r="AS21" i="3"/>
  <c r="AS22" i="3"/>
  <c r="AS23" i="3"/>
  <c r="AS24" i="3"/>
  <c r="AS25" i="3"/>
  <c r="AS26" i="3"/>
  <c r="AS27" i="3"/>
  <c r="AS28" i="3"/>
  <c r="AS29" i="3"/>
  <c r="AT3" i="3"/>
  <c r="AT4" i="3"/>
  <c r="AT5" i="3"/>
  <c r="AT6" i="3"/>
  <c r="AT7" i="3"/>
  <c r="AT8" i="3"/>
  <c r="AT9" i="3"/>
  <c r="AT10" i="3"/>
  <c r="AT11" i="3"/>
  <c r="AT12" i="3"/>
  <c r="AT13" i="3"/>
  <c r="AT14" i="3"/>
  <c r="AT15" i="3"/>
  <c r="AT16" i="3"/>
  <c r="AT17" i="3"/>
  <c r="AT18" i="3"/>
  <c r="AT19" i="3"/>
  <c r="AT20" i="3"/>
  <c r="AT21" i="3"/>
  <c r="AT22" i="3"/>
  <c r="AT23" i="3"/>
  <c r="AT24" i="3"/>
  <c r="AT25" i="3"/>
  <c r="AT26" i="3"/>
  <c r="AT27" i="3"/>
  <c r="AT28" i="3"/>
  <c r="AT29" i="3"/>
  <c r="AU29" i="3"/>
  <c r="AV29" i="3"/>
  <c r="AW3" i="3"/>
  <c r="AW4" i="3"/>
  <c r="AW5" i="3"/>
  <c r="AW6" i="3"/>
  <c r="AW7" i="3"/>
  <c r="AW8" i="3"/>
  <c r="AW9" i="3"/>
  <c r="AW10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9" i="3"/>
  <c r="AX3" i="3"/>
  <c r="AX4" i="3"/>
  <c r="AX5" i="3"/>
  <c r="AX6" i="3"/>
  <c r="AX7" i="3"/>
  <c r="AX8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Y29" i="3"/>
  <c r="AZ29" i="3"/>
  <c r="BA29" i="3"/>
  <c r="BB29" i="3"/>
  <c r="BC29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F30" i="3"/>
  <c r="H55" i="1"/>
  <c r="G6" i="1"/>
  <c r="V6" i="1"/>
  <c r="O7" i="1"/>
  <c r="G7" i="1"/>
  <c r="V7" i="1"/>
  <c r="O8" i="1"/>
  <c r="G8" i="1"/>
  <c r="V8" i="1"/>
  <c r="O9" i="1"/>
  <c r="G9" i="1"/>
  <c r="V9" i="1"/>
  <c r="O10" i="1"/>
  <c r="G10" i="1"/>
  <c r="V10" i="1"/>
  <c r="O11" i="1"/>
  <c r="G11" i="1"/>
  <c r="V11" i="1"/>
  <c r="O12" i="1"/>
  <c r="G12" i="1"/>
  <c r="V12" i="1"/>
  <c r="O16" i="1"/>
  <c r="G16" i="1"/>
  <c r="V16" i="1"/>
  <c r="O17" i="1"/>
  <c r="G17" i="1"/>
  <c r="V17" i="1"/>
  <c r="G19" i="1"/>
  <c r="V19" i="1"/>
  <c r="O20" i="1"/>
  <c r="G20" i="1"/>
  <c r="V20" i="1"/>
  <c r="G23" i="1"/>
  <c r="V23" i="1"/>
  <c r="O24" i="1"/>
  <c r="G24" i="1"/>
  <c r="V24" i="1"/>
  <c r="O26" i="1"/>
  <c r="G26" i="1"/>
  <c r="V26" i="1"/>
  <c r="O29" i="1"/>
  <c r="G29" i="1"/>
  <c r="V29" i="1"/>
  <c r="G35" i="1"/>
  <c r="V35" i="1"/>
  <c r="G36" i="1"/>
  <c r="V36" i="1"/>
  <c r="G43" i="1"/>
  <c r="V43" i="1"/>
  <c r="G44" i="1"/>
  <c r="V44" i="1"/>
  <c r="O46" i="1"/>
  <c r="G46" i="1"/>
  <c r="V46" i="1"/>
  <c r="G50" i="1"/>
  <c r="V50" i="1"/>
  <c r="V55" i="1"/>
  <c r="V56" i="1"/>
  <c r="AN27" i="1"/>
  <c r="AN28" i="1"/>
  <c r="AN3" i="1"/>
  <c r="AN4" i="1"/>
  <c r="AN7" i="1"/>
  <c r="AN8" i="1"/>
  <c r="AN9" i="1"/>
  <c r="AN10" i="1"/>
  <c r="AN11" i="1"/>
  <c r="AN12" i="1"/>
  <c r="AN17" i="1"/>
  <c r="AN21" i="1"/>
  <c r="AN23" i="1"/>
  <c r="AN24" i="1"/>
  <c r="AN25" i="1"/>
  <c r="AN26" i="1"/>
  <c r="AN35" i="1"/>
  <c r="AN36" i="1"/>
  <c r="AN37" i="1"/>
  <c r="AN38" i="1"/>
  <c r="AN39" i="1"/>
  <c r="AN40" i="1"/>
  <c r="AN41" i="1"/>
  <c r="AN42" i="1"/>
  <c r="AN43" i="1"/>
  <c r="AN44" i="1"/>
  <c r="AN47" i="1"/>
  <c r="AN52" i="1"/>
  <c r="AN53" i="1"/>
  <c r="AN54" i="1"/>
  <c r="AN55" i="1"/>
  <c r="AN56" i="1"/>
  <c r="AN7" i="4"/>
  <c r="AN9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G3" i="4"/>
  <c r="H3" i="4"/>
  <c r="Y5" i="4"/>
  <c r="Y9" i="4"/>
  <c r="Y10" i="4"/>
  <c r="Y11" i="4"/>
  <c r="Y12" i="4"/>
  <c r="Y13" i="4"/>
  <c r="Y15" i="4"/>
  <c r="Y17" i="4"/>
  <c r="Y18" i="4"/>
  <c r="Y19" i="4"/>
  <c r="Y20" i="4"/>
  <c r="Y21" i="4"/>
  <c r="Y22" i="4"/>
  <c r="Y23" i="4"/>
  <c r="Y24" i="4"/>
  <c r="Y25" i="4"/>
  <c r="Y26" i="4"/>
  <c r="Y27" i="4"/>
  <c r="Y28" i="4"/>
  <c r="Y3" i="4"/>
  <c r="AF9" i="4"/>
  <c r="AF11" i="4"/>
  <c r="AF12" i="4"/>
  <c r="AF13" i="4"/>
  <c r="AF15" i="4"/>
  <c r="AF16" i="4"/>
  <c r="AF17" i="4"/>
  <c r="AF18" i="4"/>
  <c r="AF19" i="4"/>
  <c r="AF20" i="4"/>
  <c r="AF21" i="4"/>
  <c r="AF22" i="4"/>
  <c r="AF23" i="4"/>
  <c r="AF24" i="4"/>
  <c r="AF27" i="4"/>
  <c r="AF28" i="4"/>
  <c r="AF3" i="4"/>
  <c r="P9" i="4"/>
  <c r="AG9" i="4"/>
  <c r="P11" i="4"/>
  <c r="AG11" i="4"/>
  <c r="P12" i="4"/>
  <c r="AG12" i="4"/>
  <c r="P15" i="4"/>
  <c r="AG15" i="4"/>
  <c r="P16" i="4"/>
  <c r="AG16" i="4"/>
  <c r="P17" i="4"/>
  <c r="AG17" i="4"/>
  <c r="P18" i="4"/>
  <c r="AG18" i="4"/>
  <c r="P20" i="4"/>
  <c r="AG20" i="4"/>
  <c r="P21" i="4"/>
  <c r="AG21" i="4"/>
  <c r="P22" i="4"/>
  <c r="AG22" i="4"/>
  <c r="P23" i="4"/>
  <c r="AG23" i="4"/>
  <c r="P27" i="4"/>
  <c r="AG27" i="4"/>
  <c r="P28" i="4"/>
  <c r="AG28" i="4"/>
  <c r="P3" i="4"/>
  <c r="AG3" i="4"/>
  <c r="AW28" i="4"/>
  <c r="AX28" i="4"/>
  <c r="AW26" i="4"/>
  <c r="AX26" i="4"/>
  <c r="AW24" i="4"/>
  <c r="AX24" i="4"/>
  <c r="AW22" i="4"/>
  <c r="AX22" i="4"/>
  <c r="AW20" i="4"/>
  <c r="AX20" i="4"/>
  <c r="AW18" i="4"/>
  <c r="AX18" i="4"/>
  <c r="AW16" i="4"/>
  <c r="AX16" i="4"/>
  <c r="AW14" i="4"/>
  <c r="AX14" i="4"/>
  <c r="AX10" i="4"/>
  <c r="AW12" i="4"/>
  <c r="AX12" i="4"/>
  <c r="AZ35" i="2"/>
  <c r="AZ36" i="2"/>
  <c r="AZ29" i="4"/>
  <c r="BA29" i="4"/>
  <c r="AZ30" i="4"/>
  <c r="BA30" i="4"/>
  <c r="G29" i="4"/>
  <c r="H9" i="4"/>
  <c r="H11" i="4"/>
  <c r="H12" i="4"/>
  <c r="H14" i="4"/>
  <c r="H15" i="4"/>
  <c r="H16" i="4"/>
  <c r="H17" i="4"/>
  <c r="H18" i="4"/>
  <c r="H20" i="4"/>
  <c r="H21" i="4"/>
  <c r="H22" i="4"/>
  <c r="H23" i="4"/>
  <c r="H25" i="4"/>
  <c r="H27" i="4"/>
  <c r="H28" i="4"/>
  <c r="H29" i="4"/>
  <c r="I29" i="4"/>
  <c r="J29" i="4"/>
  <c r="K29" i="4"/>
  <c r="L29" i="4"/>
  <c r="M29" i="4"/>
  <c r="N29" i="4"/>
  <c r="O29" i="4"/>
  <c r="P4" i="4"/>
  <c r="P7" i="4"/>
  <c r="P14" i="4"/>
  <c r="P25" i="4"/>
  <c r="P29" i="4"/>
  <c r="Q3" i="4"/>
  <c r="Q4" i="4"/>
  <c r="Q7" i="4"/>
  <c r="Q9" i="4"/>
  <c r="Q11" i="4"/>
  <c r="Q12" i="4"/>
  <c r="Q14" i="4"/>
  <c r="Q15" i="4"/>
  <c r="Q16" i="4"/>
  <c r="Q17" i="4"/>
  <c r="Q18" i="4"/>
  <c r="Q20" i="4"/>
  <c r="Q21" i="4"/>
  <c r="Q22" i="4"/>
  <c r="Q23" i="4"/>
  <c r="Q25" i="4"/>
  <c r="Q27" i="4"/>
  <c r="Q28" i="4"/>
  <c r="Q29" i="4"/>
  <c r="R3" i="4"/>
  <c r="R7" i="4"/>
  <c r="R9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S3" i="4"/>
  <c r="S7" i="4"/>
  <c r="S9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T3" i="4"/>
  <c r="T4" i="4"/>
  <c r="T7" i="4"/>
  <c r="T9" i="4"/>
  <c r="T11" i="4"/>
  <c r="T12" i="4"/>
  <c r="T14" i="4"/>
  <c r="T15" i="4"/>
  <c r="T16" i="4"/>
  <c r="T17" i="4"/>
  <c r="T18" i="4"/>
  <c r="T20" i="4"/>
  <c r="T21" i="4"/>
  <c r="T22" i="4"/>
  <c r="T23" i="4"/>
  <c r="T25" i="4"/>
  <c r="T27" i="4"/>
  <c r="T28" i="4"/>
  <c r="T29" i="4"/>
  <c r="U29" i="4"/>
  <c r="W29" i="4"/>
  <c r="X29" i="4"/>
  <c r="Y29" i="4"/>
  <c r="Z29" i="4"/>
  <c r="AA29" i="4"/>
  <c r="AB3" i="4"/>
  <c r="AB5" i="4"/>
  <c r="AB9" i="4"/>
  <c r="AB10" i="4"/>
  <c r="AB11" i="4"/>
  <c r="AB12" i="4"/>
  <c r="AB13" i="4"/>
  <c r="AB15" i="4"/>
  <c r="AB16" i="4"/>
  <c r="AB17" i="4"/>
  <c r="AB18" i="4"/>
  <c r="AB19" i="4"/>
  <c r="AB20" i="4"/>
  <c r="AB21" i="4"/>
  <c r="AB22" i="4"/>
  <c r="AB23" i="4"/>
  <c r="AB24" i="4"/>
  <c r="AB27" i="4"/>
  <c r="AB28" i="4"/>
  <c r="AB29" i="4"/>
  <c r="AC29" i="4"/>
  <c r="AD3" i="4"/>
  <c r="AD5" i="4"/>
  <c r="AD6" i="4"/>
  <c r="AD9" i="4"/>
  <c r="AD10" i="4"/>
  <c r="AD11" i="4"/>
  <c r="AD12" i="4"/>
  <c r="AD13" i="4"/>
  <c r="AD15" i="4"/>
  <c r="AD16" i="4"/>
  <c r="AD17" i="4"/>
  <c r="AD18" i="4"/>
  <c r="AD19" i="4"/>
  <c r="AD20" i="4"/>
  <c r="AD21" i="4"/>
  <c r="AD22" i="4"/>
  <c r="AD23" i="4"/>
  <c r="AD24" i="4"/>
  <c r="AD27" i="4"/>
  <c r="AD28" i="4"/>
  <c r="AD29" i="4"/>
  <c r="AE29" i="4"/>
  <c r="AF29" i="4"/>
  <c r="AG29" i="4"/>
  <c r="AH3" i="4"/>
  <c r="AH9" i="4"/>
  <c r="AH11" i="4"/>
  <c r="AH12" i="4"/>
  <c r="AH13" i="4"/>
  <c r="AH15" i="4"/>
  <c r="AH16" i="4"/>
  <c r="AH17" i="4"/>
  <c r="AH18" i="4"/>
  <c r="AH19" i="4"/>
  <c r="AH20" i="4"/>
  <c r="AH21" i="4"/>
  <c r="AH22" i="4"/>
  <c r="AH23" i="4"/>
  <c r="AH27" i="4"/>
  <c r="AH28" i="4"/>
  <c r="AH29" i="4"/>
  <c r="AI29" i="4"/>
  <c r="AJ29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L9" i="4"/>
  <c r="AL10" i="4"/>
  <c r="AL11" i="4"/>
  <c r="AL12" i="4"/>
  <c r="AL13" i="4"/>
  <c r="AL15" i="4"/>
  <c r="AL16" i="4"/>
  <c r="AL17" i="4"/>
  <c r="AL18" i="4"/>
  <c r="AL19" i="4"/>
  <c r="AL20" i="4"/>
  <c r="AL21" i="4"/>
  <c r="AL22" i="4"/>
  <c r="AL23" i="4"/>
  <c r="AL24" i="4"/>
  <c r="AL27" i="4"/>
  <c r="AL28" i="4"/>
  <c r="AL29" i="4"/>
  <c r="AM7" i="4"/>
  <c r="AM9" i="4"/>
  <c r="AM11" i="4"/>
  <c r="AM12" i="4"/>
  <c r="AM13" i="4"/>
  <c r="AM14" i="4"/>
  <c r="AM15" i="4"/>
  <c r="AM16" i="4"/>
  <c r="AM17" i="4"/>
  <c r="AM18" i="4"/>
  <c r="AM19" i="4"/>
  <c r="AM20" i="4"/>
  <c r="AM21" i="4"/>
  <c r="AM22" i="4"/>
  <c r="AM23" i="4"/>
  <c r="AM25" i="4"/>
  <c r="AM26" i="4"/>
  <c r="AM27" i="4"/>
  <c r="AM28" i="4"/>
  <c r="AM29" i="4"/>
  <c r="AN29" i="4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P29" i="4"/>
  <c r="AQ29" i="4"/>
  <c r="AR3" i="4"/>
  <c r="AR5" i="4"/>
  <c r="AR9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S3" i="4"/>
  <c r="AS5" i="4"/>
  <c r="AS9" i="4"/>
  <c r="AS10" i="4"/>
  <c r="AS11" i="4"/>
  <c r="AS12" i="4"/>
  <c r="AS13" i="4"/>
  <c r="AS14" i="4"/>
  <c r="AS15" i="4"/>
  <c r="AS16" i="4"/>
  <c r="AS17" i="4"/>
  <c r="AS18" i="4"/>
  <c r="AS19" i="4"/>
  <c r="AS20" i="4"/>
  <c r="AS21" i="4"/>
  <c r="AS22" i="4"/>
  <c r="AS23" i="4"/>
  <c r="AS24" i="4"/>
  <c r="AS25" i="4"/>
  <c r="AS26" i="4"/>
  <c r="AS27" i="4"/>
  <c r="AS28" i="4"/>
  <c r="AS29" i="4"/>
  <c r="AT3" i="4"/>
  <c r="AT9" i="4"/>
  <c r="AT11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U29" i="4"/>
  <c r="AV29" i="4"/>
  <c r="AW11" i="4"/>
  <c r="AW13" i="4"/>
  <c r="AW15" i="4"/>
  <c r="AW17" i="4"/>
  <c r="AW19" i="4"/>
  <c r="AW21" i="4"/>
  <c r="AW23" i="4"/>
  <c r="AW25" i="4"/>
  <c r="AW27" i="4"/>
  <c r="AW29" i="4"/>
  <c r="AX9" i="4"/>
  <c r="AX11" i="4"/>
  <c r="AX13" i="4"/>
  <c r="AX15" i="4"/>
  <c r="AX17" i="4"/>
  <c r="AX19" i="4"/>
  <c r="AX21" i="4"/>
  <c r="AX23" i="4"/>
  <c r="AX25" i="4"/>
  <c r="AX27" i="4"/>
  <c r="AX29" i="4"/>
  <c r="AY29" i="4"/>
  <c r="BB29" i="4"/>
  <c r="BC29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AI30" i="4"/>
  <c r="AJ30" i="4"/>
  <c r="AK30" i="4"/>
  <c r="AL30" i="4"/>
  <c r="AM30" i="4"/>
  <c r="AN30" i="4"/>
  <c r="AO30" i="4"/>
  <c r="AP30" i="4"/>
  <c r="AQ30" i="4"/>
  <c r="AR30" i="4"/>
  <c r="AS30" i="4"/>
  <c r="AT30" i="4"/>
  <c r="AU30" i="4"/>
  <c r="AV30" i="4"/>
  <c r="AW30" i="4"/>
  <c r="AX30" i="4"/>
  <c r="AY30" i="4"/>
  <c r="BB30" i="4"/>
  <c r="BC30" i="4"/>
  <c r="AX4" i="2"/>
  <c r="AW4" i="2"/>
  <c r="AX34" i="2"/>
  <c r="AW34" i="2"/>
  <c r="AT32" i="2"/>
  <c r="AT31" i="2"/>
  <c r="AX32" i="2"/>
  <c r="AX30" i="2"/>
  <c r="AW30" i="2"/>
  <c r="AX28" i="2"/>
  <c r="AW28" i="2"/>
  <c r="AX26" i="2"/>
  <c r="AW26" i="2"/>
  <c r="AT24" i="2"/>
  <c r="AX24" i="2"/>
  <c r="AW24" i="2"/>
  <c r="AX22" i="2"/>
  <c r="AW22" i="2"/>
  <c r="AX20" i="2"/>
  <c r="AW20" i="2"/>
  <c r="AX18" i="2"/>
  <c r="AW18" i="2"/>
  <c r="AX16" i="2"/>
  <c r="AW16" i="2"/>
  <c r="AX12" i="2"/>
  <c r="AW12" i="2"/>
  <c r="AX8" i="2"/>
  <c r="AW8" i="2"/>
  <c r="AX54" i="1"/>
  <c r="AW54" i="1"/>
  <c r="AW52" i="1"/>
  <c r="AX52" i="1"/>
  <c r="AW50" i="1"/>
  <c r="AX50" i="1"/>
  <c r="AX48" i="1"/>
  <c r="AW46" i="1"/>
  <c r="AX46" i="1"/>
  <c r="AW44" i="1"/>
  <c r="AX44" i="1"/>
  <c r="AW42" i="1"/>
  <c r="AX42" i="1"/>
  <c r="AW40" i="1"/>
  <c r="AX40" i="1"/>
  <c r="AW38" i="1"/>
  <c r="AX38" i="1"/>
  <c r="AW36" i="1"/>
  <c r="AX36" i="1"/>
  <c r="AW34" i="1"/>
  <c r="AX34" i="1"/>
  <c r="AW32" i="1"/>
  <c r="AX32" i="1"/>
  <c r="AW30" i="1"/>
  <c r="AX30" i="1"/>
  <c r="AW28" i="1"/>
  <c r="AX28" i="1"/>
  <c r="AW26" i="1"/>
  <c r="AX26" i="1"/>
  <c r="AW24" i="1"/>
  <c r="AX24" i="1"/>
  <c r="AW22" i="1"/>
  <c r="AX22" i="1"/>
  <c r="AW20" i="1"/>
  <c r="AX20" i="1"/>
  <c r="AX16" i="1"/>
  <c r="AW18" i="1"/>
  <c r="AX18" i="1"/>
  <c r="AX14" i="1"/>
  <c r="AW12" i="1"/>
  <c r="AX12" i="1"/>
  <c r="AW10" i="1"/>
  <c r="AX10" i="1"/>
  <c r="AW8" i="1"/>
  <c r="AX8" i="1"/>
  <c r="AX4" i="1"/>
  <c r="AW6" i="1"/>
  <c r="AX6" i="1"/>
  <c r="AW4" i="1"/>
  <c r="AH3" i="10"/>
  <c r="G7" i="2"/>
  <c r="G8" i="2"/>
  <c r="G12" i="2"/>
  <c r="G15" i="2"/>
  <c r="O16" i="2"/>
  <c r="G16" i="2"/>
  <c r="O20" i="2"/>
  <c r="G20" i="2"/>
  <c r="O21" i="2"/>
  <c r="G21" i="2"/>
  <c r="O22" i="2"/>
  <c r="G22" i="2"/>
  <c r="G25" i="2"/>
  <c r="O29" i="2"/>
  <c r="G29" i="2"/>
  <c r="O30" i="2"/>
  <c r="G30" i="2"/>
  <c r="G32" i="2"/>
  <c r="G33" i="2"/>
  <c r="G35" i="2"/>
  <c r="H7" i="2"/>
  <c r="H8" i="2"/>
  <c r="H12" i="2"/>
  <c r="H15" i="2"/>
  <c r="H16" i="2"/>
  <c r="H20" i="2"/>
  <c r="H21" i="2"/>
  <c r="H22" i="2"/>
  <c r="H25" i="2"/>
  <c r="H29" i="2"/>
  <c r="H30" i="2"/>
  <c r="H32" i="2"/>
  <c r="H33" i="2"/>
  <c r="H35" i="2"/>
  <c r="I35" i="2"/>
  <c r="J35" i="2"/>
  <c r="K35" i="2"/>
  <c r="L35" i="2"/>
  <c r="M35" i="2"/>
  <c r="N35" i="2"/>
  <c r="O35" i="2"/>
  <c r="P7" i="2"/>
  <c r="P8" i="2"/>
  <c r="P9" i="2"/>
  <c r="P12" i="2"/>
  <c r="P15" i="2"/>
  <c r="P16" i="2"/>
  <c r="P20" i="2"/>
  <c r="P21" i="2"/>
  <c r="P22" i="2"/>
  <c r="P25" i="2"/>
  <c r="P29" i="2"/>
  <c r="P30" i="2"/>
  <c r="P32" i="2"/>
  <c r="P33" i="2"/>
  <c r="P35" i="2"/>
  <c r="Q7" i="2"/>
  <c r="Q8" i="2"/>
  <c r="Q9" i="2"/>
  <c r="Q12" i="2"/>
  <c r="Q15" i="2"/>
  <c r="Q16" i="2"/>
  <c r="Q20" i="2"/>
  <c r="Q21" i="2"/>
  <c r="Q22" i="2"/>
  <c r="Q25" i="2"/>
  <c r="Q29" i="2"/>
  <c r="Q30" i="2"/>
  <c r="Q32" i="2"/>
  <c r="Q33" i="2"/>
  <c r="Q35" i="2"/>
  <c r="R3" i="2"/>
  <c r="R7" i="2"/>
  <c r="R8" i="2"/>
  <c r="R9" i="2"/>
  <c r="R10" i="2"/>
  <c r="R11" i="2"/>
  <c r="R12" i="2"/>
  <c r="R13" i="2"/>
  <c r="R14" i="2"/>
  <c r="R15" i="2"/>
  <c r="R16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S3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T7" i="2"/>
  <c r="T8" i="2"/>
  <c r="T9" i="2"/>
  <c r="T12" i="2"/>
  <c r="T15" i="2"/>
  <c r="T16" i="2"/>
  <c r="T20" i="2"/>
  <c r="T21" i="2"/>
  <c r="T22" i="2"/>
  <c r="T25" i="2"/>
  <c r="T29" i="2"/>
  <c r="T30" i="2"/>
  <c r="T32" i="2"/>
  <c r="T33" i="2"/>
  <c r="T35" i="2"/>
  <c r="U35" i="2"/>
  <c r="W35" i="2"/>
  <c r="X34" i="2"/>
  <c r="X35" i="2"/>
  <c r="Y5" i="2"/>
  <c r="Y6" i="2"/>
  <c r="Y9" i="2"/>
  <c r="Y12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5" i="2"/>
  <c r="Z35" i="2"/>
  <c r="AA35" i="2"/>
  <c r="AB3" i="2"/>
  <c r="AB4" i="2"/>
  <c r="AB5" i="2"/>
  <c r="AB6" i="2"/>
  <c r="AB7" i="2"/>
  <c r="AB8" i="2"/>
  <c r="AB9" i="2"/>
  <c r="AB10" i="2"/>
  <c r="AB11" i="2"/>
  <c r="AB12" i="2"/>
  <c r="AB15" i="2"/>
  <c r="AB16" i="2"/>
  <c r="AB17" i="2"/>
  <c r="AB18" i="2"/>
  <c r="AB19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C35" i="2"/>
  <c r="AD3" i="2"/>
  <c r="AD4" i="2"/>
  <c r="AD5" i="2"/>
  <c r="AD6" i="2"/>
  <c r="AD9" i="2"/>
  <c r="AD11" i="2"/>
  <c r="AD12" i="2"/>
  <c r="AD15" i="2"/>
  <c r="AD16" i="2"/>
  <c r="AD17" i="2"/>
  <c r="AD18" i="2"/>
  <c r="AD19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E35" i="2"/>
  <c r="AF3" i="2"/>
  <c r="AF11" i="2"/>
  <c r="AF12" i="2"/>
  <c r="AF15" i="2"/>
  <c r="AF16" i="2"/>
  <c r="AF17" i="2"/>
  <c r="AF19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G12" i="2"/>
  <c r="AG15" i="2"/>
  <c r="AG16" i="2"/>
  <c r="AG21" i="2"/>
  <c r="AG22" i="2"/>
  <c r="AG25" i="2"/>
  <c r="AG29" i="2"/>
  <c r="AG30" i="2"/>
  <c r="AG32" i="2"/>
  <c r="AG33" i="2"/>
  <c r="AG35" i="2"/>
  <c r="AH3" i="2"/>
  <c r="AH11" i="2"/>
  <c r="AH12" i="2"/>
  <c r="AH15" i="2"/>
  <c r="AH16" i="2"/>
  <c r="AH19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I35" i="2"/>
  <c r="AJ35" i="2"/>
  <c r="AK11" i="2"/>
  <c r="AK12" i="2"/>
  <c r="AK15" i="2"/>
  <c r="AK16" i="2"/>
  <c r="AK27" i="2"/>
  <c r="AK28" i="2"/>
  <c r="AK29" i="2"/>
  <c r="AK30" i="2"/>
  <c r="AK31" i="2"/>
  <c r="AK32" i="2"/>
  <c r="AK33" i="2"/>
  <c r="AK34" i="2"/>
  <c r="AK35" i="2"/>
  <c r="AL11" i="2"/>
  <c r="AL12" i="2"/>
  <c r="AL15" i="2"/>
  <c r="AL16" i="2"/>
  <c r="AL27" i="2"/>
  <c r="AL28" i="2"/>
  <c r="AL29" i="2"/>
  <c r="AL30" i="2"/>
  <c r="AL31" i="2"/>
  <c r="AL32" i="2"/>
  <c r="AL33" i="2"/>
  <c r="AL34" i="2"/>
  <c r="AL35" i="2"/>
  <c r="AM9" i="2"/>
  <c r="AM11" i="2"/>
  <c r="AM12" i="2"/>
  <c r="AM15" i="2"/>
  <c r="AM16" i="2"/>
  <c r="AM27" i="2"/>
  <c r="AM28" i="2"/>
  <c r="AM29" i="2"/>
  <c r="AM30" i="2"/>
  <c r="AM31" i="2"/>
  <c r="AM32" i="2"/>
  <c r="AM33" i="2"/>
  <c r="AM34" i="2"/>
  <c r="AM35" i="2"/>
  <c r="AN9" i="2"/>
  <c r="AN10" i="2"/>
  <c r="AN11" i="2"/>
  <c r="AN12" i="2"/>
  <c r="AN15" i="2"/>
  <c r="AN16" i="2"/>
  <c r="AN27" i="2"/>
  <c r="AN28" i="2"/>
  <c r="AN29" i="2"/>
  <c r="AN30" i="2"/>
  <c r="AN31" i="2"/>
  <c r="AN32" i="2"/>
  <c r="AN33" i="2"/>
  <c r="AN34" i="2"/>
  <c r="AN35" i="2"/>
  <c r="AO9" i="2"/>
  <c r="AO10" i="2"/>
  <c r="AO11" i="2"/>
  <c r="AO12" i="2"/>
  <c r="AO15" i="2"/>
  <c r="AO16" i="2"/>
  <c r="AO27" i="2"/>
  <c r="AO28" i="2"/>
  <c r="AO29" i="2"/>
  <c r="AO30" i="2"/>
  <c r="AO31" i="2"/>
  <c r="AO32" i="2"/>
  <c r="AO33" i="2"/>
  <c r="AO34" i="2"/>
  <c r="AO35" i="2"/>
  <c r="AP35" i="2"/>
  <c r="AQ35" i="2"/>
  <c r="AR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34" i="2"/>
  <c r="AS35" i="2"/>
  <c r="AT3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5" i="2"/>
  <c r="AT26" i="2"/>
  <c r="AT27" i="2"/>
  <c r="AT28" i="2"/>
  <c r="AT29" i="2"/>
  <c r="AT30" i="2"/>
  <c r="AT33" i="2"/>
  <c r="AT34" i="2"/>
  <c r="AT35" i="2"/>
  <c r="AU35" i="2"/>
  <c r="AV35" i="2"/>
  <c r="AW3" i="2"/>
  <c r="AW5" i="2"/>
  <c r="AW7" i="2"/>
  <c r="AW11" i="2"/>
  <c r="AW13" i="2"/>
  <c r="AW15" i="2"/>
  <c r="AW17" i="2"/>
  <c r="AW19" i="2"/>
  <c r="AW21" i="2"/>
  <c r="AW23" i="2"/>
  <c r="AW25" i="2"/>
  <c r="AW27" i="2"/>
  <c r="AW29" i="2"/>
  <c r="AW33" i="2"/>
  <c r="AW35" i="2"/>
  <c r="AX3" i="2"/>
  <c r="AX5" i="2"/>
  <c r="AX7" i="2"/>
  <c r="AX11" i="2"/>
  <c r="AX13" i="2"/>
  <c r="AX15" i="2"/>
  <c r="AX17" i="2"/>
  <c r="AX19" i="2"/>
  <c r="AX21" i="2"/>
  <c r="AX23" i="2"/>
  <c r="AX25" i="2"/>
  <c r="AX27" i="2"/>
  <c r="AX29" i="2"/>
  <c r="AX31" i="2"/>
  <c r="AX33" i="2"/>
  <c r="AX35" i="2"/>
  <c r="AY35" i="2"/>
  <c r="BA35" i="2"/>
  <c r="BB35" i="2"/>
  <c r="BC35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BA36" i="2"/>
  <c r="BB36" i="2"/>
  <c r="BC36" i="2"/>
  <c r="F36" i="2"/>
  <c r="AF3" i="1"/>
  <c r="AF4" i="1"/>
  <c r="AF5" i="1"/>
  <c r="AF7" i="1"/>
  <c r="AF8" i="1"/>
  <c r="AF11" i="1"/>
  <c r="AF12" i="1"/>
  <c r="K13" i="1"/>
  <c r="AF13" i="1"/>
  <c r="AF14" i="1"/>
  <c r="AF15" i="1"/>
  <c r="AF16" i="1"/>
  <c r="AF17" i="1"/>
  <c r="AF19" i="1"/>
  <c r="AF20" i="1"/>
  <c r="AF21" i="1"/>
  <c r="AF23" i="1"/>
  <c r="AF24" i="1"/>
  <c r="AF25" i="1"/>
  <c r="AF26" i="1"/>
  <c r="AF27" i="1"/>
  <c r="AF28" i="1"/>
  <c r="AF29" i="1"/>
  <c r="AF30" i="1"/>
  <c r="AF31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9" i="1"/>
  <c r="AF50" i="1"/>
  <c r="AF53" i="1"/>
  <c r="AF54" i="1"/>
  <c r="AF55" i="1"/>
  <c r="AF56" i="1"/>
  <c r="P17" i="1"/>
  <c r="AG17" i="1"/>
  <c r="P26" i="1"/>
  <c r="AG26" i="1"/>
  <c r="P29" i="1"/>
  <c r="AG29" i="1"/>
  <c r="P50" i="1"/>
  <c r="AG50" i="1"/>
  <c r="O47" i="1"/>
  <c r="P47" i="1"/>
  <c r="AG47" i="1"/>
  <c r="P44" i="1"/>
  <c r="AG44" i="1"/>
  <c r="P43" i="1"/>
  <c r="AG43" i="1"/>
  <c r="P36" i="1"/>
  <c r="AG36" i="1"/>
  <c r="P35" i="1"/>
  <c r="AG35" i="1"/>
  <c r="P24" i="1"/>
  <c r="AG24" i="1"/>
  <c r="P23" i="1"/>
  <c r="AG23" i="1"/>
  <c r="P20" i="1"/>
  <c r="AG20" i="1"/>
  <c r="P19" i="1"/>
  <c r="AG19" i="1"/>
  <c r="P16" i="1"/>
  <c r="AG16" i="1"/>
  <c r="P12" i="1"/>
  <c r="AG12" i="1"/>
  <c r="P11" i="1"/>
  <c r="AG11" i="1"/>
  <c r="P8" i="1"/>
  <c r="AG8" i="1"/>
  <c r="P7" i="1"/>
  <c r="AG7" i="1"/>
  <c r="Y17" i="1"/>
  <c r="Y37" i="1"/>
  <c r="Y54" i="1"/>
  <c r="Y53" i="1"/>
  <c r="Y50" i="1"/>
  <c r="Y49" i="1"/>
  <c r="Y46" i="1"/>
  <c r="Y45" i="1"/>
  <c r="Y42" i="1"/>
  <c r="Y41" i="1"/>
  <c r="Y30" i="1"/>
  <c r="Y29" i="1"/>
  <c r="Y26" i="1"/>
  <c r="Y25" i="1"/>
  <c r="Y22" i="1"/>
  <c r="Y21" i="1"/>
  <c r="Y14" i="1"/>
  <c r="Y13" i="1"/>
  <c r="Y6" i="1"/>
  <c r="Y5" i="1"/>
  <c r="Y51" i="1"/>
  <c r="Y48" i="1"/>
  <c r="Y47" i="1"/>
  <c r="Y44" i="1"/>
  <c r="Y43" i="1"/>
  <c r="Y40" i="1"/>
  <c r="Y39" i="1"/>
  <c r="Y27" i="1"/>
  <c r="Y36" i="1"/>
  <c r="Y35" i="1"/>
  <c r="Y24" i="1"/>
  <c r="Y23" i="1"/>
  <c r="Y20" i="1"/>
  <c r="Y19" i="1"/>
  <c r="Y16" i="1"/>
  <c r="Y15" i="1"/>
  <c r="Y12" i="1"/>
  <c r="Y11" i="1"/>
  <c r="Y8" i="1"/>
  <c r="Y7" i="1"/>
  <c r="Y4" i="1"/>
  <c r="Y3" i="1"/>
  <c r="T10" i="1"/>
  <c r="S10" i="1"/>
  <c r="R10" i="1"/>
  <c r="Q10" i="1"/>
  <c r="F7" i="1"/>
  <c r="H7" i="1"/>
  <c r="F6" i="1"/>
  <c r="H6" i="1"/>
  <c r="F5" i="1"/>
  <c r="AB5" i="1"/>
  <c r="F3" i="1"/>
  <c r="AB3" i="1"/>
  <c r="G47" i="1"/>
  <c r="G55" i="1"/>
  <c r="F8" i="1"/>
  <c r="H8" i="1"/>
  <c r="F9" i="1"/>
  <c r="H9" i="1"/>
  <c r="F10" i="1"/>
  <c r="H10" i="1"/>
  <c r="F11" i="1"/>
  <c r="H11" i="1"/>
  <c r="F12" i="1"/>
  <c r="H12" i="1"/>
  <c r="H16" i="1"/>
  <c r="F17" i="1"/>
  <c r="H17" i="1"/>
  <c r="F19" i="1"/>
  <c r="H19" i="1"/>
  <c r="F20" i="1"/>
  <c r="H20" i="1"/>
  <c r="F23" i="1"/>
  <c r="H23" i="1"/>
  <c r="F24" i="1"/>
  <c r="H24" i="1"/>
  <c r="F26" i="1"/>
  <c r="H26" i="1"/>
  <c r="F29" i="1"/>
  <c r="H29" i="1"/>
  <c r="F35" i="1"/>
  <c r="H35" i="1"/>
  <c r="F36" i="1"/>
  <c r="H36" i="1"/>
  <c r="F43" i="1"/>
  <c r="H43" i="1"/>
  <c r="F44" i="1"/>
  <c r="H44" i="1"/>
  <c r="F46" i="1"/>
  <c r="H46" i="1"/>
  <c r="F47" i="1"/>
  <c r="H47" i="1"/>
  <c r="F50" i="1"/>
  <c r="H50" i="1"/>
  <c r="I55" i="1"/>
  <c r="J55" i="1"/>
  <c r="K55" i="1"/>
  <c r="L55" i="1"/>
  <c r="M55" i="1"/>
  <c r="N55" i="1"/>
  <c r="O55" i="1"/>
  <c r="P6" i="1"/>
  <c r="P9" i="1"/>
  <c r="P10" i="1"/>
  <c r="P46" i="1"/>
  <c r="P55" i="1"/>
  <c r="Q6" i="1"/>
  <c r="Q7" i="1"/>
  <c r="Q8" i="1"/>
  <c r="Q9" i="1"/>
  <c r="Q11" i="1"/>
  <c r="Q12" i="1"/>
  <c r="Q16" i="1"/>
  <c r="Q17" i="1"/>
  <c r="Q19" i="1"/>
  <c r="Q20" i="1"/>
  <c r="Q23" i="1"/>
  <c r="Q24" i="1"/>
  <c r="Q26" i="1"/>
  <c r="Q29" i="1"/>
  <c r="Q35" i="1"/>
  <c r="Q36" i="1"/>
  <c r="Q43" i="1"/>
  <c r="Q44" i="1"/>
  <c r="Q46" i="1"/>
  <c r="Q47" i="1"/>
  <c r="Q50" i="1"/>
  <c r="Q55" i="1"/>
  <c r="R3" i="1"/>
  <c r="R4" i="1"/>
  <c r="R5" i="1"/>
  <c r="R6" i="1"/>
  <c r="R7" i="1"/>
  <c r="R8" i="1"/>
  <c r="R9" i="1"/>
  <c r="R11" i="1"/>
  <c r="R12" i="1"/>
  <c r="R14" i="1"/>
  <c r="R15" i="1"/>
  <c r="R16" i="1"/>
  <c r="R17" i="1"/>
  <c r="R19" i="1"/>
  <c r="R20" i="1"/>
  <c r="R21" i="1"/>
  <c r="R23" i="1"/>
  <c r="R24" i="1"/>
  <c r="R25" i="1"/>
  <c r="R26" i="1"/>
  <c r="R27" i="1"/>
  <c r="R28" i="1"/>
  <c r="R29" i="1"/>
  <c r="R30" i="1"/>
  <c r="R31" i="1"/>
  <c r="R32" i="1"/>
  <c r="R33" i="1"/>
  <c r="R35" i="1"/>
  <c r="R36" i="1"/>
  <c r="R37" i="1"/>
  <c r="R38" i="1"/>
  <c r="R39" i="1"/>
  <c r="R41" i="1"/>
  <c r="R42" i="1"/>
  <c r="R43" i="1"/>
  <c r="R44" i="1"/>
  <c r="R46" i="1"/>
  <c r="R47" i="1"/>
  <c r="R49" i="1"/>
  <c r="R50" i="1"/>
  <c r="R52" i="1"/>
  <c r="R53" i="1"/>
  <c r="R54" i="1"/>
  <c r="R55" i="1"/>
  <c r="S3" i="1"/>
  <c r="S4" i="1"/>
  <c r="S5" i="1"/>
  <c r="S6" i="1"/>
  <c r="S7" i="1"/>
  <c r="S8" i="1"/>
  <c r="S9" i="1"/>
  <c r="S11" i="1"/>
  <c r="S12" i="1"/>
  <c r="S13" i="1"/>
  <c r="S14" i="1"/>
  <c r="S15" i="1"/>
  <c r="S16" i="1"/>
  <c r="S17" i="1"/>
  <c r="S19" i="1"/>
  <c r="S20" i="1"/>
  <c r="S21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9" i="1"/>
  <c r="S50" i="1"/>
  <c r="S52" i="1"/>
  <c r="S53" i="1"/>
  <c r="S54" i="1"/>
  <c r="S55" i="1"/>
  <c r="T6" i="1"/>
  <c r="T7" i="1"/>
  <c r="T8" i="1"/>
  <c r="T9" i="1"/>
  <c r="T11" i="1"/>
  <c r="T12" i="1"/>
  <c r="T16" i="1"/>
  <c r="T17" i="1"/>
  <c r="T19" i="1"/>
  <c r="T20" i="1"/>
  <c r="T23" i="1"/>
  <c r="T24" i="1"/>
  <c r="T26" i="1"/>
  <c r="T29" i="1"/>
  <c r="T35" i="1"/>
  <c r="T36" i="1"/>
  <c r="T43" i="1"/>
  <c r="T44" i="1"/>
  <c r="T46" i="1"/>
  <c r="T47" i="1"/>
  <c r="T50" i="1"/>
  <c r="T55" i="1"/>
  <c r="U55" i="1"/>
  <c r="W55" i="1"/>
  <c r="X55" i="1"/>
  <c r="Y55" i="1"/>
  <c r="Z55" i="1"/>
  <c r="AA55" i="1"/>
  <c r="F4" i="1"/>
  <c r="AB4" i="1"/>
  <c r="AB7" i="1"/>
  <c r="AB8" i="1"/>
  <c r="AB11" i="1"/>
  <c r="AB12" i="1"/>
  <c r="F13" i="1"/>
  <c r="AB13" i="1"/>
  <c r="F14" i="1"/>
  <c r="AB14" i="1"/>
  <c r="AB15" i="1"/>
  <c r="AB16" i="1"/>
  <c r="AB17" i="1"/>
  <c r="AB19" i="1"/>
  <c r="AB20" i="1"/>
  <c r="F21" i="1"/>
  <c r="AB21" i="1"/>
  <c r="F22" i="1"/>
  <c r="AB22" i="1"/>
  <c r="AB23" i="1"/>
  <c r="AB24" i="1"/>
  <c r="F25" i="1"/>
  <c r="AB25" i="1"/>
  <c r="AB26" i="1"/>
  <c r="F27" i="1"/>
  <c r="AB27" i="1"/>
  <c r="F28" i="1"/>
  <c r="AB28" i="1"/>
  <c r="AB29" i="1"/>
  <c r="F30" i="1"/>
  <c r="AB30" i="1"/>
  <c r="F31" i="1"/>
  <c r="AB31" i="1"/>
  <c r="F33" i="1"/>
  <c r="AB33" i="1"/>
  <c r="F34" i="1"/>
  <c r="AB34" i="1"/>
  <c r="AB35" i="1"/>
  <c r="AB36" i="1"/>
  <c r="F37" i="1"/>
  <c r="AB37" i="1"/>
  <c r="F38" i="1"/>
  <c r="AB38" i="1"/>
  <c r="F39" i="1"/>
  <c r="AB39" i="1"/>
  <c r="F40" i="1"/>
  <c r="AB40" i="1"/>
  <c r="F41" i="1"/>
  <c r="AB41" i="1"/>
  <c r="F42" i="1"/>
  <c r="AB42" i="1"/>
  <c r="AB43" i="1"/>
  <c r="AB44" i="1"/>
  <c r="F45" i="1"/>
  <c r="AB45" i="1"/>
  <c r="AB46" i="1"/>
  <c r="AB47" i="1"/>
  <c r="F48" i="1"/>
  <c r="AB48" i="1"/>
  <c r="F49" i="1"/>
  <c r="AB49" i="1"/>
  <c r="AB50" i="1"/>
  <c r="F51" i="1"/>
  <c r="AB51" i="1"/>
  <c r="F52" i="1"/>
  <c r="AB52" i="1"/>
  <c r="AB53" i="1"/>
  <c r="AB54" i="1"/>
  <c r="AB55" i="1"/>
  <c r="AC44" i="1"/>
  <c r="AC55" i="1"/>
  <c r="AD3" i="1"/>
  <c r="AD4" i="1"/>
  <c r="AD5" i="1"/>
  <c r="AD7" i="1"/>
  <c r="AD8" i="1"/>
  <c r="AD11" i="1"/>
  <c r="AD12" i="1"/>
  <c r="AD13" i="1"/>
  <c r="AD14" i="1"/>
  <c r="AD15" i="1"/>
  <c r="AD16" i="1"/>
  <c r="AD17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E55" i="1"/>
  <c r="AG55" i="1"/>
  <c r="AH3" i="1"/>
  <c r="AH7" i="1"/>
  <c r="AH8" i="1"/>
  <c r="AH11" i="1"/>
  <c r="AH12" i="1"/>
  <c r="AH14" i="1"/>
  <c r="AH15" i="1"/>
  <c r="AH16" i="1"/>
  <c r="AH17" i="1"/>
  <c r="AH19" i="1"/>
  <c r="AH20" i="1"/>
  <c r="AH21" i="1"/>
  <c r="AH23" i="1"/>
  <c r="AH24" i="1"/>
  <c r="AH25" i="1"/>
  <c r="AH26" i="1"/>
  <c r="AH27" i="1"/>
  <c r="AH28" i="1"/>
  <c r="AH29" i="1"/>
  <c r="AH30" i="1"/>
  <c r="AH31" i="1"/>
  <c r="AH33" i="1"/>
  <c r="AH35" i="1"/>
  <c r="AH36" i="1"/>
  <c r="AH37" i="1"/>
  <c r="AH38" i="1"/>
  <c r="AH39" i="1"/>
  <c r="AH41" i="1"/>
  <c r="AH42" i="1"/>
  <c r="AH43" i="1"/>
  <c r="AH44" i="1"/>
  <c r="AH46" i="1"/>
  <c r="AH47" i="1"/>
  <c r="AH49" i="1"/>
  <c r="AH50" i="1"/>
  <c r="AH53" i="1"/>
  <c r="AH54" i="1"/>
  <c r="AH55" i="1"/>
  <c r="AY55" i="1"/>
  <c r="AI55" i="1"/>
  <c r="AJ55" i="1"/>
  <c r="AK3" i="1"/>
  <c r="AK4" i="1"/>
  <c r="AK7" i="1"/>
  <c r="AK8" i="1"/>
  <c r="AK9" i="1"/>
  <c r="AK10" i="1"/>
  <c r="AK11" i="1"/>
  <c r="AK12" i="1"/>
  <c r="AK17" i="1"/>
  <c r="AK18" i="1"/>
  <c r="AK21" i="1"/>
  <c r="AK22" i="1"/>
  <c r="AK23" i="1"/>
  <c r="AK24" i="1"/>
  <c r="AK25" i="1"/>
  <c r="AK26" i="1"/>
  <c r="AK27" i="1"/>
  <c r="AK28" i="1"/>
  <c r="AK35" i="1"/>
  <c r="AK36" i="1"/>
  <c r="AK37" i="1"/>
  <c r="AK38" i="1"/>
  <c r="AK39" i="1"/>
  <c r="AK40" i="1"/>
  <c r="AK41" i="1"/>
  <c r="AK42" i="1"/>
  <c r="AK43" i="1"/>
  <c r="AK44" i="1"/>
  <c r="AK47" i="1"/>
  <c r="AK48" i="1"/>
  <c r="AK51" i="1"/>
  <c r="AK52" i="1"/>
  <c r="AK53" i="1"/>
  <c r="AK54" i="1"/>
  <c r="AK55" i="1"/>
  <c r="AL3" i="1"/>
  <c r="AL4" i="1"/>
  <c r="AL7" i="1"/>
  <c r="AL8" i="1"/>
  <c r="AL11" i="1"/>
  <c r="AL12" i="1"/>
  <c r="AL17" i="1"/>
  <c r="AL21" i="1"/>
  <c r="AL22" i="1"/>
  <c r="AL23" i="1"/>
  <c r="AL24" i="1"/>
  <c r="AL25" i="1"/>
  <c r="AL26" i="1"/>
  <c r="AL27" i="1"/>
  <c r="AL28" i="1"/>
  <c r="AL35" i="1"/>
  <c r="AL36" i="1"/>
  <c r="AL37" i="1"/>
  <c r="AL38" i="1"/>
  <c r="AL39" i="1"/>
  <c r="AL40" i="1"/>
  <c r="AL41" i="1"/>
  <c r="AL42" i="1"/>
  <c r="AL43" i="1"/>
  <c r="AL44" i="1"/>
  <c r="AL47" i="1"/>
  <c r="AL51" i="1"/>
  <c r="AL53" i="1"/>
  <c r="AL54" i="1"/>
  <c r="AL55" i="1"/>
  <c r="AM3" i="1"/>
  <c r="AM7" i="1"/>
  <c r="AM8" i="1"/>
  <c r="AM9" i="1"/>
  <c r="AM10" i="1"/>
  <c r="AM11" i="1"/>
  <c r="AM12" i="1"/>
  <c r="AM17" i="1"/>
  <c r="AM21" i="1"/>
  <c r="AM23" i="1"/>
  <c r="AM24" i="1"/>
  <c r="AM25" i="1"/>
  <c r="AM26" i="1"/>
  <c r="AM27" i="1"/>
  <c r="AM28" i="1"/>
  <c r="AM35" i="1"/>
  <c r="AM36" i="1"/>
  <c r="AM37" i="1"/>
  <c r="AM38" i="1"/>
  <c r="AM39" i="1"/>
  <c r="AM41" i="1"/>
  <c r="AM42" i="1"/>
  <c r="AM43" i="1"/>
  <c r="AM44" i="1"/>
  <c r="AM47" i="1"/>
  <c r="AM53" i="1"/>
  <c r="AM54" i="1"/>
  <c r="AM55" i="1"/>
  <c r="AO3" i="1"/>
  <c r="AO4" i="1"/>
  <c r="AO7" i="1"/>
  <c r="AO8" i="1"/>
  <c r="AO9" i="1"/>
  <c r="AO10" i="1"/>
  <c r="AO11" i="1"/>
  <c r="AO12" i="1"/>
  <c r="AO17" i="1"/>
  <c r="AO18" i="1"/>
  <c r="AO21" i="1"/>
  <c r="AO22" i="1"/>
  <c r="AO23" i="1"/>
  <c r="AO24" i="1"/>
  <c r="AO25" i="1"/>
  <c r="AO26" i="1"/>
  <c r="AO27" i="1"/>
  <c r="AO28" i="1"/>
  <c r="AO35" i="1"/>
  <c r="AO36" i="1"/>
  <c r="AO37" i="1"/>
  <c r="AO38" i="1"/>
  <c r="AO39" i="1"/>
  <c r="AO40" i="1"/>
  <c r="AO41" i="1"/>
  <c r="AO42" i="1"/>
  <c r="AO43" i="1"/>
  <c r="AO44" i="1"/>
  <c r="AO47" i="1"/>
  <c r="AO48" i="1"/>
  <c r="AO51" i="1"/>
  <c r="AO52" i="1"/>
  <c r="AO53" i="1"/>
  <c r="AO54" i="1"/>
  <c r="AO55" i="1"/>
  <c r="AP55" i="1"/>
  <c r="AQ55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F18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F32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T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9" i="1"/>
  <c r="AT20" i="1"/>
  <c r="AT21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9" i="1"/>
  <c r="AT50" i="1"/>
  <c r="AT52" i="1"/>
  <c r="AT53" i="1"/>
  <c r="AT54" i="1"/>
  <c r="AT55" i="1"/>
  <c r="AU55" i="1"/>
  <c r="AV55" i="1"/>
  <c r="AW3" i="1"/>
  <c r="AW5" i="1"/>
  <c r="AW7" i="1"/>
  <c r="AW9" i="1"/>
  <c r="AW11" i="1"/>
  <c r="AW17" i="1"/>
  <c r="AW19" i="1"/>
  <c r="AW21" i="1"/>
  <c r="AW23" i="1"/>
  <c r="AW25" i="1"/>
  <c r="AW27" i="1"/>
  <c r="AW29" i="1"/>
  <c r="AW31" i="1"/>
  <c r="AW33" i="1"/>
  <c r="AW35" i="1"/>
  <c r="AW37" i="1"/>
  <c r="AW39" i="1"/>
  <c r="AW41" i="1"/>
  <c r="AW43" i="1"/>
  <c r="AW45" i="1"/>
  <c r="AW49" i="1"/>
  <c r="AW51" i="1"/>
  <c r="AW53" i="1"/>
  <c r="AW55" i="1"/>
  <c r="AX3" i="1"/>
  <c r="AX5" i="1"/>
  <c r="AX7" i="1"/>
  <c r="AX9" i="1"/>
  <c r="AX11" i="1"/>
  <c r="AX13" i="1"/>
  <c r="AX15" i="1"/>
  <c r="AX17" i="1"/>
  <c r="AX19" i="1"/>
  <c r="AX21" i="1"/>
  <c r="AX23" i="1"/>
  <c r="AX25" i="1"/>
  <c r="AX27" i="1"/>
  <c r="AX29" i="1"/>
  <c r="AX31" i="1"/>
  <c r="AX33" i="1"/>
  <c r="AX35" i="1"/>
  <c r="AX37" i="1"/>
  <c r="AX39" i="1"/>
  <c r="AX41" i="1"/>
  <c r="AX43" i="1"/>
  <c r="AX45" i="1"/>
  <c r="AX47" i="1"/>
  <c r="AX49" i="1"/>
  <c r="AX51" i="1"/>
  <c r="AX53" i="1"/>
  <c r="AX55" i="1"/>
  <c r="BA55" i="1"/>
  <c r="BB55" i="1"/>
  <c r="BC55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W56" i="1"/>
  <c r="X56" i="1"/>
  <c r="Y56" i="1"/>
  <c r="Z56" i="1"/>
  <c r="AA56" i="1"/>
  <c r="AB56" i="1"/>
  <c r="AC56" i="1"/>
  <c r="AD56" i="1"/>
  <c r="AE56" i="1"/>
  <c r="AG56" i="1"/>
  <c r="AH56" i="1"/>
  <c r="AY56" i="1"/>
  <c r="AI56" i="1"/>
  <c r="AJ56" i="1"/>
  <c r="AK56" i="1"/>
  <c r="AL56" i="1"/>
  <c r="AM56" i="1"/>
  <c r="AO56" i="1"/>
  <c r="AP56" i="1"/>
  <c r="AQ56" i="1"/>
  <c r="AR56" i="1"/>
  <c r="AS56" i="1"/>
  <c r="AT56" i="1"/>
  <c r="AU56" i="1"/>
  <c r="AV56" i="1"/>
  <c r="AW56" i="1"/>
  <c r="AX56" i="1"/>
  <c r="BA56" i="1"/>
  <c r="BB56" i="1"/>
  <c r="BC56" i="1"/>
  <c r="F55" i="1"/>
  <c r="F56" i="1"/>
  <c r="K25" i="10"/>
  <c r="O25" i="10"/>
  <c r="G25" i="10"/>
  <c r="H25" i="10"/>
  <c r="AY27" i="16"/>
  <c r="AY26" i="16"/>
  <c r="BC27" i="16"/>
  <c r="BC26" i="16"/>
  <c r="BB27" i="16"/>
  <c r="BB26" i="16"/>
  <c r="BA27" i="16"/>
  <c r="BA26" i="16"/>
  <c r="AW7" i="18"/>
  <c r="AW9" i="18"/>
  <c r="AW11" i="18"/>
  <c r="AW13" i="18"/>
  <c r="AW15" i="18"/>
  <c r="AW17" i="18"/>
  <c r="AW19" i="18"/>
  <c r="AW23" i="18"/>
  <c r="AT23" i="18"/>
  <c r="AT24" i="18"/>
  <c r="AR20" i="18"/>
  <c r="AR21" i="18"/>
  <c r="AR22" i="18"/>
  <c r="AR23" i="18"/>
  <c r="AR24" i="18"/>
  <c r="AO19" i="18"/>
  <c r="AO21" i="18"/>
  <c r="AO23" i="18"/>
  <c r="AM21" i="18"/>
  <c r="AN19" i="18"/>
  <c r="AN21" i="18"/>
  <c r="AN23" i="18"/>
  <c r="AL19" i="18"/>
  <c r="AL21" i="18"/>
  <c r="AL23" i="18"/>
  <c r="AK19" i="18"/>
  <c r="AK21" i="18"/>
  <c r="AK23" i="18"/>
  <c r="AH21" i="18"/>
  <c r="AH24" i="18"/>
  <c r="AF23" i="18"/>
  <c r="AF24" i="18"/>
  <c r="AD20" i="18"/>
  <c r="AD21" i="18"/>
  <c r="AD22" i="18"/>
  <c r="AD23" i="18"/>
  <c r="AD24" i="18"/>
  <c r="Y23" i="18"/>
  <c r="Y24" i="18"/>
  <c r="T21" i="18"/>
  <c r="T24" i="18"/>
  <c r="S15" i="18"/>
  <c r="S16" i="18"/>
  <c r="S17" i="18"/>
  <c r="S21" i="18"/>
  <c r="S24" i="18"/>
  <c r="Q21" i="18"/>
  <c r="Q24" i="18"/>
  <c r="R15" i="18"/>
  <c r="R16" i="18"/>
  <c r="R21" i="18"/>
  <c r="R24" i="18"/>
  <c r="P21" i="18"/>
  <c r="AG21" i="18"/>
  <c r="P24" i="18"/>
  <c r="AG24" i="18"/>
  <c r="G21" i="18"/>
  <c r="H21" i="18"/>
  <c r="G24" i="18"/>
  <c r="H24" i="18"/>
  <c r="AS24" i="18"/>
  <c r="AS23" i="18"/>
  <c r="AS22" i="18"/>
  <c r="AS21" i="18"/>
  <c r="AT21" i="18"/>
  <c r="AF21" i="18"/>
  <c r="Y21" i="18"/>
  <c r="AS20" i="18"/>
  <c r="AT20" i="18"/>
  <c r="AS19" i="18"/>
  <c r="AR19" i="18"/>
  <c r="AT19" i="18"/>
  <c r="AF20" i="18"/>
  <c r="AF19" i="18"/>
  <c r="AD19" i="18"/>
  <c r="AB19" i="18"/>
  <c r="Y20" i="18"/>
  <c r="Y19" i="18"/>
  <c r="V21" i="18"/>
  <c r="AH11" i="18"/>
  <c r="AH15" i="18"/>
  <c r="AH16" i="18"/>
  <c r="AX7" i="18"/>
  <c r="AX9" i="18"/>
  <c r="AX11" i="18"/>
  <c r="AX13" i="18"/>
  <c r="AX15" i="18"/>
  <c r="AX17" i="18"/>
  <c r="AR8" i="18"/>
  <c r="AR9" i="18"/>
  <c r="AR10" i="18"/>
  <c r="AR11" i="18"/>
  <c r="AR12" i="18"/>
  <c r="AR13" i="18"/>
  <c r="AR14" i="18"/>
  <c r="AR15" i="18"/>
  <c r="AR16" i="18"/>
  <c r="AR17" i="18"/>
  <c r="AR18" i="18"/>
  <c r="AM7" i="18"/>
  <c r="AM9" i="18"/>
  <c r="AM11" i="18"/>
  <c r="AO7" i="18"/>
  <c r="AO9" i="18"/>
  <c r="AO11" i="18"/>
  <c r="AO13" i="18"/>
  <c r="AO15" i="18"/>
  <c r="AO17" i="18"/>
  <c r="AN5" i="18"/>
  <c r="AN7" i="18"/>
  <c r="AN9" i="18"/>
  <c r="AN11" i="18"/>
  <c r="AN13" i="18"/>
  <c r="AN15" i="18"/>
  <c r="AN17" i="18"/>
  <c r="AN3" i="18"/>
  <c r="AL7" i="18"/>
  <c r="AL9" i="18"/>
  <c r="AL11" i="18"/>
  <c r="AL13" i="18"/>
  <c r="AL15" i="18"/>
  <c r="AL17" i="18"/>
  <c r="AK7" i="18"/>
  <c r="AK9" i="18"/>
  <c r="AK11" i="18"/>
  <c r="AK13" i="18"/>
  <c r="AK15" i="18"/>
  <c r="AK17" i="18"/>
  <c r="AF4" i="18"/>
  <c r="AF5" i="18"/>
  <c r="AF6" i="18"/>
  <c r="AF7" i="18"/>
  <c r="AF8" i="18"/>
  <c r="AF9" i="18"/>
  <c r="AF11" i="18"/>
  <c r="AF12" i="18"/>
  <c r="AF13" i="18"/>
  <c r="AF14" i="18"/>
  <c r="AF15" i="18"/>
  <c r="AF16" i="18"/>
  <c r="AF17" i="18"/>
  <c r="AF18" i="18"/>
  <c r="AF3" i="18"/>
  <c r="AD8" i="18"/>
  <c r="AD9" i="18"/>
  <c r="AD10" i="18"/>
  <c r="AD11" i="18"/>
  <c r="AD12" i="18"/>
  <c r="AD13" i="18"/>
  <c r="AD14" i="18"/>
  <c r="AD15" i="18"/>
  <c r="AD16" i="18"/>
  <c r="AD17" i="18"/>
  <c r="AD18" i="18"/>
  <c r="AB4" i="18"/>
  <c r="AB5" i="18"/>
  <c r="AB6" i="18"/>
  <c r="AB7" i="18"/>
  <c r="AB8" i="18"/>
  <c r="AB9" i="18"/>
  <c r="AB10" i="18"/>
  <c r="AB11" i="18"/>
  <c r="AB12" i="18"/>
  <c r="AB13" i="18"/>
  <c r="AB14" i="18"/>
  <c r="AB15" i="18"/>
  <c r="AB16" i="18"/>
  <c r="AB17" i="18"/>
  <c r="AB18" i="18"/>
  <c r="Y13" i="18"/>
  <c r="Y14" i="18"/>
  <c r="Y15" i="18"/>
  <c r="Y16" i="18"/>
  <c r="Y17" i="18"/>
  <c r="Y18" i="18"/>
  <c r="AH7" i="10"/>
  <c r="AH11" i="10"/>
  <c r="AH12" i="10"/>
  <c r="AH13" i="10"/>
  <c r="AH14" i="10"/>
  <c r="AH17" i="10"/>
  <c r="AH19" i="10"/>
  <c r="AH20" i="10"/>
  <c r="AH22" i="10"/>
  <c r="AH23" i="10"/>
  <c r="AH27" i="10"/>
  <c r="AH29" i="10"/>
  <c r="AH31" i="10"/>
  <c r="AH32" i="10"/>
  <c r="AH33" i="10"/>
  <c r="AH34" i="10"/>
  <c r="AH35" i="10"/>
  <c r="AH36" i="10"/>
  <c r="AH37" i="10"/>
  <c r="AH41" i="10"/>
  <c r="AH43" i="10"/>
  <c r="AH44" i="10"/>
  <c r="AH45" i="10"/>
  <c r="AH47" i="10"/>
  <c r="AH49" i="10"/>
  <c r="AH50" i="10"/>
  <c r="AH55" i="10"/>
  <c r="AH66" i="10"/>
  <c r="AH67" i="10"/>
  <c r="AH68" i="10"/>
  <c r="AH69" i="10"/>
  <c r="AH71" i="10"/>
  <c r="AH72" i="10"/>
  <c r="AH73" i="10"/>
  <c r="AH74" i="10"/>
  <c r="AH79" i="10"/>
  <c r="AH80" i="10"/>
  <c r="AH81" i="10"/>
  <c r="AH82" i="10"/>
  <c r="AH83" i="10"/>
  <c r="AH84" i="10"/>
  <c r="AH87" i="10"/>
  <c r="AH88" i="10"/>
  <c r="AH89" i="10"/>
  <c r="AH90" i="10"/>
  <c r="AH93" i="10"/>
  <c r="AH95" i="10"/>
  <c r="AH96" i="10"/>
  <c r="AH97" i="10"/>
  <c r="AH98" i="10"/>
  <c r="AH99" i="10"/>
  <c r="AH100" i="10"/>
  <c r="AH101" i="10"/>
  <c r="AH102" i="10"/>
  <c r="AF7" i="10"/>
  <c r="AF8" i="10"/>
  <c r="AF9" i="10"/>
  <c r="AF11" i="10"/>
  <c r="AF12" i="10"/>
  <c r="AF13" i="10"/>
  <c r="AF14" i="10"/>
  <c r="AF17" i="10"/>
  <c r="AF18" i="10"/>
  <c r="AF19" i="10"/>
  <c r="AF20" i="10"/>
  <c r="AF21" i="10"/>
  <c r="AF22" i="10"/>
  <c r="AF23" i="10"/>
  <c r="AF27" i="10"/>
  <c r="AF29" i="10"/>
  <c r="AF30" i="10"/>
  <c r="AF31" i="10"/>
  <c r="AF32" i="10"/>
  <c r="AF33" i="10"/>
  <c r="AF34" i="10"/>
  <c r="AF35" i="10"/>
  <c r="AF36" i="10"/>
  <c r="AF37" i="10"/>
  <c r="AF39" i="10"/>
  <c r="AF41" i="10"/>
  <c r="AF43" i="10"/>
  <c r="AF44" i="10"/>
  <c r="AF45" i="10"/>
  <c r="AF47" i="10"/>
  <c r="AF49" i="10"/>
  <c r="AF50" i="10"/>
  <c r="AF51" i="10"/>
  <c r="AF52" i="10"/>
  <c r="AF53" i="10"/>
  <c r="AF55" i="10"/>
  <c r="AF59" i="10"/>
  <c r="AF63" i="10"/>
  <c r="AF65" i="10"/>
  <c r="AF66" i="10"/>
  <c r="AF67" i="10"/>
  <c r="AF68" i="10"/>
  <c r="AF69" i="10"/>
  <c r="AF71" i="10"/>
  <c r="AF72" i="10"/>
  <c r="AF73" i="10"/>
  <c r="AF74" i="10"/>
  <c r="AF79" i="10"/>
  <c r="AF80" i="10"/>
  <c r="AF81" i="10"/>
  <c r="AF82" i="10"/>
  <c r="AF83" i="10"/>
  <c r="AF84" i="10"/>
  <c r="AF87" i="10"/>
  <c r="AF88" i="10"/>
  <c r="AF89" i="10"/>
  <c r="AF90" i="10"/>
  <c r="AF91" i="10"/>
  <c r="AF93" i="10"/>
  <c r="AF95" i="10"/>
  <c r="AF96" i="10"/>
  <c r="AF97" i="10"/>
  <c r="AF98" i="10"/>
  <c r="AF99" i="10"/>
  <c r="AF100" i="10"/>
  <c r="AF101" i="10"/>
  <c r="AF102" i="10"/>
  <c r="AF3" i="10"/>
  <c r="AS18" i="18"/>
  <c r="AT18" i="18"/>
  <c r="AS17" i="18"/>
  <c r="AT17" i="18"/>
  <c r="AS16" i="18"/>
  <c r="AS15" i="18"/>
  <c r="AT16" i="18"/>
  <c r="AT15" i="18"/>
  <c r="AS14" i="18"/>
  <c r="AT14" i="18"/>
  <c r="AS13" i="18"/>
  <c r="AT13" i="18"/>
  <c r="AS12" i="18"/>
  <c r="AT12" i="18"/>
  <c r="AS11" i="18"/>
  <c r="AT11" i="18"/>
  <c r="R11" i="18"/>
  <c r="S11" i="18"/>
  <c r="AS10" i="18"/>
  <c r="AT10" i="18"/>
  <c r="AS9" i="18"/>
  <c r="AT9" i="18"/>
  <c r="AH9" i="18"/>
  <c r="Y9" i="18"/>
  <c r="R10" i="18"/>
  <c r="R9" i="18"/>
  <c r="S10" i="18"/>
  <c r="S9" i="18"/>
  <c r="AS8" i="18"/>
  <c r="AT8" i="18"/>
  <c r="AS7" i="18"/>
  <c r="AR7" i="18"/>
  <c r="AT7" i="18"/>
  <c r="AH8" i="18"/>
  <c r="AH7" i="18"/>
  <c r="AD7" i="18"/>
  <c r="Y8" i="18"/>
  <c r="Y7" i="18"/>
  <c r="R8" i="18"/>
  <c r="S8" i="18"/>
  <c r="R7" i="18"/>
  <c r="S7" i="18"/>
  <c r="O3" i="18"/>
  <c r="R3" i="18"/>
  <c r="S3" i="18"/>
  <c r="Y3" i="18"/>
  <c r="AB3" i="18"/>
  <c r="AD3" i="18"/>
  <c r="AH3" i="18"/>
  <c r="AK3" i="18"/>
  <c r="AL3" i="18"/>
  <c r="AM3" i="18"/>
  <c r="AO3" i="18"/>
  <c r="AR3" i="18"/>
  <c r="AS3" i="18"/>
  <c r="AT3" i="18"/>
  <c r="AW3" i="18"/>
  <c r="AX3" i="18"/>
  <c r="O4" i="18"/>
  <c r="R4" i="18"/>
  <c r="S4" i="18"/>
  <c r="Y4" i="18"/>
  <c r="AD4" i="18"/>
  <c r="AH4" i="18"/>
  <c r="AR4" i="18"/>
  <c r="AS4" i="18"/>
  <c r="AT4" i="18"/>
  <c r="O5" i="18"/>
  <c r="Q5" i="18"/>
  <c r="R5" i="18"/>
  <c r="S5" i="18"/>
  <c r="Y5" i="18"/>
  <c r="AD5" i="18"/>
  <c r="AH5" i="18"/>
  <c r="AK5" i="18"/>
  <c r="AL5" i="18"/>
  <c r="AM5" i="18"/>
  <c r="AO5" i="18"/>
  <c r="AR5" i="18"/>
  <c r="AS5" i="18"/>
  <c r="AT5" i="18"/>
  <c r="AW5" i="18"/>
  <c r="AX5" i="18"/>
  <c r="R6" i="18"/>
  <c r="S6" i="18"/>
  <c r="Y6" i="18"/>
  <c r="AD6" i="18"/>
  <c r="AH6" i="18"/>
  <c r="AR6" i="18"/>
  <c r="AS6" i="18"/>
  <c r="AT6" i="18"/>
  <c r="Y13" i="10"/>
  <c r="Y14" i="10"/>
  <c r="Y15" i="10"/>
  <c r="Y16" i="10"/>
  <c r="Y17" i="10"/>
  <c r="Y18" i="10"/>
  <c r="Y19" i="10"/>
  <c r="Y20" i="10"/>
  <c r="Y21" i="10"/>
  <c r="Y22" i="10"/>
  <c r="Y23" i="10"/>
  <c r="Y29" i="10"/>
  <c r="Y33" i="10"/>
  <c r="Y34" i="10"/>
  <c r="Y37" i="10"/>
  <c r="Y39" i="10"/>
  <c r="Y40" i="10"/>
  <c r="Y41" i="10"/>
  <c r="Y42" i="10"/>
  <c r="Y43" i="10"/>
  <c r="Y44" i="10"/>
  <c r="Y45" i="10"/>
  <c r="Y46" i="10"/>
  <c r="Y47" i="10"/>
  <c r="Y48" i="10"/>
  <c r="Y49" i="10"/>
  <c r="Y50" i="10"/>
  <c r="Y51" i="10"/>
  <c r="Y52" i="10"/>
  <c r="Y53" i="10"/>
  <c r="Y54" i="10"/>
  <c r="Y55" i="10"/>
  <c r="Y56" i="10"/>
  <c r="Y57" i="10"/>
  <c r="Y59" i="10"/>
  <c r="Y61" i="10"/>
  <c r="Y62" i="10"/>
  <c r="Y63" i="10"/>
  <c r="Y65" i="10"/>
  <c r="Y66" i="10"/>
  <c r="Y67" i="10"/>
  <c r="Y69" i="10"/>
  <c r="Y70" i="10"/>
  <c r="Y71" i="10"/>
  <c r="Y72" i="10"/>
  <c r="Y73" i="10"/>
  <c r="Y74" i="10"/>
  <c r="Y75" i="10"/>
  <c r="Y76" i="10"/>
  <c r="Y77" i="10"/>
  <c r="Y78" i="10"/>
  <c r="Y79" i="10"/>
  <c r="Y81" i="10"/>
  <c r="Y83" i="10"/>
  <c r="Y84" i="10"/>
  <c r="Y85" i="10"/>
  <c r="Y87" i="10"/>
  <c r="Y88" i="10"/>
  <c r="Y89" i="10"/>
  <c r="Y90" i="10"/>
  <c r="Y91" i="10"/>
  <c r="Y92" i="10"/>
  <c r="Y93" i="10"/>
  <c r="Y95" i="10"/>
  <c r="Y96" i="10"/>
  <c r="Y97" i="10"/>
  <c r="Y98" i="10"/>
  <c r="Y99" i="10"/>
  <c r="Y100" i="10"/>
  <c r="Y101" i="10"/>
  <c r="Y102" i="10"/>
  <c r="Y103" i="10"/>
  <c r="Y104" i="10"/>
  <c r="Y3" i="10"/>
  <c r="T95" i="10"/>
  <c r="P5" i="10"/>
  <c r="P7" i="10"/>
  <c r="AG7" i="10"/>
  <c r="P11" i="10"/>
  <c r="AG11" i="10"/>
  <c r="P13" i="10"/>
  <c r="AG13" i="10"/>
  <c r="P19" i="10"/>
  <c r="AG19" i="10"/>
  <c r="P29" i="10"/>
  <c r="AG29" i="10"/>
  <c r="P31" i="10"/>
  <c r="AG31" i="10"/>
  <c r="P32" i="10"/>
  <c r="AG32" i="10"/>
  <c r="P36" i="10"/>
  <c r="AG36" i="10"/>
  <c r="P38" i="10"/>
  <c r="P42" i="10"/>
  <c r="P49" i="10"/>
  <c r="AG49" i="10"/>
  <c r="P66" i="10"/>
  <c r="AG66" i="10"/>
  <c r="P73" i="10"/>
  <c r="AG73" i="10"/>
  <c r="P74" i="10"/>
  <c r="AG74" i="10"/>
  <c r="P77" i="10"/>
  <c r="P78" i="10"/>
  <c r="P93" i="10"/>
  <c r="AG93" i="10"/>
  <c r="P94" i="10"/>
  <c r="P95" i="10"/>
  <c r="AG95" i="10"/>
  <c r="P96" i="10"/>
  <c r="AG96" i="10"/>
  <c r="P97" i="10"/>
  <c r="AG97" i="10"/>
  <c r="P3" i="10"/>
  <c r="AG3" i="10"/>
  <c r="AS104" i="10"/>
  <c r="AR104" i="10"/>
  <c r="AD104" i="10"/>
  <c r="AB104" i="10"/>
  <c r="AX103" i="10"/>
  <c r="AW103" i="10"/>
  <c r="AS103" i="10"/>
  <c r="AR103" i="10"/>
  <c r="AO103" i="10"/>
  <c r="AK103" i="10"/>
  <c r="AD103" i="10"/>
  <c r="AB103" i="10"/>
  <c r="AT102" i="10"/>
  <c r="AS102" i="10"/>
  <c r="AR102" i="10"/>
  <c r="AD102" i="10"/>
  <c r="AB102" i="10"/>
  <c r="S102" i="10"/>
  <c r="R102" i="10"/>
  <c r="AT101" i="10"/>
  <c r="AS101" i="10"/>
  <c r="AR101" i="10"/>
  <c r="AD101" i="10"/>
  <c r="AB101" i="10"/>
  <c r="S101" i="10"/>
  <c r="R101" i="10"/>
  <c r="AT100" i="10"/>
  <c r="AS100" i="10"/>
  <c r="AR100" i="10"/>
  <c r="AD100" i="10"/>
  <c r="AB100" i="10"/>
  <c r="S100" i="10"/>
  <c r="R100" i="10"/>
  <c r="AT99" i="10"/>
  <c r="AS99" i="10"/>
  <c r="AR99" i="10"/>
  <c r="AO99" i="10"/>
  <c r="AK99" i="10"/>
  <c r="AD99" i="10"/>
  <c r="AB99" i="10"/>
  <c r="S99" i="10"/>
  <c r="R99" i="10"/>
  <c r="AT98" i="10"/>
  <c r="AS98" i="10"/>
  <c r="AR98" i="10"/>
  <c r="AD98" i="10"/>
  <c r="AB98" i="10"/>
  <c r="S98" i="10"/>
  <c r="R98" i="10"/>
  <c r="AX97" i="10"/>
  <c r="AW97" i="10"/>
  <c r="AT97" i="10"/>
  <c r="AS97" i="10"/>
  <c r="AR97" i="10"/>
  <c r="AO97" i="10"/>
  <c r="AK97" i="10"/>
  <c r="AD97" i="10"/>
  <c r="AB97" i="10"/>
  <c r="T97" i="10"/>
  <c r="S97" i="10"/>
  <c r="R97" i="10"/>
  <c r="Q97" i="10"/>
  <c r="G97" i="10"/>
  <c r="H97" i="10"/>
  <c r="AT96" i="10"/>
  <c r="AS96" i="10"/>
  <c r="AR96" i="10"/>
  <c r="AD96" i="10"/>
  <c r="AB96" i="10"/>
  <c r="T96" i="10"/>
  <c r="S96" i="10"/>
  <c r="R96" i="10"/>
  <c r="Q96" i="10"/>
  <c r="G96" i="10"/>
  <c r="H96" i="10"/>
  <c r="AX95" i="10"/>
  <c r="AW95" i="10"/>
  <c r="AT95" i="10"/>
  <c r="AS95" i="10"/>
  <c r="AR95" i="10"/>
  <c r="AO95" i="10"/>
  <c r="AK95" i="10"/>
  <c r="AD95" i="10"/>
  <c r="AB95" i="10"/>
  <c r="S95" i="10"/>
  <c r="R95" i="10"/>
  <c r="Q95" i="10"/>
  <c r="G95" i="10"/>
  <c r="H95" i="10"/>
  <c r="AT94" i="10"/>
  <c r="AS94" i="10"/>
  <c r="AR94" i="10"/>
  <c r="T94" i="10"/>
  <c r="S94" i="10"/>
  <c r="R94" i="10"/>
  <c r="Q94" i="10"/>
  <c r="G94" i="10"/>
  <c r="H94" i="10"/>
  <c r="AT93" i="10"/>
  <c r="AS93" i="10"/>
  <c r="AR93" i="10"/>
  <c r="AO93" i="10"/>
  <c r="AK93" i="10"/>
  <c r="AD93" i="10"/>
  <c r="AB93" i="10"/>
  <c r="T93" i="10"/>
  <c r="S93" i="10"/>
  <c r="R93" i="10"/>
  <c r="Q93" i="10"/>
  <c r="G93" i="10"/>
  <c r="H93" i="10"/>
  <c r="AS92" i="10"/>
  <c r="AR92" i="10"/>
  <c r="AD92" i="10"/>
  <c r="AB92" i="10"/>
  <c r="AX91" i="10"/>
  <c r="AW91" i="10"/>
  <c r="AT91" i="10"/>
  <c r="AS91" i="10"/>
  <c r="AR91" i="10"/>
  <c r="AO91" i="10"/>
  <c r="AK91" i="10"/>
  <c r="AD91" i="10"/>
  <c r="AB91" i="10"/>
  <c r="AT90" i="10"/>
  <c r="AS90" i="10"/>
  <c r="AR90" i="10"/>
  <c r="AD90" i="10"/>
  <c r="AB90" i="10"/>
  <c r="S90" i="10"/>
  <c r="R90" i="10"/>
  <c r="O90" i="10"/>
  <c r="T90" i="10"/>
  <c r="AX89" i="10"/>
  <c r="AW89" i="10"/>
  <c r="AT89" i="10"/>
  <c r="AS89" i="10"/>
  <c r="AR89" i="10"/>
  <c r="AO89" i="10"/>
  <c r="AK89" i="10"/>
  <c r="AD89" i="10"/>
  <c r="AB89" i="10"/>
  <c r="S89" i="10"/>
  <c r="R89" i="10"/>
  <c r="O89" i="10"/>
  <c r="Q89" i="10"/>
  <c r="AT88" i="10"/>
  <c r="AS88" i="10"/>
  <c r="AR88" i="10"/>
  <c r="AD88" i="10"/>
  <c r="AB88" i="10"/>
  <c r="S88" i="10"/>
  <c r="R88" i="10"/>
  <c r="O88" i="10"/>
  <c r="Q88" i="10"/>
  <c r="AX87" i="10"/>
  <c r="AW87" i="10"/>
  <c r="AT87" i="10"/>
  <c r="AS87" i="10"/>
  <c r="AR87" i="10"/>
  <c r="AO87" i="10"/>
  <c r="AK87" i="10"/>
  <c r="AD87" i="10"/>
  <c r="AB87" i="10"/>
  <c r="S87" i="10"/>
  <c r="R87" i="10"/>
  <c r="AS86" i="10"/>
  <c r="AR86" i="10"/>
  <c r="AB86" i="10"/>
  <c r="AX85" i="10"/>
  <c r="AW85" i="10"/>
  <c r="AS85" i="10"/>
  <c r="AR85" i="10"/>
  <c r="AO85" i="10"/>
  <c r="AK85" i="10"/>
  <c r="AD85" i="10"/>
  <c r="AB85" i="10"/>
  <c r="AT84" i="10"/>
  <c r="AS84" i="10"/>
  <c r="AR84" i="10"/>
  <c r="AD84" i="10"/>
  <c r="AB84" i="10"/>
  <c r="S84" i="10"/>
  <c r="R84" i="10"/>
  <c r="O84" i="10"/>
  <c r="T84" i="10"/>
  <c r="AT83" i="10"/>
  <c r="AS83" i="10"/>
  <c r="AR83" i="10"/>
  <c r="AO83" i="10"/>
  <c r="AK83" i="10"/>
  <c r="AD83" i="10"/>
  <c r="AB83" i="10"/>
  <c r="S83" i="10"/>
  <c r="R83" i="10"/>
  <c r="O83" i="10"/>
  <c r="Q83" i="10"/>
  <c r="AT82" i="10"/>
  <c r="AS82" i="10"/>
  <c r="AR82" i="10"/>
  <c r="AD82" i="10"/>
  <c r="AB82" i="10"/>
  <c r="S82" i="10"/>
  <c r="R82" i="10"/>
  <c r="AX81" i="10"/>
  <c r="AW81" i="10"/>
  <c r="AT81" i="10"/>
  <c r="AS81" i="10"/>
  <c r="AR81" i="10"/>
  <c r="AO81" i="10"/>
  <c r="AK81" i="10"/>
  <c r="AD81" i="10"/>
  <c r="AB81" i="10"/>
  <c r="S81" i="10"/>
  <c r="R81" i="10"/>
  <c r="O81" i="10"/>
  <c r="G81" i="10"/>
  <c r="H81" i="10"/>
  <c r="AT80" i="10"/>
  <c r="AS80" i="10"/>
  <c r="AR80" i="10"/>
  <c r="AD80" i="10"/>
  <c r="AB80" i="10"/>
  <c r="S80" i="10"/>
  <c r="R80" i="10"/>
  <c r="O80" i="10"/>
  <c r="T80" i="10"/>
  <c r="AX79" i="10"/>
  <c r="AW79" i="10"/>
  <c r="AT79" i="10"/>
  <c r="AS79" i="10"/>
  <c r="AR79" i="10"/>
  <c r="AO79" i="10"/>
  <c r="AK79" i="10"/>
  <c r="AD79" i="10"/>
  <c r="AB79" i="10"/>
  <c r="S79" i="10"/>
  <c r="R79" i="10"/>
  <c r="O79" i="10"/>
  <c r="Q79" i="10"/>
  <c r="AT78" i="10"/>
  <c r="AS78" i="10"/>
  <c r="AR78" i="10"/>
  <c r="T78" i="10"/>
  <c r="S78" i="10"/>
  <c r="R78" i="10"/>
  <c r="Q78" i="10"/>
  <c r="AS77" i="10"/>
  <c r="AR77" i="10"/>
  <c r="AO77" i="10"/>
  <c r="AK77" i="10"/>
  <c r="AD77" i="10"/>
  <c r="AB77" i="10"/>
  <c r="T77" i="10"/>
  <c r="S77" i="10"/>
  <c r="R77" i="10"/>
  <c r="Q77" i="10"/>
  <c r="AS76" i="10"/>
  <c r="AR76" i="10"/>
  <c r="AD76" i="10"/>
  <c r="AB76" i="10"/>
  <c r="AX75" i="10"/>
  <c r="AW75" i="10"/>
  <c r="AS75" i="10"/>
  <c r="AR75" i="10"/>
  <c r="AO75" i="10"/>
  <c r="AK75" i="10"/>
  <c r="AD75" i="10"/>
  <c r="AB75" i="10"/>
  <c r="AT74" i="10"/>
  <c r="AS74" i="10"/>
  <c r="AR74" i="10"/>
  <c r="AD74" i="10"/>
  <c r="AB74" i="10"/>
  <c r="T74" i="10"/>
  <c r="S74" i="10"/>
  <c r="R74" i="10"/>
  <c r="Q74" i="10"/>
  <c r="G74" i="10"/>
  <c r="H74" i="10"/>
  <c r="AT73" i="10"/>
  <c r="AS73" i="10"/>
  <c r="AR73" i="10"/>
  <c r="AO73" i="10"/>
  <c r="AK73" i="10"/>
  <c r="AD73" i="10"/>
  <c r="AB73" i="10"/>
  <c r="T73" i="10"/>
  <c r="S73" i="10"/>
  <c r="R73" i="10"/>
  <c r="Q73" i="10"/>
  <c r="G73" i="10"/>
  <c r="H73" i="10"/>
  <c r="AT72" i="10"/>
  <c r="AS72" i="10"/>
  <c r="AR72" i="10"/>
  <c r="AD72" i="10"/>
  <c r="AB72" i="10"/>
  <c r="S72" i="10"/>
  <c r="R72" i="10"/>
  <c r="O72" i="10"/>
  <c r="T72" i="10"/>
  <c r="AX71" i="10"/>
  <c r="AW71" i="10"/>
  <c r="AT71" i="10"/>
  <c r="AS71" i="10"/>
  <c r="AR71" i="10"/>
  <c r="AO71" i="10"/>
  <c r="AK71" i="10"/>
  <c r="AD71" i="10"/>
  <c r="AB71" i="10"/>
  <c r="S71" i="10"/>
  <c r="R71" i="10"/>
  <c r="AT70" i="10"/>
  <c r="AS70" i="10"/>
  <c r="AR70" i="10"/>
  <c r="AB70" i="10"/>
  <c r="S70" i="10"/>
  <c r="R70" i="10"/>
  <c r="AX69" i="10"/>
  <c r="AW69" i="10"/>
  <c r="AT69" i="10"/>
  <c r="AS69" i="10"/>
  <c r="AR69" i="10"/>
  <c r="AO69" i="10"/>
  <c r="AK69" i="10"/>
  <c r="AD69" i="10"/>
  <c r="AB69" i="10"/>
  <c r="S69" i="10"/>
  <c r="R69" i="10"/>
  <c r="O69" i="10"/>
  <c r="T69" i="10"/>
  <c r="AT68" i="10"/>
  <c r="AS68" i="10"/>
  <c r="AR68" i="10"/>
  <c r="AD68" i="10"/>
  <c r="AB68" i="10"/>
  <c r="S68" i="10"/>
  <c r="R68" i="10"/>
  <c r="AT67" i="10"/>
  <c r="AS67" i="10"/>
  <c r="AR67" i="10"/>
  <c r="AO67" i="10"/>
  <c r="AK67" i="10"/>
  <c r="AD67" i="10"/>
  <c r="AB67" i="10"/>
  <c r="S67" i="10"/>
  <c r="R67" i="10"/>
  <c r="O67" i="10"/>
  <c r="T67" i="10"/>
  <c r="AT66" i="10"/>
  <c r="AS66" i="10"/>
  <c r="AR66" i="10"/>
  <c r="AD66" i="10"/>
  <c r="AB66" i="10"/>
  <c r="T66" i="10"/>
  <c r="S66" i="10"/>
  <c r="R66" i="10"/>
  <c r="Q66" i="10"/>
  <c r="AX65" i="10"/>
  <c r="AW65" i="10"/>
  <c r="AT65" i="10"/>
  <c r="AS65" i="10"/>
  <c r="AR65" i="10"/>
  <c r="AO65" i="10"/>
  <c r="AK65" i="10"/>
  <c r="AD65" i="10"/>
  <c r="AB65" i="10"/>
  <c r="AS64" i="10"/>
  <c r="AR64" i="10"/>
  <c r="AB64" i="10"/>
  <c r="AT63" i="10"/>
  <c r="AS63" i="10"/>
  <c r="AR63" i="10"/>
  <c r="AO63" i="10"/>
  <c r="AK63" i="10"/>
  <c r="AC63" i="10"/>
  <c r="AD63" i="10"/>
  <c r="AB63" i="10"/>
  <c r="AT62" i="10"/>
  <c r="AS62" i="10"/>
  <c r="AR62" i="10"/>
  <c r="S62" i="10"/>
  <c r="R62" i="10"/>
  <c r="O62" i="10"/>
  <c r="T62" i="10"/>
  <c r="AX61" i="10"/>
  <c r="AW61" i="10"/>
  <c r="AT61" i="10"/>
  <c r="AS61" i="10"/>
  <c r="AR61" i="10"/>
  <c r="AO61" i="10"/>
  <c r="AK61" i="10"/>
  <c r="AS60" i="10"/>
  <c r="AR60" i="10"/>
  <c r="AD60" i="10"/>
  <c r="AB60" i="10"/>
  <c r="AX59" i="10"/>
  <c r="AW59" i="10"/>
  <c r="AT59" i="10"/>
  <c r="AS59" i="10"/>
  <c r="AR59" i="10"/>
  <c r="AD59" i="10"/>
  <c r="AB59" i="10"/>
  <c r="S59" i="10"/>
  <c r="AT58" i="10"/>
  <c r="AS58" i="10"/>
  <c r="AR58" i="10"/>
  <c r="AB58" i="10"/>
  <c r="S58" i="10"/>
  <c r="AX57" i="10"/>
  <c r="AW57" i="10"/>
  <c r="AS57" i="10"/>
  <c r="AR57" i="10"/>
  <c r="AO57" i="10"/>
  <c r="AK57" i="10"/>
  <c r="AB57" i="10"/>
  <c r="AS56" i="10"/>
  <c r="AR56" i="10"/>
  <c r="AX55" i="10"/>
  <c r="AW55" i="10"/>
  <c r="AT55" i="10"/>
  <c r="AS55" i="10"/>
  <c r="AR55" i="10"/>
  <c r="AO55" i="10"/>
  <c r="AK55" i="10"/>
  <c r="AD55" i="10"/>
  <c r="AB55" i="10"/>
  <c r="S55" i="10"/>
  <c r="R55" i="10"/>
  <c r="AS54" i="10"/>
  <c r="AR54" i="10"/>
  <c r="AD54" i="10"/>
  <c r="AB54" i="10"/>
  <c r="AX53" i="10"/>
  <c r="AW53" i="10"/>
  <c r="AT53" i="10"/>
  <c r="AS53" i="10"/>
  <c r="AR53" i="10"/>
  <c r="AO53" i="10"/>
  <c r="AK53" i="10"/>
  <c r="AD53" i="10"/>
  <c r="AB53" i="10"/>
  <c r="AT52" i="10"/>
  <c r="AS52" i="10"/>
  <c r="F52" i="10"/>
  <c r="AD52" i="10"/>
  <c r="AX51" i="10"/>
  <c r="AW51" i="10"/>
  <c r="AT51" i="10"/>
  <c r="AS51" i="10"/>
  <c r="AO51" i="10"/>
  <c r="AK51" i="10"/>
  <c r="S51" i="10"/>
  <c r="F51" i="10"/>
  <c r="AR51" i="10"/>
  <c r="AT50" i="10"/>
  <c r="AS50" i="10"/>
  <c r="AR50" i="10"/>
  <c r="AD50" i="10"/>
  <c r="AB50" i="10"/>
  <c r="S50" i="10"/>
  <c r="R50" i="10"/>
  <c r="O50" i="10"/>
  <c r="Q50" i="10"/>
  <c r="AX49" i="10"/>
  <c r="AW49" i="10"/>
  <c r="AT49" i="10"/>
  <c r="AS49" i="10"/>
  <c r="AR49" i="10"/>
  <c r="AO49" i="10"/>
  <c r="AK49" i="10"/>
  <c r="AD49" i="10"/>
  <c r="AB49" i="10"/>
  <c r="T49" i="10"/>
  <c r="S49" i="10"/>
  <c r="R49" i="10"/>
  <c r="Q49" i="10"/>
  <c r="G49" i="10"/>
  <c r="H49" i="10"/>
  <c r="AT48" i="10"/>
  <c r="AS48" i="10"/>
  <c r="AR48" i="10"/>
  <c r="AX47" i="10"/>
  <c r="AW47" i="10"/>
  <c r="AT47" i="10"/>
  <c r="AS47" i="10"/>
  <c r="AR47" i="10"/>
  <c r="AD47" i="10"/>
  <c r="AB47" i="10"/>
  <c r="S47" i="10"/>
  <c r="R47" i="10"/>
  <c r="AT46" i="10"/>
  <c r="AS46" i="10"/>
  <c r="S46" i="10"/>
  <c r="R46" i="10"/>
  <c r="F46" i="10"/>
  <c r="AT45" i="10"/>
  <c r="AS45" i="10"/>
  <c r="AO45" i="10"/>
  <c r="AK45" i="10"/>
  <c r="S45" i="10"/>
  <c r="R45" i="10"/>
  <c r="O45" i="10"/>
  <c r="T45" i="10"/>
  <c r="F45" i="10"/>
  <c r="AB45" i="10"/>
  <c r="AT44" i="10"/>
  <c r="AS44" i="10"/>
  <c r="AR44" i="10"/>
  <c r="AD44" i="10"/>
  <c r="AB44" i="10"/>
  <c r="S44" i="10"/>
  <c r="R44" i="10"/>
  <c r="AX43" i="10"/>
  <c r="AW43" i="10"/>
  <c r="AT43" i="10"/>
  <c r="AS43" i="10"/>
  <c r="AR43" i="10"/>
  <c r="AO43" i="10"/>
  <c r="AK43" i="10"/>
  <c r="AD43" i="10"/>
  <c r="AB43" i="10"/>
  <c r="S43" i="10"/>
  <c r="R43" i="10"/>
  <c r="O43" i="10"/>
  <c r="G43" i="10"/>
  <c r="H43" i="10"/>
  <c r="AT42" i="10"/>
  <c r="AS42" i="10"/>
  <c r="T42" i="10"/>
  <c r="S42" i="10"/>
  <c r="R42" i="10"/>
  <c r="Q42" i="10"/>
  <c r="G42" i="10"/>
  <c r="F42" i="10"/>
  <c r="AR42" i="10"/>
  <c r="AX41" i="10"/>
  <c r="AW41" i="10"/>
  <c r="AT41" i="10"/>
  <c r="AS41" i="10"/>
  <c r="AO41" i="10"/>
  <c r="AK41" i="10"/>
  <c r="S41" i="10"/>
  <c r="R41" i="10"/>
  <c r="O41" i="10"/>
  <c r="T41" i="10"/>
  <c r="F41" i="10"/>
  <c r="AB41" i="10"/>
  <c r="AT40" i="10"/>
  <c r="AS40" i="10"/>
  <c r="S40" i="10"/>
  <c r="R40" i="10"/>
  <c r="F40" i="10"/>
  <c r="AB40" i="10"/>
  <c r="AT39" i="10"/>
  <c r="AS39" i="10"/>
  <c r="AO39" i="10"/>
  <c r="AK39" i="10"/>
  <c r="S39" i="10"/>
  <c r="F39" i="10"/>
  <c r="AB39" i="10"/>
  <c r="AT38" i="10"/>
  <c r="AS38" i="10"/>
  <c r="AR38" i="10"/>
  <c r="T38" i="10"/>
  <c r="S38" i="10"/>
  <c r="R38" i="10"/>
  <c r="Q38" i="10"/>
  <c r="G38" i="10"/>
  <c r="H38" i="10"/>
  <c r="AT37" i="10"/>
  <c r="AS37" i="10"/>
  <c r="AR37" i="10"/>
  <c r="AD37" i="10"/>
  <c r="AB37" i="10"/>
  <c r="S37" i="10"/>
  <c r="R37" i="10"/>
  <c r="O37" i="10"/>
  <c r="G37" i="10"/>
  <c r="H37" i="10"/>
  <c r="AT36" i="10"/>
  <c r="AS36" i="10"/>
  <c r="AR36" i="10"/>
  <c r="AD36" i="10"/>
  <c r="AB36" i="10"/>
  <c r="T36" i="10"/>
  <c r="S36" i="10"/>
  <c r="R36" i="10"/>
  <c r="Q36" i="10"/>
  <c r="G36" i="10"/>
  <c r="H36" i="10"/>
  <c r="AX35" i="10"/>
  <c r="AW35" i="10"/>
  <c r="AT35" i="10"/>
  <c r="AS35" i="10"/>
  <c r="AR35" i="10"/>
  <c r="AD35" i="10"/>
  <c r="AB35" i="10"/>
  <c r="S35" i="10"/>
  <c r="R35" i="10"/>
  <c r="O35" i="10"/>
  <c r="G35" i="10"/>
  <c r="H35" i="10"/>
  <c r="AK34" i="10"/>
  <c r="S34" i="10"/>
  <c r="R34" i="10"/>
  <c r="O34" i="10"/>
  <c r="T34" i="10"/>
  <c r="F34" i="10"/>
  <c r="AD34" i="10"/>
  <c r="AX33" i="10"/>
  <c r="AT33" i="10"/>
  <c r="AS33" i="10"/>
  <c r="AO33" i="10"/>
  <c r="AK33" i="10"/>
  <c r="S33" i="10"/>
  <c r="R33" i="10"/>
  <c r="O33" i="10"/>
  <c r="Q33" i="10"/>
  <c r="F33" i="10"/>
  <c r="AB33" i="10"/>
  <c r="AT32" i="10"/>
  <c r="AS32" i="10"/>
  <c r="AR32" i="10"/>
  <c r="AO32" i="10"/>
  <c r="AK32" i="10"/>
  <c r="AD32" i="10"/>
  <c r="AB32" i="10"/>
  <c r="T32" i="10"/>
  <c r="S32" i="10"/>
  <c r="R32" i="10"/>
  <c r="Q32" i="10"/>
  <c r="G32" i="10"/>
  <c r="H32" i="10"/>
  <c r="AX31" i="10"/>
  <c r="AT31" i="10"/>
  <c r="AS31" i="10"/>
  <c r="AR31" i="10"/>
  <c r="AO31" i="10"/>
  <c r="AK31" i="10"/>
  <c r="AD31" i="10"/>
  <c r="AB31" i="10"/>
  <c r="T31" i="10"/>
  <c r="S31" i="10"/>
  <c r="R31" i="10"/>
  <c r="Q31" i="10"/>
  <c r="AT30" i="10"/>
  <c r="AS30" i="10"/>
  <c r="AR30" i="10"/>
  <c r="AO30" i="10"/>
  <c r="AK30" i="10"/>
  <c r="AD30" i="10"/>
  <c r="AB30" i="10"/>
  <c r="S30" i="10"/>
  <c r="AX29" i="10"/>
  <c r="AW29" i="10"/>
  <c r="AT29" i="10"/>
  <c r="AS29" i="10"/>
  <c r="AR29" i="10"/>
  <c r="AO29" i="10"/>
  <c r="AK29" i="10"/>
  <c r="AD29" i="10"/>
  <c r="AB29" i="10"/>
  <c r="T29" i="10"/>
  <c r="S29" i="10"/>
  <c r="R29" i="10"/>
  <c r="Q29" i="10"/>
  <c r="G29" i="10"/>
  <c r="H29" i="10"/>
  <c r="AK28" i="10"/>
  <c r="F28" i="10"/>
  <c r="AX27" i="10"/>
  <c r="AT27" i="10"/>
  <c r="AS27" i="10"/>
  <c r="AO27" i="10"/>
  <c r="AK27" i="10"/>
  <c r="S27" i="10"/>
  <c r="R27" i="10"/>
  <c r="O27" i="10"/>
  <c r="Q27" i="10"/>
  <c r="F27" i="10"/>
  <c r="AR27" i="10"/>
  <c r="AS26" i="10"/>
  <c r="AR26" i="10"/>
  <c r="AO26" i="10"/>
  <c r="AK26" i="10"/>
  <c r="AX25" i="10"/>
  <c r="AW25" i="10"/>
  <c r="AS25" i="10"/>
  <c r="AR25" i="10"/>
  <c r="AO25" i="10"/>
  <c r="AK25" i="10"/>
  <c r="T25" i="10"/>
  <c r="AD24" i="10"/>
  <c r="AB24" i="10"/>
  <c r="AW23" i="10"/>
  <c r="AD23" i="10"/>
  <c r="AB23" i="10"/>
  <c r="S23" i="10"/>
  <c r="R23" i="10"/>
  <c r="O23" i="10"/>
  <c r="T23" i="10"/>
  <c r="AT22" i="10"/>
  <c r="AS22" i="10"/>
  <c r="AO22" i="10"/>
  <c r="AK22" i="10"/>
  <c r="AC22" i="10"/>
  <c r="S22" i="10"/>
  <c r="R22" i="10"/>
  <c r="O22" i="10"/>
  <c r="T22" i="10"/>
  <c r="F22" i="10"/>
  <c r="AB22" i="10"/>
  <c r="AT21" i="10"/>
  <c r="AS21" i="10"/>
  <c r="AO21" i="10"/>
  <c r="AK21" i="10"/>
  <c r="S21" i="10"/>
  <c r="F21" i="10"/>
  <c r="AT20" i="10"/>
  <c r="AS20" i="10"/>
  <c r="AR20" i="10"/>
  <c r="AO20" i="10"/>
  <c r="AK20" i="10"/>
  <c r="AD20" i="10"/>
  <c r="AB20" i="10"/>
  <c r="S20" i="10"/>
  <c r="R20" i="10"/>
  <c r="O20" i="10"/>
  <c r="T20" i="10"/>
  <c r="AX19" i="10"/>
  <c r="AW19" i="10"/>
  <c r="AT19" i="10"/>
  <c r="AS19" i="10"/>
  <c r="AR19" i="10"/>
  <c r="AO19" i="10"/>
  <c r="AK19" i="10"/>
  <c r="AD19" i="10"/>
  <c r="AB19" i="10"/>
  <c r="T19" i="10"/>
  <c r="S19" i="10"/>
  <c r="R19" i="10"/>
  <c r="Q19" i="10"/>
  <c r="AT18" i="10"/>
  <c r="AS18" i="10"/>
  <c r="AR18" i="10"/>
  <c r="AD18" i="10"/>
  <c r="AB18" i="10"/>
  <c r="AX17" i="10"/>
  <c r="AW17" i="10"/>
  <c r="AT17" i="10"/>
  <c r="AS17" i="10"/>
  <c r="AR17" i="10"/>
  <c r="AD17" i="10"/>
  <c r="AB17" i="10"/>
  <c r="S17" i="10"/>
  <c r="R17" i="10"/>
  <c r="O17" i="10"/>
  <c r="Q17" i="10"/>
  <c r="AD16" i="10"/>
  <c r="AB16" i="10"/>
  <c r="AX15" i="10"/>
  <c r="AW15" i="10"/>
  <c r="AS15" i="10"/>
  <c r="AR15" i="10"/>
  <c r="AO15" i="10"/>
  <c r="AK15" i="10"/>
  <c r="AD15" i="10"/>
  <c r="AB15" i="10"/>
  <c r="AT14" i="10"/>
  <c r="AS14" i="10"/>
  <c r="AO14" i="10"/>
  <c r="S14" i="10"/>
  <c r="R14" i="10"/>
  <c r="O14" i="10"/>
  <c r="T14" i="10"/>
  <c r="F14" i="10"/>
  <c r="AR14" i="10"/>
  <c r="AX13" i="10"/>
  <c r="AW13" i="10"/>
  <c r="AT13" i="10"/>
  <c r="AS13" i="10"/>
  <c r="AO13" i="10"/>
  <c r="AK13" i="10"/>
  <c r="T13" i="10"/>
  <c r="S13" i="10"/>
  <c r="R13" i="10"/>
  <c r="Q13" i="10"/>
  <c r="G13" i="10"/>
  <c r="F13" i="10"/>
  <c r="AD12" i="10"/>
  <c r="AB12" i="10"/>
  <c r="S12" i="10"/>
  <c r="R12" i="10"/>
  <c r="AT11" i="10"/>
  <c r="AS11" i="10"/>
  <c r="AR11" i="10"/>
  <c r="AO11" i="10"/>
  <c r="AD11" i="10"/>
  <c r="AB11" i="10"/>
  <c r="T11" i="10"/>
  <c r="S11" i="10"/>
  <c r="R11" i="10"/>
  <c r="Q11" i="10"/>
  <c r="G11" i="10"/>
  <c r="H11" i="10"/>
  <c r="AS10" i="10"/>
  <c r="AR10" i="10"/>
  <c r="AO10" i="10"/>
  <c r="AX9" i="10"/>
  <c r="AW9" i="10"/>
  <c r="AT9" i="10"/>
  <c r="AS9" i="10"/>
  <c r="AR9" i="10"/>
  <c r="AO9" i="10"/>
  <c r="AD9" i="10"/>
  <c r="AB9" i="10"/>
  <c r="AD8" i="10"/>
  <c r="AB8" i="10"/>
  <c r="S8" i="10"/>
  <c r="R8" i="10"/>
  <c r="AW7" i="10"/>
  <c r="AD7" i="10"/>
  <c r="AB7" i="10"/>
  <c r="T7" i="10"/>
  <c r="S7" i="10"/>
  <c r="R7" i="10"/>
  <c r="Q7" i="10"/>
  <c r="G7" i="10"/>
  <c r="AX5" i="10"/>
  <c r="AW5" i="10"/>
  <c r="AT5" i="10"/>
  <c r="AS5" i="10"/>
  <c r="AR5" i="10"/>
  <c r="AO5" i="10"/>
  <c r="AB5" i="10"/>
  <c r="T5" i="10"/>
  <c r="S5" i="10"/>
  <c r="R5" i="10"/>
  <c r="Q5" i="10"/>
  <c r="G5" i="10"/>
  <c r="H5" i="10"/>
  <c r="AT4" i="10"/>
  <c r="AS4" i="10"/>
  <c r="AR4" i="10"/>
  <c r="AO4" i="10"/>
  <c r="S4" i="10"/>
  <c r="AT3" i="10"/>
  <c r="AS3" i="10"/>
  <c r="AR3" i="10"/>
  <c r="AO3" i="10"/>
  <c r="AM3" i="10"/>
  <c r="AL3" i="10"/>
  <c r="AB3" i="10"/>
  <c r="T3" i="10"/>
  <c r="S3" i="10"/>
  <c r="R3" i="10"/>
  <c r="Q3" i="10"/>
  <c r="G3" i="10"/>
  <c r="H3" i="10"/>
  <c r="AR13" i="10"/>
  <c r="AR21" i="10"/>
  <c r="AR22" i="10"/>
  <c r="AR33" i="10"/>
  <c r="AR39" i="10"/>
  <c r="AR40" i="10"/>
  <c r="AR41" i="10"/>
  <c r="AR45" i="10"/>
  <c r="AR46" i="10"/>
  <c r="AR52" i="10"/>
  <c r="G3" i="18"/>
  <c r="P3" i="18"/>
  <c r="P5" i="18"/>
  <c r="AG5" i="18"/>
  <c r="P4" i="18"/>
  <c r="AG4" i="18"/>
  <c r="G5" i="18"/>
  <c r="G4" i="18"/>
  <c r="H4" i="18"/>
  <c r="T17" i="10"/>
  <c r="AD22" i="10"/>
  <c r="G83" i="10"/>
  <c r="H83" i="10"/>
  <c r="P89" i="10"/>
  <c r="AG89" i="10"/>
  <c r="AD40" i="10"/>
  <c r="T27" i="10"/>
  <c r="Q4" i="18"/>
  <c r="Q3" i="18"/>
  <c r="H3" i="18"/>
  <c r="V3" i="18"/>
  <c r="T4" i="18"/>
  <c r="T3" i="18"/>
  <c r="T5" i="18"/>
  <c r="Q35" i="10"/>
  <c r="P35" i="10"/>
  <c r="AG35" i="10"/>
  <c r="P17" i="10"/>
  <c r="AG17" i="10"/>
  <c r="Q25" i="10"/>
  <c r="P43" i="10"/>
  <c r="AG43" i="10"/>
  <c r="P45" i="10"/>
  <c r="AG45" i="10"/>
  <c r="AD51" i="10"/>
  <c r="Q90" i="10"/>
  <c r="P88" i="10"/>
  <c r="AG88" i="10"/>
  <c r="P67" i="10"/>
  <c r="AG67" i="10"/>
  <c r="P27" i="10"/>
  <c r="AG27" i="10"/>
  <c r="T88" i="10"/>
  <c r="P79" i="10"/>
  <c r="AG79" i="10"/>
  <c r="AB51" i="10"/>
  <c r="G69" i="10"/>
  <c r="P90" i="10"/>
  <c r="AG90" i="10"/>
  <c r="P80" i="10"/>
  <c r="AG80" i="10"/>
  <c r="P72" i="10"/>
  <c r="AG72" i="10"/>
  <c r="P37" i="10"/>
  <c r="AG37" i="10"/>
  <c r="P20" i="10"/>
  <c r="AG20" i="10"/>
  <c r="P84" i="10"/>
  <c r="AG84" i="10"/>
  <c r="P34" i="10"/>
  <c r="AG34" i="10"/>
  <c r="P25" i="10"/>
  <c r="P14" i="10"/>
  <c r="AG14" i="10"/>
  <c r="P22" i="10"/>
  <c r="AG22" i="10"/>
  <c r="P23" i="10"/>
  <c r="AG23" i="10"/>
  <c r="P33" i="10"/>
  <c r="AG33" i="10"/>
  <c r="P41" i="10"/>
  <c r="AG41" i="10"/>
  <c r="P50" i="10"/>
  <c r="AG50" i="10"/>
  <c r="P69" i="10"/>
  <c r="AG69" i="10"/>
  <c r="P81" i="10"/>
  <c r="AG81" i="10"/>
  <c r="P83" i="10"/>
  <c r="AG83" i="10"/>
  <c r="Q34" i="10"/>
  <c r="Q43" i="10"/>
  <c r="G84" i="10"/>
  <c r="H84" i="10"/>
  <c r="G88" i="10"/>
  <c r="H88" i="10"/>
  <c r="P62" i="10"/>
  <c r="T83" i="10"/>
  <c r="H7" i="10"/>
  <c r="Q37" i="10"/>
  <c r="Q81" i="10"/>
  <c r="H13" i="10"/>
  <c r="H42" i="10"/>
  <c r="Q62" i="10"/>
  <c r="Q80" i="10"/>
  <c r="Q84" i="10"/>
  <c r="G17" i="10"/>
  <c r="G27" i="10"/>
  <c r="H27" i="10"/>
  <c r="AB27" i="10"/>
  <c r="G34" i="10"/>
  <c r="H34" i="10"/>
  <c r="T35" i="10"/>
  <c r="AD39" i="10"/>
  <c r="T43" i="10"/>
  <c r="AB13" i="10"/>
  <c r="AD33" i="10"/>
  <c r="T37" i="10"/>
  <c r="T81" i="10"/>
  <c r="AB52" i="10"/>
  <c r="G62" i="10"/>
  <c r="H62" i="10"/>
  <c r="Q69" i="10"/>
  <c r="AD14" i="10"/>
  <c r="R25" i="10"/>
  <c r="AD41" i="10"/>
  <c r="AD45" i="10"/>
  <c r="Q14" i="10"/>
  <c r="Q20" i="10"/>
  <c r="AB21" i="10"/>
  <c r="Q22" i="10"/>
  <c r="Q23" i="10"/>
  <c r="S25" i="10"/>
  <c r="G33" i="10"/>
  <c r="T33" i="10"/>
  <c r="Q41" i="10"/>
  <c r="Q45" i="10"/>
  <c r="G50" i="10"/>
  <c r="H50" i="10"/>
  <c r="T50" i="10"/>
  <c r="Q67" i="10"/>
  <c r="G79" i="10"/>
  <c r="T79" i="10"/>
  <c r="G89" i="10"/>
  <c r="T89" i="10"/>
  <c r="AB46" i="10"/>
  <c r="AD21" i="10"/>
  <c r="AT25" i="10"/>
  <c r="AD27" i="10"/>
  <c r="Q72" i="10"/>
  <c r="G80" i="10"/>
  <c r="H80" i="10"/>
  <c r="G90" i="10"/>
  <c r="H90" i="10"/>
  <c r="AD13" i="10"/>
  <c r="G14" i="10"/>
  <c r="H14" i="10"/>
  <c r="G20" i="10"/>
  <c r="H20" i="10"/>
  <c r="G22" i="10"/>
  <c r="H22" i="10"/>
  <c r="G23" i="10"/>
  <c r="H23" i="10"/>
  <c r="G41" i="10"/>
  <c r="G45" i="10"/>
  <c r="H45" i="10"/>
  <c r="G67" i="10"/>
  <c r="AB14" i="10"/>
  <c r="G72" i="10"/>
  <c r="H72" i="10"/>
  <c r="AG3" i="18"/>
  <c r="V5" i="18"/>
  <c r="F52" i="8"/>
  <c r="H5" i="18"/>
  <c r="H67" i="10"/>
  <c r="H33" i="10"/>
  <c r="H17" i="10"/>
  <c r="H89" i="10"/>
  <c r="H79" i="10"/>
  <c r="H41" i="10"/>
  <c r="H69" i="10"/>
</calcChain>
</file>

<file path=xl/sharedStrings.xml><?xml version="1.0" encoding="utf-8"?>
<sst xmlns="http://schemas.openxmlformats.org/spreadsheetml/2006/main" count="10934" uniqueCount="322">
  <si>
    <t>Length of body</t>
  </si>
  <si>
    <t>Length of antennae</t>
  </si>
  <si>
    <t>Length of antennae segment I</t>
  </si>
  <si>
    <t>Length of antennae segment II</t>
  </si>
  <si>
    <t>Length of antennae segment III</t>
  </si>
  <si>
    <t>Length of antennae segment IV</t>
  </si>
  <si>
    <t>Length of antennae segment V</t>
  </si>
  <si>
    <t>Ant segment ratio VI:III</t>
  </si>
  <si>
    <t>Ant segment ratio V:III</t>
  </si>
  <si>
    <t>Ant segment ratio IV:III</t>
  </si>
  <si>
    <t>Head width across compound eyes</t>
  </si>
  <si>
    <t>First femora length</t>
  </si>
  <si>
    <t>First femora width</t>
  </si>
  <si>
    <t>Second femora length</t>
  </si>
  <si>
    <t>Hind femora length</t>
  </si>
  <si>
    <t>Hind tibia lenght</t>
  </si>
  <si>
    <t>Ultimate rostral segment length</t>
  </si>
  <si>
    <t>Ultimate rostral segment width</t>
  </si>
  <si>
    <t>Ultimate rostral segment length/Ultimate rostral segment width</t>
  </si>
  <si>
    <t>Cauda length</t>
  </si>
  <si>
    <t>Length of antennae segment VI</t>
  </si>
  <si>
    <t>ANT/HW</t>
  </si>
  <si>
    <t xml:space="preserve">MIN </t>
  </si>
  <si>
    <t xml:space="preserve">MAX </t>
  </si>
  <si>
    <t>25-29.07.1964</t>
  </si>
  <si>
    <t>MIN</t>
  </si>
  <si>
    <t>MAX</t>
  </si>
  <si>
    <t>First femora length/First femora width</t>
  </si>
  <si>
    <t xml:space="preserve">D. kanzensis </t>
  </si>
  <si>
    <t>INHS 1058913</t>
  </si>
  <si>
    <t>INHS 1058914</t>
  </si>
  <si>
    <t>INHS 1058905</t>
  </si>
  <si>
    <t>D. parva</t>
  </si>
  <si>
    <t>INHS 1058904</t>
  </si>
  <si>
    <t>BL</t>
  </si>
  <si>
    <t>ANT</t>
  </si>
  <si>
    <t>ANT/BL</t>
  </si>
  <si>
    <t>ANT I</t>
  </si>
  <si>
    <t>ANT II</t>
  </si>
  <si>
    <t>ANT IV</t>
  </si>
  <si>
    <t>ANT V</t>
  </si>
  <si>
    <t>ANT VI</t>
  </si>
  <si>
    <t>ANT VI / ANT III</t>
  </si>
  <si>
    <t>HW</t>
  </si>
  <si>
    <t>I FEMUR L</t>
  </si>
  <si>
    <t>I FEMUR W</t>
  </si>
  <si>
    <t>II FEMUR L</t>
  </si>
  <si>
    <t>III FEMUR L / BL</t>
  </si>
  <si>
    <t>III TIBIA L / BL</t>
  </si>
  <si>
    <t>HT II L</t>
  </si>
  <si>
    <t>I FEMUR L/I FEMUR W</t>
  </si>
  <si>
    <t>ANT III</t>
  </si>
  <si>
    <t>ANT V / ANT III</t>
  </si>
  <si>
    <t>ANT IV / ANT III</t>
  </si>
  <si>
    <t>III FEMUR L</t>
  </si>
  <si>
    <t>III TIBIA L</t>
  </si>
  <si>
    <t>HT II L / ANT VI</t>
  </si>
  <si>
    <t>Date</t>
  </si>
  <si>
    <t>Species</t>
  </si>
  <si>
    <t>D. acerifoliae</t>
  </si>
  <si>
    <t>mzlu182221</t>
  </si>
  <si>
    <t>mzlu182222</t>
  </si>
  <si>
    <t>mzlu182223</t>
  </si>
  <si>
    <t>mzlu18225</t>
  </si>
  <si>
    <t>mzlu18226</t>
  </si>
  <si>
    <t>mzlu18227</t>
  </si>
  <si>
    <t>mzlu18228</t>
  </si>
  <si>
    <t>mzlu18229</t>
  </si>
  <si>
    <t>mzlu18230</t>
  </si>
  <si>
    <t>mzlu18231</t>
  </si>
  <si>
    <t>B.M.1961-187</t>
  </si>
  <si>
    <t>MNHN 17521</t>
  </si>
  <si>
    <t>BM 1984-340</t>
  </si>
  <si>
    <t>R1858</t>
  </si>
  <si>
    <t>R1856 MZPW</t>
  </si>
  <si>
    <t>---</t>
  </si>
  <si>
    <t>URS L</t>
  </si>
  <si>
    <t>URS W</t>
  </si>
  <si>
    <t>URS L / URS W</t>
  </si>
  <si>
    <t>SIPH middle</t>
  </si>
  <si>
    <t>Basal width of cauda</t>
  </si>
  <si>
    <t>RIN ANT III</t>
  </si>
  <si>
    <t>Number of setae on subgenital plate 1</t>
  </si>
  <si>
    <t>Number of setae on subgenital plate 2</t>
  </si>
  <si>
    <t>Number of setae additional on URS</t>
  </si>
  <si>
    <t>Number of setae on cauda</t>
  </si>
  <si>
    <t>I FEMUR L / I FEMUR W</t>
  </si>
  <si>
    <t>URS L / HT II L</t>
  </si>
  <si>
    <t>SIPH L</t>
  </si>
  <si>
    <t>SIPH L / BL</t>
  </si>
  <si>
    <t>SIPH L / SIPH middle</t>
  </si>
  <si>
    <t>SIPH L / ANT III</t>
  </si>
  <si>
    <t>ANT VI BASE</t>
  </si>
  <si>
    <t>ANT VI PT</t>
  </si>
  <si>
    <t>ANT VI PT / ANT VI BASE</t>
  </si>
  <si>
    <t>ANT / BL</t>
  </si>
  <si>
    <t>HT II L / ANT VI BASE</t>
  </si>
  <si>
    <t>URS L / ANT VI BASE</t>
  </si>
  <si>
    <t>Explanation of abbreviations:</t>
  </si>
  <si>
    <t>Length of antennae segment VI base</t>
  </si>
  <si>
    <t>Length of antennae segment VI processus terminalis</t>
  </si>
  <si>
    <t>ANT VI/ANT III</t>
  </si>
  <si>
    <t>ANT V/ANT III</t>
  </si>
  <si>
    <t>ANT IV/ANT III</t>
  </si>
  <si>
    <t>ANT VI PT/ANT VI BASE</t>
  </si>
  <si>
    <t>Ant segment ratio VI PT:VI BASE</t>
  </si>
  <si>
    <t>III FEMUR L/BL</t>
  </si>
  <si>
    <t>III TIBIA L/BL</t>
  </si>
  <si>
    <t>Length of the 2nd segment of hind tarsus</t>
  </si>
  <si>
    <t>HT II L/ANT VI BASE</t>
  </si>
  <si>
    <t>HT II L/ANT VI</t>
  </si>
  <si>
    <t>URS L/URS W</t>
  </si>
  <si>
    <t>URS L/HT II L</t>
  </si>
  <si>
    <t>URS L/ANT VI BASE</t>
  </si>
  <si>
    <t>Siphunculus length</t>
  </si>
  <si>
    <t>Mind-width of siphunculus</t>
  </si>
  <si>
    <t>SIPH L/BL</t>
  </si>
  <si>
    <t>SIPH L/SIPH middle</t>
  </si>
  <si>
    <t>SIPH L/ANT III</t>
  </si>
  <si>
    <t>Number of rhinaria on the 3rd antennal segment</t>
  </si>
  <si>
    <t>Siphunculus length/Mind-width of siphunculus</t>
  </si>
  <si>
    <t>Siphunculus length/Body length</t>
  </si>
  <si>
    <t>Length of antennae/Length of body</t>
  </si>
  <si>
    <t>Hind femora lenght/Length of body</t>
  </si>
  <si>
    <t>Hind tibia lenght/Length of body</t>
  </si>
  <si>
    <t>Length of the 2nd segment of hind tarsus/Length of 6th antennal segment</t>
  </si>
  <si>
    <t>Length of the 2nd segment of hind tarsus/Length of base of last antennal segment</t>
  </si>
  <si>
    <t>Ultimate rostral segment length/Length of 2nd segment of hind tarsus</t>
  </si>
  <si>
    <t>Ultimate rostral segment length/Length of base of last antennal segment</t>
  </si>
  <si>
    <t>Ultimate rostral segment length/Length of siphunculus</t>
  </si>
  <si>
    <t>Siphunculus length/Length of 3rd antennal segment</t>
  </si>
  <si>
    <t>CAUDA L</t>
  </si>
  <si>
    <t>CAUDA W</t>
  </si>
  <si>
    <t>CAUDA L/CAUDA W</t>
  </si>
  <si>
    <t>SIPH L/CAUDA L</t>
  </si>
  <si>
    <t>HT II L / ANT III</t>
  </si>
  <si>
    <t>URS L / ANT III</t>
  </si>
  <si>
    <t>HT II L/ANT III</t>
  </si>
  <si>
    <t>Length of the 2nd segment of hind tarsus/Length of 3rd antennal segment</t>
  </si>
  <si>
    <t>URS L/ANT III</t>
  </si>
  <si>
    <t>Ultimate rostral segment length/Length of 3rd antennal segment</t>
  </si>
  <si>
    <t>Collection no. / other informations</t>
  </si>
  <si>
    <t>HOLOTYPE</t>
  </si>
  <si>
    <t>R.L.B 3775</t>
  </si>
  <si>
    <t>Paris 17522</t>
  </si>
  <si>
    <t>mzlu182240</t>
  </si>
  <si>
    <t>mzlu182241</t>
  </si>
  <si>
    <t>D. carolinensis</t>
  </si>
  <si>
    <t>Cauda length/Basal width of cauda</t>
  </si>
  <si>
    <t>Siphunculus length/Length of cauda</t>
  </si>
  <si>
    <t>CAUDA L / CAUDA W</t>
  </si>
  <si>
    <t>SIPH L / CAUDA L</t>
  </si>
  <si>
    <t>URS L / SIPH L</t>
  </si>
  <si>
    <t>URS L/SIPH L</t>
  </si>
  <si>
    <t>(BM1967-340)</t>
  </si>
  <si>
    <t xml:space="preserve">(BM 1990-59) </t>
  </si>
  <si>
    <t>BM 1982-492</t>
  </si>
  <si>
    <t>(08107)</t>
  </si>
  <si>
    <t>D. choanotricha</t>
  </si>
  <si>
    <t>PARATYPE</t>
  </si>
  <si>
    <t>(BM1984-340)</t>
  </si>
  <si>
    <t>(MZPW)</t>
  </si>
  <si>
    <t>mzlu182242</t>
  </si>
  <si>
    <t>mzlu182243</t>
  </si>
  <si>
    <t>PARATYPE (08108)</t>
  </si>
  <si>
    <t>BM 1958-454</t>
  </si>
  <si>
    <t>D. idahoensis</t>
  </si>
  <si>
    <t>D. granovskyi</t>
  </si>
  <si>
    <t>Supplementary file S1</t>
  </si>
  <si>
    <r>
      <t xml:space="preserve">Metric data and morphological characters for alate viviparous females of the genus </t>
    </r>
    <r>
      <rPr>
        <b/>
        <i/>
        <sz val="14"/>
        <color theme="1"/>
        <rFont val="Calibri"/>
        <family val="2"/>
        <charset val="238"/>
        <scheme val="minor"/>
      </rPr>
      <t>Drepanaphis</t>
    </r>
  </si>
  <si>
    <t>ANT / HW</t>
  </si>
  <si>
    <t>Locality</t>
  </si>
  <si>
    <t>Winnipeg, Manitoba, Canada</t>
  </si>
  <si>
    <t>Md. Prince, George Co., Beltsville, USA</t>
  </si>
  <si>
    <t>Lodi, California, USA</t>
  </si>
  <si>
    <t>Orono, Maine, USA</t>
  </si>
  <si>
    <t>Berkeley, California, USA</t>
  </si>
  <si>
    <t>Raleigh, North Carolina, USA</t>
  </si>
  <si>
    <t>State Collage, golf course, Pennsylvania, USA</t>
  </si>
  <si>
    <t>Umstead Park, Raleigh, North Carolina, USA</t>
  </si>
  <si>
    <t>Amherst, Massachusetts, USA</t>
  </si>
  <si>
    <t>ANT /HW</t>
  </si>
  <si>
    <t>TYPE</t>
  </si>
  <si>
    <t>Liberty, Utah, USA</t>
  </si>
  <si>
    <t>Logan Canyon, Utah, USA</t>
  </si>
  <si>
    <t>Blacksmith Fork Canyon, Utah, USA</t>
  </si>
  <si>
    <t>Green Canyon, Utah, USA</t>
  </si>
  <si>
    <t>Providence, Utah, USA</t>
  </si>
  <si>
    <t>Hobble Creek Canyon, Utah, USA</t>
  </si>
  <si>
    <t>Unionville, Ontario, Canada</t>
  </si>
  <si>
    <t>Ottawa, Ontario, Canada</t>
  </si>
  <si>
    <t>Sainte-Foy, Quebec, Canada</t>
  </si>
  <si>
    <t>09.1960</t>
  </si>
  <si>
    <t>BM184-340</t>
  </si>
  <si>
    <t>MZPW</t>
  </si>
  <si>
    <t>mzlu182245</t>
  </si>
  <si>
    <t>Fort Scott, Kansas, USA</t>
  </si>
  <si>
    <t>NHMUK 14314717</t>
  </si>
  <si>
    <t>NHMUK 14314718</t>
  </si>
  <si>
    <t>Vivian Park, Provo Canyon, Utah, USA</t>
  </si>
  <si>
    <t>Cub River Canyon, Idaho, USA</t>
  </si>
  <si>
    <t>Birch Creek, Cub River Canyon, Idaho, USA</t>
  </si>
  <si>
    <t>Polo, Illinois, USA</t>
  </si>
  <si>
    <t>Cullowhee, North Carolina, USA</t>
  </si>
  <si>
    <t>Busick, North Carolina, USA</t>
  </si>
  <si>
    <t>Durham, North Carolina, USA</t>
  </si>
  <si>
    <t>Bolton, North Carolina, USA</t>
  </si>
  <si>
    <t>Saint Paul, Minnesota, USA</t>
  </si>
  <si>
    <t>Saint James, Minnesota, USA</t>
  </si>
  <si>
    <t>Chemung, Illinois, USA</t>
  </si>
  <si>
    <t>Savage, Minnesota, USA</t>
  </si>
  <si>
    <t>Toronto, Canada</t>
  </si>
  <si>
    <t>Presque Isle, Maine, USA</t>
  </si>
  <si>
    <t>Amherst, Massatchusetts, USA</t>
  </si>
  <si>
    <t>Mt. Mitchell, Camp Alice, North Carolina, USA</t>
  </si>
  <si>
    <t>Brigham Canyon, Utah, USA</t>
  </si>
  <si>
    <t>Green Canyon, Cache Co., Utah, USA</t>
  </si>
  <si>
    <t>West Hodges Canyon, Utah, USA</t>
  </si>
  <si>
    <t>Weber Canyon, Utah, USA</t>
  </si>
  <si>
    <t>Logan Canyon, Cache Co., Utah, USA</t>
  </si>
  <si>
    <t>Thomas Spring, Cub River Canyon, Idaho</t>
  </si>
  <si>
    <t>D. keshenae</t>
  </si>
  <si>
    <t>(INHS)</t>
  </si>
  <si>
    <t>INHS 184,237</t>
  </si>
  <si>
    <t>SYNTYPE</t>
  </si>
  <si>
    <t>NHMUK 12821449</t>
  </si>
  <si>
    <t>D. knowltoni</t>
  </si>
  <si>
    <t>NHMUK 12821424</t>
  </si>
  <si>
    <t>NHMUK 12821421</t>
  </si>
  <si>
    <t>NHMUK 12821420</t>
  </si>
  <si>
    <t>NHMUK 12821422</t>
  </si>
  <si>
    <t>NHMUK 12821423</t>
  </si>
  <si>
    <t>NHMUK 12821429</t>
  </si>
  <si>
    <t>NHMUK 12821425</t>
  </si>
  <si>
    <t>NHMUK 12821426</t>
  </si>
  <si>
    <t>NHMUK 12821427</t>
  </si>
  <si>
    <t>(IECA)</t>
  </si>
  <si>
    <t>(NHMUK)</t>
  </si>
  <si>
    <t>NHMUK 12821428</t>
  </si>
  <si>
    <t>NHMUK 12821431</t>
  </si>
  <si>
    <t>(USNM)</t>
  </si>
  <si>
    <t>BM 1990-59</t>
  </si>
  <si>
    <t>MNHN 25150</t>
  </si>
  <si>
    <t>NHMUK 12821432</t>
  </si>
  <si>
    <t>Cub Creak, Idaho, USA</t>
  </si>
  <si>
    <t>Mantua, Utah, USA</t>
  </si>
  <si>
    <t>Logan, Utah, USA</t>
  </si>
  <si>
    <t>State College, Pennsylvania, USA</t>
  </si>
  <si>
    <t>D. monelli</t>
  </si>
  <si>
    <t>R1864 MZPW</t>
  </si>
  <si>
    <t>MZLU182246</t>
  </si>
  <si>
    <t>NHMUK 12821436</t>
  </si>
  <si>
    <t>NHMUK 12821437</t>
  </si>
  <si>
    <t>NHMUK 12821438</t>
  </si>
  <si>
    <t>NHMUK 12821439</t>
  </si>
  <si>
    <t>NHMUK 12821440</t>
  </si>
  <si>
    <t>NHMUK 12821441</t>
  </si>
  <si>
    <t>NHMUK 12821443</t>
  </si>
  <si>
    <t>NHMUK 12821444</t>
  </si>
  <si>
    <t>NHMUK 12821445</t>
  </si>
  <si>
    <t>MNHN 25153</t>
  </si>
  <si>
    <t>D. nigricans</t>
  </si>
  <si>
    <t>PARATYPE (MNHN 22493)</t>
  </si>
  <si>
    <t>Greensboro, North Carolina, USA</t>
  </si>
  <si>
    <t>Doughton, North Carolina, USA</t>
  </si>
  <si>
    <t>D. robinsoni</t>
  </si>
  <si>
    <t>HOLOTYPE (14314713)</t>
  </si>
  <si>
    <t>PARATYPE (14314714)</t>
  </si>
  <si>
    <t>Chapel Hill, North Carolina, USA</t>
  </si>
  <si>
    <t>PARATYPE (12821447)</t>
  </si>
  <si>
    <t>PARATYPE (12821448)</t>
  </si>
  <si>
    <t>Granville, Illinois, USA</t>
  </si>
  <si>
    <t>INHS 1058909</t>
  </si>
  <si>
    <t>INHS 1058910</t>
  </si>
  <si>
    <t>MNHN 25156</t>
  </si>
  <si>
    <t>MNHN 25158</t>
  </si>
  <si>
    <t>NHMUK 12821459</t>
  </si>
  <si>
    <t>NHMUK 12821460</t>
  </si>
  <si>
    <t>D. sabrinae</t>
  </si>
  <si>
    <t>HOLOTYPE (NHMUK)</t>
  </si>
  <si>
    <t>PARACOLONOTYPE</t>
  </si>
  <si>
    <t>MNHN 17525</t>
  </si>
  <si>
    <t>MZLU 00182248</t>
  </si>
  <si>
    <t>D. simpsoni</t>
  </si>
  <si>
    <t>Prince George Co., Beltsville, Maryland, USA</t>
  </si>
  <si>
    <t xml:space="preserve">D. saccharini </t>
  </si>
  <si>
    <t>MNHN 25164</t>
  </si>
  <si>
    <t>MZLU 00182247</t>
  </si>
  <si>
    <t>PARATYPE (12821470)</t>
  </si>
  <si>
    <t>NHMUK 12821469</t>
  </si>
  <si>
    <t>INHS 1058912</t>
  </si>
  <si>
    <t>Oakwood, Illinois, USA</t>
  </si>
  <si>
    <t>Chute Panet, Quebec, Canada</t>
  </si>
  <si>
    <t>Camp Morton, Manitoba, Canada</t>
  </si>
  <si>
    <t>Caddy Lake, Manitoba, Canada</t>
  </si>
  <si>
    <t>MZLU 00182250</t>
  </si>
  <si>
    <t>MZLU 00182249</t>
  </si>
  <si>
    <t>MNHN 25165</t>
  </si>
  <si>
    <t>MNHN 25166</t>
  </si>
  <si>
    <t xml:space="preserve">D. spicata </t>
  </si>
  <si>
    <t>NHMUK 12821481</t>
  </si>
  <si>
    <t>Mitchel State Park, North Carolina, USA</t>
  </si>
  <si>
    <t>Dixon Springs Ag, Illinois, USA</t>
  </si>
  <si>
    <t>Gainesville, Florida, USA</t>
  </si>
  <si>
    <t>Black Moshannon, State Park, Pennsylvania, USA</t>
  </si>
  <si>
    <t>Chapel Hill, Hope Valley Forest, North Carolina, USA</t>
  </si>
  <si>
    <t>D. tissoti</t>
  </si>
  <si>
    <t>NHMUK 12821483</t>
  </si>
  <si>
    <t>NHMUK 12821484</t>
  </si>
  <si>
    <t>NHMUK 12821485</t>
  </si>
  <si>
    <t>NHMUK 12821487</t>
  </si>
  <si>
    <t>D. utahensis</t>
  </si>
  <si>
    <t>MZLU 00182252</t>
  </si>
  <si>
    <t>MNHN 25167</t>
  </si>
  <si>
    <t>MNHN 25168</t>
  </si>
  <si>
    <t>MNHN 25169</t>
  </si>
  <si>
    <t>MZLU 00182253</t>
  </si>
  <si>
    <t>St. Nicolas, Quebec, Canada</t>
  </si>
  <si>
    <t>MZLU 00182251</t>
  </si>
  <si>
    <t>Institute of Biology, Biotechnology and Environmental Protection, Faculty of Natural Sciences, 
University of Silesia in Katowice, Bankowa 9, 40-007 Katowice, Poland; kamila.malik@us.edu.pl (K.M.); 
agnieszka.bugaj-nawrocka@us.edu.pl (A.B.-N.)
*	Correspondence: karina.wieczorek@us.edu.pl</t>
  </si>
  <si>
    <t>Kamila Malik, Agnieszka Bugaj-Nawrocka and Karina Wieczorek *</t>
  </si>
  <si>
    <t>Taxonomic Revision of the Nearctic Genus Drepanaphis Del Guercio (Hemiptera, Aphididae: Drepanosiphinae)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</si>
</sst>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&quot;.&quot;mm&quot;.&quot;yyyy"/>
    <numFmt numFmtId="165" formatCode="mmm&quot;.&quot;yy"/>
    <numFmt numFmtId="166" formatCode="0.000"/>
    <numFmt numFmtId="167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/>
      </right>
      <top style="thin">
        <color theme="1"/>
      </top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 style="thin">
        <color theme="2" tint="-9.9948118533890809E-2"/>
      </right>
      <top style="thin">
        <color auto="1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auto="1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auto="1"/>
      </right>
      <top style="thin">
        <color auto="1"/>
      </top>
      <bottom style="thin">
        <color theme="2" tint="-9.9948118533890809E-2"/>
      </bottom>
      <diagonal/>
    </border>
    <border>
      <left style="thin">
        <color auto="1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auto="1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theme="2" tint="-9.9948118533890809E-2"/>
      </right>
      <top style="thin">
        <color theme="2" tint="-9.9948118533890809E-2"/>
      </top>
      <bottom style="thin">
        <color auto="1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auto="1"/>
      </bottom>
      <diagonal/>
    </border>
    <border>
      <left style="thin">
        <color theme="2" tint="-9.9948118533890809E-2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1"/>
      </top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auto="1"/>
      </top>
      <bottom/>
      <diagonal/>
    </border>
    <border>
      <left/>
      <right style="thin">
        <color theme="2" tint="-9.9948118533890809E-2"/>
      </right>
      <top style="thin">
        <color auto="1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2" tint="-9.9948118533890809E-2"/>
      </bottom>
      <diagonal/>
    </border>
    <border>
      <left style="thin">
        <color theme="0" tint="-0.24994659260841701"/>
      </left>
      <right style="thin">
        <color theme="2" tint="-9.9948118533890809E-2"/>
      </right>
      <top style="thin">
        <color indexed="64"/>
      </top>
      <bottom style="thin">
        <color theme="2" tint="-9.9948118533890809E-2"/>
      </bottom>
      <diagonal/>
    </border>
    <border>
      <left style="thin">
        <color auto="1"/>
      </left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auto="1"/>
      </left>
      <right style="thin">
        <color theme="2" tint="-9.9948118533890809E-2"/>
      </right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4" fillId="2" borderId="1" xfId="0" applyFont="1" applyFill="1" applyBorder="1"/>
    <xf numFmtId="0" fontId="2" fillId="2" borderId="1" xfId="0" applyFont="1" applyFill="1" applyBorder="1"/>
    <xf numFmtId="166" fontId="2" fillId="2" borderId="1" xfId="0" applyNumberFormat="1" applyFont="1" applyFill="1" applyBorder="1" applyAlignment="1">
      <alignment horizontal="center" vertical="center"/>
    </xf>
    <xf numFmtId="166" fontId="2" fillId="2" borderId="1" xfId="0" quotePrefix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/>
    <xf numFmtId="0" fontId="2" fillId="3" borderId="1" xfId="0" applyFont="1" applyFill="1" applyBorder="1"/>
    <xf numFmtId="166" fontId="2" fillId="3" borderId="1" xfId="0" applyNumberFormat="1" applyFont="1" applyFill="1" applyBorder="1" applyAlignment="1">
      <alignment horizontal="center" vertical="center"/>
    </xf>
    <xf numFmtId="166" fontId="2" fillId="3" borderId="1" xfId="0" quotePrefix="1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2" fillId="0" borderId="1" xfId="0" applyFont="1" applyBorder="1"/>
    <xf numFmtId="166" fontId="2" fillId="0" borderId="1" xfId="0" applyNumberFormat="1" applyFont="1" applyBorder="1" applyAlignment="1">
      <alignment horizontal="center" vertical="center"/>
    </xf>
    <xf numFmtId="166" fontId="2" fillId="0" borderId="1" xfId="0" quotePrefix="1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2" borderId="3" xfId="0" applyFont="1" applyFill="1" applyBorder="1"/>
    <xf numFmtId="0" fontId="2" fillId="2" borderId="3" xfId="0" applyFont="1" applyFill="1" applyBorder="1"/>
    <xf numFmtId="166" fontId="2" fillId="2" borderId="3" xfId="0" applyNumberFormat="1" applyFont="1" applyFill="1" applyBorder="1" applyAlignment="1">
      <alignment horizontal="center" vertical="center"/>
    </xf>
    <xf numFmtId="166" fontId="2" fillId="2" borderId="3" xfId="0" quotePrefix="1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6" fontId="2" fillId="2" borderId="6" xfId="0" quotePrefix="1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66" fontId="2" fillId="3" borderId="6" xfId="0" quotePrefix="1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6" fontId="2" fillId="0" borderId="6" xfId="0" quotePrefix="1" applyNumberFormat="1" applyFont="1" applyBorder="1" applyAlignment="1">
      <alignment horizontal="center" vertical="center"/>
    </xf>
    <xf numFmtId="0" fontId="2" fillId="0" borderId="8" xfId="0" applyFont="1" applyBorder="1"/>
    <xf numFmtId="166" fontId="2" fillId="0" borderId="8" xfId="0" applyNumberFormat="1" applyFont="1" applyBorder="1" applyAlignment="1">
      <alignment horizontal="center" vertical="center"/>
    </xf>
    <xf numFmtId="166" fontId="2" fillId="0" borderId="8" xfId="0" quotePrefix="1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9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2" borderId="2" xfId="0" applyNumberFormat="1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4" fontId="2" fillId="3" borderId="5" xfId="0" applyNumberFormat="1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164" fontId="2" fillId="2" borderId="5" xfId="0" applyNumberFormat="1" applyFont="1" applyFill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166" fontId="2" fillId="0" borderId="10" xfId="0" applyNumberFormat="1" applyFont="1" applyBorder="1" applyAlignment="1">
      <alignment horizontal="center" vertical="center"/>
    </xf>
    <xf numFmtId="166" fontId="2" fillId="3" borderId="10" xfId="0" applyNumberFormat="1" applyFont="1" applyFill="1" applyBorder="1" applyAlignment="1">
      <alignment horizontal="center" vertical="center"/>
    </xf>
    <xf numFmtId="166" fontId="2" fillId="0" borderId="10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64" fontId="2" fillId="2" borderId="11" xfId="0" applyNumberFormat="1" applyFont="1" applyFill="1" applyBorder="1" applyAlignment="1">
      <alignment horizontal="left" vertical="center"/>
    </xf>
    <xf numFmtId="0" fontId="4" fillId="2" borderId="12" xfId="0" applyFont="1" applyFill="1" applyBorder="1"/>
    <xf numFmtId="0" fontId="2" fillId="2" borderId="12" xfId="0" applyFont="1" applyFill="1" applyBorder="1"/>
    <xf numFmtId="166" fontId="2" fillId="2" borderId="12" xfId="0" applyNumberFormat="1" applyFont="1" applyFill="1" applyBorder="1" applyAlignment="1">
      <alignment horizontal="center" vertical="center"/>
    </xf>
    <xf numFmtId="166" fontId="2" fillId="2" borderId="12" xfId="0" applyNumberFormat="1" applyFont="1" applyFill="1" applyBorder="1" applyAlignment="1">
      <alignment horizontal="center" vertical="center" wrapText="1"/>
    </xf>
    <xf numFmtId="166" fontId="2" fillId="2" borderId="12" xfId="0" quotePrefix="1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6" fontId="2" fillId="2" borderId="13" xfId="0" quotePrefix="1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/>
    </xf>
    <xf numFmtId="0" fontId="4" fillId="2" borderId="15" xfId="0" applyFont="1" applyFill="1" applyBorder="1"/>
    <xf numFmtId="0" fontId="2" fillId="2" borderId="15" xfId="0" applyFont="1" applyFill="1" applyBorder="1"/>
    <xf numFmtId="166" fontId="2" fillId="2" borderId="15" xfId="0" applyNumberFormat="1" applyFont="1" applyFill="1" applyBorder="1" applyAlignment="1">
      <alignment horizontal="center" vertical="center"/>
    </xf>
    <xf numFmtId="166" fontId="2" fillId="2" borderId="15" xfId="0" quotePrefix="1" applyNumberFormat="1" applyFont="1" applyFill="1" applyBorder="1" applyAlignment="1">
      <alignment horizontal="center" vertical="center"/>
    </xf>
    <xf numFmtId="166" fontId="2" fillId="2" borderId="16" xfId="0" quotePrefix="1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/>
    </xf>
    <xf numFmtId="0" fontId="4" fillId="3" borderId="15" xfId="0" applyFont="1" applyFill="1" applyBorder="1"/>
    <xf numFmtId="0" fontId="2" fillId="3" borderId="15" xfId="0" applyFont="1" applyFill="1" applyBorder="1"/>
    <xf numFmtId="166" fontId="2" fillId="3" borderId="15" xfId="0" applyNumberFormat="1" applyFont="1" applyFill="1" applyBorder="1" applyAlignment="1">
      <alignment horizontal="center" vertical="center"/>
    </xf>
    <xf numFmtId="166" fontId="2" fillId="3" borderId="15" xfId="0" quotePrefix="1" applyNumberFormat="1" applyFont="1" applyFill="1" applyBorder="1" applyAlignment="1">
      <alignment horizontal="center" vertical="center"/>
    </xf>
    <xf numFmtId="166" fontId="2" fillId="3" borderId="15" xfId="0" applyNumberFormat="1" applyFont="1" applyFill="1" applyBorder="1" applyAlignment="1">
      <alignment horizontal="center" vertical="center" wrapText="1"/>
    </xf>
    <xf numFmtId="166" fontId="2" fillId="3" borderId="16" xfId="0" quotePrefix="1" applyNumberFormat="1" applyFont="1" applyFill="1" applyBorder="1" applyAlignment="1">
      <alignment horizontal="center" vertical="center"/>
    </xf>
    <xf numFmtId="166" fontId="2" fillId="2" borderId="15" xfId="0" applyNumberFormat="1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/>
    <xf numFmtId="0" fontId="4" fillId="3" borderId="18" xfId="0" applyFont="1" applyFill="1" applyBorder="1"/>
    <xf numFmtId="0" fontId="2" fillId="3" borderId="18" xfId="0" applyFont="1" applyFill="1" applyBorder="1"/>
    <xf numFmtId="166" fontId="2" fillId="3" borderId="18" xfId="0" applyNumberFormat="1" applyFont="1" applyFill="1" applyBorder="1" applyAlignment="1">
      <alignment horizontal="center" vertical="center"/>
    </xf>
    <xf numFmtId="166" fontId="2" fillId="3" borderId="18" xfId="0" quotePrefix="1" applyNumberFormat="1" applyFont="1" applyFill="1" applyBorder="1" applyAlignment="1">
      <alignment horizontal="center" vertical="center"/>
    </xf>
    <xf numFmtId="166" fontId="2" fillId="3" borderId="18" xfId="0" applyNumberFormat="1" applyFont="1" applyFill="1" applyBorder="1" applyAlignment="1">
      <alignment horizontal="center" vertical="center" wrapText="1"/>
    </xf>
    <xf numFmtId="166" fontId="2" fillId="3" borderId="19" xfId="0" quotePrefix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vertical="center"/>
    </xf>
    <xf numFmtId="0" fontId="2" fillId="0" borderId="0" xfId="0" quotePrefix="1" applyFont="1" applyAlignment="1">
      <alignment horizontal="center" vertical="center"/>
    </xf>
    <xf numFmtId="166" fontId="2" fillId="2" borderId="20" xfId="0" applyNumberFormat="1" applyFont="1" applyFill="1" applyBorder="1" applyAlignment="1">
      <alignment horizontal="center" vertical="center"/>
    </xf>
    <xf numFmtId="166" fontId="2" fillId="2" borderId="20" xfId="0" applyNumberFormat="1" applyFont="1" applyFill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 wrapText="1"/>
    </xf>
    <xf numFmtId="166" fontId="2" fillId="2" borderId="22" xfId="0" applyNumberFormat="1" applyFont="1" applyFill="1" applyBorder="1" applyAlignment="1">
      <alignment horizontal="center" vertical="center"/>
    </xf>
    <xf numFmtId="166" fontId="2" fillId="2" borderId="22" xfId="0" applyNumberFormat="1" applyFont="1" applyFill="1" applyBorder="1" applyAlignment="1">
      <alignment horizontal="center" vertical="center" wrapText="1"/>
    </xf>
    <xf numFmtId="166" fontId="2" fillId="2" borderId="21" xfId="0" applyNumberFormat="1" applyFont="1" applyFill="1" applyBorder="1" applyAlignment="1">
      <alignment horizontal="center" vertical="center"/>
    </xf>
    <xf numFmtId="166" fontId="2" fillId="2" borderId="2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166" fontId="2" fillId="2" borderId="15" xfId="0" quotePrefix="1" applyNumberFormat="1" applyFont="1" applyFill="1" applyBorder="1" applyAlignment="1">
      <alignment horizontal="center" vertical="center" wrapText="1"/>
    </xf>
    <xf numFmtId="166" fontId="2" fillId="2" borderId="16" xfId="0" quotePrefix="1" applyNumberFormat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166" fontId="2" fillId="3" borderId="15" xfId="0" quotePrefix="1" applyNumberFormat="1" applyFont="1" applyFill="1" applyBorder="1" applyAlignment="1">
      <alignment horizontal="center" vertical="center" wrapText="1"/>
    </xf>
    <xf numFmtId="166" fontId="2" fillId="3" borderId="16" xfId="0" quotePrefix="1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center"/>
    </xf>
    <xf numFmtId="0" fontId="2" fillId="2" borderId="15" xfId="0" quotePrefix="1" applyFont="1" applyFill="1" applyBorder="1" applyAlignment="1">
      <alignment horizontal="left" vertical="center"/>
    </xf>
    <xf numFmtId="0" fontId="2" fillId="3" borderId="15" xfId="0" quotePrefix="1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166" fontId="2" fillId="2" borderId="18" xfId="0" applyNumberFormat="1" applyFont="1" applyFill="1" applyBorder="1" applyAlignment="1">
      <alignment horizontal="center" vertical="center"/>
    </xf>
    <xf numFmtId="166" fontId="2" fillId="2" borderId="18" xfId="0" applyNumberFormat="1" applyFont="1" applyFill="1" applyBorder="1" applyAlignment="1">
      <alignment horizontal="center" vertical="center" wrapText="1"/>
    </xf>
    <xf numFmtId="166" fontId="2" fillId="2" borderId="18" xfId="0" quotePrefix="1" applyNumberFormat="1" applyFont="1" applyFill="1" applyBorder="1" applyAlignment="1">
      <alignment horizontal="center" vertical="center" wrapText="1"/>
    </xf>
    <xf numFmtId="166" fontId="2" fillId="2" borderId="19" xfId="0" quotePrefix="1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" xfId="0" quotePrefix="1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1" xfId="0" quotePrefix="1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quotePrefix="1" applyNumberFormat="1" applyFont="1" applyBorder="1" applyAlignment="1">
      <alignment horizontal="center" vertical="center"/>
    </xf>
    <xf numFmtId="1" fontId="2" fillId="0" borderId="8" xfId="0" quotePrefix="1" applyNumberFormat="1" applyFont="1" applyBorder="1" applyAlignment="1">
      <alignment horizontal="center" vertical="center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5" xfId="0" quotePrefix="1" applyNumberFormat="1" applyFont="1" applyFill="1" applyBorder="1" applyAlignment="1">
      <alignment horizontal="center" vertical="center"/>
    </xf>
    <xf numFmtId="1" fontId="2" fillId="3" borderId="15" xfId="0" quotePrefix="1" applyNumberFormat="1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3" borderId="15" xfId="0" applyNumberFormat="1" applyFont="1" applyFill="1" applyBorder="1" applyAlignment="1">
      <alignment horizontal="center" vertical="center"/>
    </xf>
    <xf numFmtId="1" fontId="2" fillId="3" borderId="18" xfId="0" quotePrefix="1" applyNumberFormat="1" applyFont="1" applyFill="1" applyBorder="1" applyAlignment="1">
      <alignment horizontal="center" vertical="center"/>
    </xf>
    <xf numFmtId="1" fontId="2" fillId="2" borderId="15" xfId="0" quotePrefix="1" applyNumberFormat="1" applyFont="1" applyFill="1" applyBorder="1" applyAlignment="1">
      <alignment horizontal="center" vertical="center" wrapText="1"/>
    </xf>
    <xf numFmtId="1" fontId="2" fillId="3" borderId="15" xfId="0" quotePrefix="1" applyNumberFormat="1" applyFont="1" applyFill="1" applyBorder="1" applyAlignment="1">
      <alignment horizontal="center" vertical="center" wrapText="1"/>
    </xf>
    <xf numFmtId="1" fontId="2" fillId="3" borderId="15" xfId="0" applyNumberFormat="1" applyFont="1" applyFill="1" applyBorder="1" applyAlignment="1">
      <alignment horizontal="center" vertical="center" wrapText="1"/>
    </xf>
    <xf numFmtId="1" fontId="2" fillId="2" borderId="18" xfId="0" quotePrefix="1" applyNumberFormat="1" applyFont="1" applyFill="1" applyBorder="1" applyAlignment="1">
      <alignment horizontal="center" vertical="center" wrapText="1"/>
    </xf>
    <xf numFmtId="1" fontId="2" fillId="2" borderId="16" xfId="0" applyNumberFormat="1" applyFont="1" applyFill="1" applyBorder="1" applyAlignment="1">
      <alignment horizontal="center" vertical="center"/>
    </xf>
    <xf numFmtId="1" fontId="2" fillId="2" borderId="18" xfId="0" applyNumberFormat="1" applyFont="1" applyFill="1" applyBorder="1" applyAlignment="1">
      <alignment horizontal="center" vertical="center"/>
    </xf>
    <xf numFmtId="1" fontId="2" fillId="3" borderId="16" xfId="0" applyNumberFormat="1" applyFont="1" applyFill="1" applyBorder="1" applyAlignment="1">
      <alignment horizontal="center" vertical="center"/>
    </xf>
    <xf numFmtId="166" fontId="2" fillId="2" borderId="12" xfId="0" quotePrefix="1" applyNumberFormat="1" applyFont="1" applyFill="1" applyBorder="1" applyAlignment="1">
      <alignment horizontal="center" vertical="center" wrapText="1"/>
    </xf>
    <xf numFmtId="166" fontId="2" fillId="2" borderId="13" xfId="0" quotePrefix="1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/>
    </xf>
    <xf numFmtId="166" fontId="2" fillId="2" borderId="23" xfId="0" applyNumberFormat="1" applyFont="1" applyFill="1" applyBorder="1" applyAlignment="1">
      <alignment horizontal="center" vertical="center"/>
    </xf>
    <xf numFmtId="166" fontId="2" fillId="2" borderId="24" xfId="0" applyNumberFormat="1" applyFont="1" applyFill="1" applyBorder="1" applyAlignment="1">
      <alignment horizontal="center" vertical="center"/>
    </xf>
    <xf numFmtId="166" fontId="2" fillId="3" borderId="24" xfId="0" applyNumberFormat="1" applyFont="1" applyFill="1" applyBorder="1" applyAlignment="1">
      <alignment horizontal="center" vertical="center"/>
    </xf>
    <xf numFmtId="166" fontId="2" fillId="3" borderId="25" xfId="0" applyNumberFormat="1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2" fillId="2" borderId="26" xfId="0" quotePrefix="1" applyNumberFormat="1" applyFont="1" applyFill="1" applyBorder="1" applyAlignment="1">
      <alignment horizontal="center" vertical="center"/>
    </xf>
    <xf numFmtId="0" fontId="2" fillId="3" borderId="0" xfId="0" applyFont="1" applyFill="1"/>
    <xf numFmtId="14" fontId="2" fillId="3" borderId="14" xfId="0" applyNumberFormat="1" applyFont="1" applyFill="1" applyBorder="1" applyAlignment="1">
      <alignment horizontal="left" vertical="center"/>
    </xf>
    <xf numFmtId="14" fontId="2" fillId="2" borderId="14" xfId="0" applyNumberFormat="1" applyFont="1" applyFill="1" applyBorder="1" applyAlignment="1">
      <alignment horizontal="left" vertical="center"/>
    </xf>
    <xf numFmtId="0" fontId="2" fillId="2" borderId="26" xfId="0" applyFont="1" applyFill="1" applyBorder="1"/>
    <xf numFmtId="0" fontId="2" fillId="2" borderId="27" xfId="0" applyFont="1" applyFill="1" applyBorder="1"/>
    <xf numFmtId="166" fontId="2" fillId="2" borderId="28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164" fontId="2" fillId="2" borderId="30" xfId="0" applyNumberFormat="1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left" vertical="center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47" fontId="2" fillId="0" borderId="0" xfId="0" applyNumberFormat="1" applyFont="1"/>
    <xf numFmtId="20" fontId="2" fillId="0" borderId="0" xfId="0" applyNumberFormat="1" applyFont="1"/>
    <xf numFmtId="1" fontId="2" fillId="0" borderId="0" xfId="0" applyNumberFormat="1" applyFont="1" applyAlignment="1">
      <alignment vertical="center"/>
    </xf>
    <xf numFmtId="165" fontId="2" fillId="3" borderId="14" xfId="0" quotePrefix="1" applyNumberFormat="1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65" fontId="2" fillId="2" borderId="14" xfId="0" quotePrefix="1" applyNumberFormat="1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166" fontId="2" fillId="3" borderId="15" xfId="0" applyNumberFormat="1" applyFont="1" applyFill="1" applyBorder="1" applyAlignment="1">
      <alignment horizontal="center"/>
    </xf>
    <xf numFmtId="1" fontId="2" fillId="3" borderId="16" xfId="0" applyNumberFormat="1" applyFont="1" applyFill="1" applyBorder="1" applyAlignment="1">
      <alignment horizontal="center" vertical="center" wrapText="1"/>
    </xf>
    <xf numFmtId="1" fontId="2" fillId="3" borderId="15" xfId="0" applyNumberFormat="1" applyFont="1" applyFill="1" applyBorder="1" applyAlignment="1">
      <alignment horizontal="center"/>
    </xf>
    <xf numFmtId="1" fontId="2" fillId="3" borderId="16" xfId="0" applyNumberFormat="1" applyFont="1" applyFill="1" applyBorder="1" applyAlignment="1">
      <alignment horizontal="center"/>
    </xf>
    <xf numFmtId="0" fontId="2" fillId="3" borderId="14" xfId="0" applyFont="1" applyFill="1" applyBorder="1"/>
    <xf numFmtId="166" fontId="2" fillId="3" borderId="18" xfId="0" applyNumberFormat="1" applyFont="1" applyFill="1" applyBorder="1" applyAlignment="1">
      <alignment horizontal="center"/>
    </xf>
    <xf numFmtId="1" fontId="2" fillId="3" borderId="18" xfId="0" applyNumberFormat="1" applyFont="1" applyFill="1" applyBorder="1" applyAlignment="1">
      <alignment horizontal="center"/>
    </xf>
    <xf numFmtId="166" fontId="2" fillId="2" borderId="12" xfId="0" applyNumberFormat="1" applyFont="1" applyFill="1" applyBorder="1" applyAlignment="1">
      <alignment horizontal="center"/>
    </xf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13" xfId="0" applyNumberFormat="1" applyFont="1" applyFill="1" applyBorder="1" applyAlignment="1">
      <alignment horizontal="center" vertical="center" wrapText="1"/>
    </xf>
    <xf numFmtId="166" fontId="2" fillId="2" borderId="15" xfId="0" applyNumberFormat="1" applyFont="1" applyFill="1" applyBorder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 wrapText="1"/>
    </xf>
    <xf numFmtId="1" fontId="2" fillId="2" borderId="16" xfId="0" applyNumberFormat="1" applyFont="1" applyFill="1" applyBorder="1" applyAlignment="1">
      <alignment horizontal="center" vertical="center" wrapText="1"/>
    </xf>
    <xf numFmtId="1" fontId="2" fillId="2" borderId="15" xfId="0" applyNumberFormat="1" applyFont="1" applyFill="1" applyBorder="1" applyAlignment="1">
      <alignment horizontal="center"/>
    </xf>
    <xf numFmtId="1" fontId="2" fillId="2" borderId="16" xfId="0" applyNumberFormat="1" applyFont="1" applyFill="1" applyBorder="1" applyAlignment="1">
      <alignment horizontal="center"/>
    </xf>
    <xf numFmtId="0" fontId="2" fillId="2" borderId="17" xfId="0" applyFont="1" applyFill="1" applyBorder="1"/>
    <xf numFmtId="0" fontId="2" fillId="2" borderId="18" xfId="0" applyFont="1" applyFill="1" applyBorder="1"/>
    <xf numFmtId="166" fontId="2" fillId="2" borderId="18" xfId="0" applyNumberFormat="1" applyFont="1" applyFill="1" applyBorder="1" applyAlignment="1">
      <alignment horizontal="center"/>
    </xf>
    <xf numFmtId="1" fontId="2" fillId="2" borderId="18" xfId="0" applyNumberFormat="1" applyFont="1" applyFill="1" applyBorder="1" applyAlignment="1">
      <alignment horizontal="center"/>
    </xf>
    <xf numFmtId="1" fontId="2" fillId="2" borderId="19" xfId="0" applyNumberFormat="1" applyFont="1" applyFill="1" applyBorder="1" applyAlignment="1">
      <alignment horizontal="center"/>
    </xf>
    <xf numFmtId="14" fontId="2" fillId="2" borderId="14" xfId="0" applyNumberFormat="1" applyFont="1" applyFill="1" applyBorder="1" applyAlignment="1">
      <alignment horizontal="left"/>
    </xf>
    <xf numFmtId="0" fontId="2" fillId="3" borderId="1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6" fontId="2" fillId="3" borderId="16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66" fontId="2" fillId="2" borderId="16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166" fontId="2" fillId="2" borderId="19" xfId="0" applyNumberFormat="1" applyFont="1" applyFill="1" applyBorder="1" applyAlignment="1">
      <alignment horizontal="center" vertical="center" wrapText="1"/>
    </xf>
    <xf numFmtId="0" fontId="2" fillId="3" borderId="15" xfId="0" quotePrefix="1" applyFont="1" applyFill="1" applyBorder="1" applyAlignment="1">
      <alignment vertical="center" wrapText="1"/>
    </xf>
    <xf numFmtId="0" fontId="2" fillId="3" borderId="15" xfId="0" quotePrefix="1" applyFont="1" applyFill="1" applyBorder="1" applyAlignment="1">
      <alignment horizontal="center" vertical="center"/>
    </xf>
    <xf numFmtId="0" fontId="2" fillId="3" borderId="16" xfId="0" applyFont="1" applyFill="1" applyBorder="1"/>
    <xf numFmtId="0" fontId="2" fillId="3" borderId="15" xfId="0" quotePrefix="1" applyFont="1" applyFill="1" applyBorder="1" applyAlignment="1">
      <alignment horizontal="center" vertical="center" wrapText="1"/>
    </xf>
    <xf numFmtId="166" fontId="2" fillId="3" borderId="18" xfId="0" quotePrefix="1" applyNumberFormat="1" applyFont="1" applyFill="1" applyBorder="1" applyAlignment="1">
      <alignment horizontal="center" vertical="center" wrapText="1"/>
    </xf>
    <xf numFmtId="0" fontId="2" fillId="3" borderId="18" xfId="0" quotePrefix="1" applyFont="1" applyFill="1" applyBorder="1" applyAlignment="1">
      <alignment horizontal="center" vertical="center"/>
    </xf>
    <xf numFmtId="0" fontId="2" fillId="2" borderId="12" xfId="0" quotePrefix="1" applyFont="1" applyFill="1" applyBorder="1" applyAlignment="1">
      <alignment vertical="center" wrapText="1"/>
    </xf>
    <xf numFmtId="0" fontId="2" fillId="2" borderId="12" xfId="0" quotePrefix="1" applyFont="1" applyFill="1" applyBorder="1" applyAlignment="1">
      <alignment horizontal="center" vertical="center"/>
    </xf>
    <xf numFmtId="0" fontId="2" fillId="2" borderId="13" xfId="0" applyFont="1" applyFill="1" applyBorder="1"/>
    <xf numFmtId="0" fontId="2" fillId="2" borderId="15" xfId="0" quotePrefix="1" applyFont="1" applyFill="1" applyBorder="1" applyAlignment="1">
      <alignment vertical="center" wrapText="1"/>
    </xf>
    <xf numFmtId="0" fontId="2" fillId="2" borderId="15" xfId="0" quotePrefix="1" applyFont="1" applyFill="1" applyBorder="1" applyAlignment="1">
      <alignment horizontal="center" vertical="center"/>
    </xf>
    <xf numFmtId="0" fontId="2" fillId="2" borderId="16" xfId="0" applyFont="1" applyFill="1" applyBorder="1"/>
    <xf numFmtId="0" fontId="2" fillId="2" borderId="15" xfId="0" quotePrefix="1" applyFont="1" applyFill="1" applyBorder="1" applyAlignment="1">
      <alignment horizontal="center" vertical="center" wrapText="1"/>
    </xf>
    <xf numFmtId="166" fontId="2" fillId="2" borderId="18" xfId="0" quotePrefix="1" applyNumberFormat="1" applyFont="1" applyFill="1" applyBorder="1" applyAlignment="1">
      <alignment horizontal="center" vertical="center"/>
    </xf>
    <xf numFmtId="0" fontId="2" fillId="2" borderId="18" xfId="0" quotePrefix="1" applyFont="1" applyFill="1" applyBorder="1" applyAlignment="1">
      <alignment vertical="center" wrapText="1"/>
    </xf>
    <xf numFmtId="0" fontId="2" fillId="2" borderId="18" xfId="0" quotePrefix="1" applyFont="1" applyFill="1" applyBorder="1" applyAlignment="1">
      <alignment horizontal="center" vertical="center"/>
    </xf>
    <xf numFmtId="0" fontId="2" fillId="2" borderId="19" xfId="0" applyFont="1" applyFill="1" applyBorder="1"/>
    <xf numFmtId="0" fontId="2" fillId="3" borderId="16" xfId="0" quotePrefix="1" applyFont="1" applyFill="1" applyBorder="1" applyAlignment="1">
      <alignment horizontal="center" vertical="center"/>
    </xf>
    <xf numFmtId="166" fontId="9" fillId="3" borderId="18" xfId="0" applyNumberFormat="1" applyFont="1" applyFill="1" applyBorder="1" applyAlignment="1">
      <alignment horizontal="center" vertical="center"/>
    </xf>
    <xf numFmtId="166" fontId="9" fillId="3" borderId="18" xfId="0" applyNumberFormat="1" applyFont="1" applyFill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 vertical="center"/>
    </xf>
    <xf numFmtId="0" fontId="2" fillId="2" borderId="13" xfId="0" quotePrefix="1" applyFont="1" applyFill="1" applyBorder="1" applyAlignment="1">
      <alignment horizontal="center" vertical="center"/>
    </xf>
    <xf numFmtId="0" fontId="2" fillId="2" borderId="16" xfId="0" quotePrefix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left"/>
    </xf>
    <xf numFmtId="164" fontId="2" fillId="3" borderId="14" xfId="0" applyNumberFormat="1" applyFont="1" applyFill="1" applyBorder="1" applyAlignment="1">
      <alignment horizontal="left"/>
    </xf>
    <xf numFmtId="14" fontId="2" fillId="3" borderId="14" xfId="0" applyNumberFormat="1" applyFont="1" applyFill="1" applyBorder="1" applyAlignment="1">
      <alignment horizontal="left"/>
    </xf>
    <xf numFmtId="1" fontId="2" fillId="3" borderId="18" xfId="0" applyNumberFormat="1" applyFont="1" applyFill="1" applyBorder="1" applyAlignment="1">
      <alignment horizontal="center" vertical="center"/>
    </xf>
    <xf numFmtId="1" fontId="2" fillId="3" borderId="16" xfId="0" quotePrefix="1" applyNumberFormat="1" applyFont="1" applyFill="1" applyBorder="1" applyAlignment="1">
      <alignment horizontal="center" vertical="center"/>
    </xf>
    <xf numFmtId="1" fontId="2" fillId="3" borderId="19" xfId="0" quotePrefix="1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left"/>
    </xf>
    <xf numFmtId="1" fontId="2" fillId="2" borderId="13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/>
    </xf>
    <xf numFmtId="1" fontId="2" fillId="2" borderId="16" xfId="0" quotePrefix="1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left"/>
    </xf>
    <xf numFmtId="1" fontId="2" fillId="2" borderId="18" xfId="0" quotePrefix="1" applyNumberFormat="1" applyFont="1" applyFill="1" applyBorder="1" applyAlignment="1">
      <alignment horizontal="center" vertical="center"/>
    </xf>
    <xf numFmtId="1" fontId="2" fillId="2" borderId="19" xfId="0" quotePrefix="1" applyNumberFormat="1" applyFont="1" applyFill="1" applyBorder="1" applyAlignment="1">
      <alignment horizontal="center" vertical="center"/>
    </xf>
    <xf numFmtId="0" fontId="2" fillId="2" borderId="15" xfId="0" quotePrefix="1" applyFont="1" applyFill="1" applyBorder="1"/>
    <xf numFmtId="0" fontId="2" fillId="3" borderId="15" xfId="0" quotePrefix="1" applyFont="1" applyFill="1" applyBorder="1"/>
    <xf numFmtId="0" fontId="2" fillId="2" borderId="18" xfId="0" quotePrefix="1" applyFont="1" applyFill="1" applyBorder="1"/>
    <xf numFmtId="0" fontId="2" fillId="2" borderId="12" xfId="0" quotePrefix="1" applyFont="1" applyFill="1" applyBorder="1"/>
    <xf numFmtId="0" fontId="2" fillId="2" borderId="13" xfId="0" quotePrefix="1" applyFont="1" applyFill="1" applyBorder="1"/>
    <xf numFmtId="0" fontId="2" fillId="2" borderId="16" xfId="0" quotePrefix="1" applyFont="1" applyFill="1" applyBorder="1"/>
    <xf numFmtId="0" fontId="2" fillId="3" borderId="16" xfId="0" quotePrefix="1" applyFont="1" applyFill="1" applyBorder="1"/>
    <xf numFmtId="0" fontId="2" fillId="2" borderId="19" xfId="0" quotePrefix="1" applyFont="1" applyFill="1" applyBorder="1"/>
    <xf numFmtId="165" fontId="2" fillId="3" borderId="14" xfId="0" applyNumberFormat="1" applyFont="1" applyFill="1" applyBorder="1" applyAlignment="1">
      <alignment horizontal="left" vertical="center"/>
    </xf>
    <xf numFmtId="1" fontId="2" fillId="2" borderId="12" xfId="0" quotePrefix="1" applyNumberFormat="1" applyFont="1" applyFill="1" applyBorder="1" applyAlignment="1">
      <alignment horizontal="center" vertical="center"/>
    </xf>
    <xf numFmtId="1" fontId="2" fillId="2" borderId="13" xfId="0" quotePrefix="1" applyNumberFormat="1" applyFont="1" applyFill="1" applyBorder="1" applyAlignment="1">
      <alignment horizontal="center" vertical="center"/>
    </xf>
    <xf numFmtId="165" fontId="2" fillId="2" borderId="14" xfId="0" applyNumberFormat="1" applyFont="1" applyFill="1" applyBorder="1" applyAlignment="1">
      <alignment horizontal="left" vertical="center"/>
    </xf>
    <xf numFmtId="166" fontId="2" fillId="3" borderId="15" xfId="0" quotePrefix="1" applyNumberFormat="1" applyFont="1" applyFill="1" applyBorder="1" applyAlignment="1">
      <alignment horizontal="center"/>
    </xf>
    <xf numFmtId="1" fontId="2" fillId="3" borderId="16" xfId="0" quotePrefix="1" applyNumberFormat="1" applyFont="1" applyFill="1" applyBorder="1" applyAlignment="1">
      <alignment horizontal="center" vertical="center" wrapText="1"/>
    </xf>
    <xf numFmtId="1" fontId="2" fillId="3" borderId="15" xfId="0" quotePrefix="1" applyNumberFormat="1" applyFont="1" applyFill="1" applyBorder="1" applyAlignment="1">
      <alignment horizontal="center"/>
    </xf>
    <xf numFmtId="1" fontId="2" fillId="3" borderId="16" xfId="0" quotePrefix="1" applyNumberFormat="1" applyFont="1" applyFill="1" applyBorder="1" applyAlignment="1">
      <alignment horizontal="center"/>
    </xf>
    <xf numFmtId="166" fontId="2" fillId="3" borderId="18" xfId="0" quotePrefix="1" applyNumberFormat="1" applyFont="1" applyFill="1" applyBorder="1" applyAlignment="1">
      <alignment horizontal="center"/>
    </xf>
    <xf numFmtId="1" fontId="2" fillId="3" borderId="18" xfId="0" quotePrefix="1" applyNumberFormat="1" applyFont="1" applyFill="1" applyBorder="1" applyAlignment="1">
      <alignment horizontal="center"/>
    </xf>
    <xf numFmtId="1" fontId="2" fillId="3" borderId="19" xfId="0" quotePrefix="1" applyNumberFormat="1" applyFont="1" applyFill="1" applyBorder="1" applyAlignment="1">
      <alignment horizontal="center"/>
    </xf>
    <xf numFmtId="166" fontId="2" fillId="2" borderId="12" xfId="0" quotePrefix="1" applyNumberFormat="1" applyFont="1" applyFill="1" applyBorder="1" applyAlignment="1">
      <alignment horizontal="center"/>
    </xf>
    <xf numFmtId="166" fontId="2" fillId="2" borderId="15" xfId="0" quotePrefix="1" applyNumberFormat="1" applyFont="1" applyFill="1" applyBorder="1" applyAlignment="1">
      <alignment horizontal="center"/>
    </xf>
    <xf numFmtId="1" fontId="2" fillId="2" borderId="16" xfId="0" quotePrefix="1" applyNumberFormat="1" applyFont="1" applyFill="1" applyBorder="1" applyAlignment="1">
      <alignment horizontal="center" vertical="center" wrapText="1"/>
    </xf>
    <xf numFmtId="1" fontId="2" fillId="2" borderId="15" xfId="0" quotePrefix="1" applyNumberFormat="1" applyFont="1" applyFill="1" applyBorder="1" applyAlignment="1">
      <alignment horizontal="center"/>
    </xf>
    <xf numFmtId="1" fontId="2" fillId="2" borderId="16" xfId="0" quotePrefix="1" applyNumberFormat="1" applyFont="1" applyFill="1" applyBorder="1" applyAlignment="1">
      <alignment horizontal="center"/>
    </xf>
    <xf numFmtId="0" fontId="2" fillId="3" borderId="1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164" fontId="9" fillId="3" borderId="14" xfId="0" applyNumberFormat="1" applyFont="1" applyFill="1" applyBorder="1" applyAlignment="1">
      <alignment horizontal="left" vertical="center"/>
    </xf>
    <xf numFmtId="0" fontId="10" fillId="3" borderId="15" xfId="0" applyFont="1" applyFill="1" applyBorder="1"/>
    <xf numFmtId="0" fontId="9" fillId="3" borderId="15" xfId="0" applyFont="1" applyFill="1" applyBorder="1"/>
    <xf numFmtId="0" fontId="9" fillId="3" borderId="14" xfId="0" applyFont="1" applyFill="1" applyBorder="1" applyAlignment="1">
      <alignment horizontal="left" vertical="center"/>
    </xf>
    <xf numFmtId="164" fontId="9" fillId="2" borderId="14" xfId="0" applyNumberFormat="1" applyFont="1" applyFill="1" applyBorder="1" applyAlignment="1">
      <alignment horizontal="left" vertical="center"/>
    </xf>
    <xf numFmtId="0" fontId="10" fillId="2" borderId="15" xfId="0" applyFont="1" applyFill="1" applyBorder="1"/>
    <xf numFmtId="0" fontId="9" fillId="2" borderId="15" xfId="0" applyFont="1" applyFill="1" applyBorder="1"/>
    <xf numFmtId="0" fontId="9" fillId="2" borderId="14" xfId="0" applyFont="1" applyFill="1" applyBorder="1" applyAlignment="1">
      <alignment horizontal="left" vertical="center"/>
    </xf>
    <xf numFmtId="14" fontId="9" fillId="2" borderId="14" xfId="0" applyNumberFormat="1" applyFont="1" applyFill="1" applyBorder="1" applyAlignment="1">
      <alignment horizontal="left" vertical="center"/>
    </xf>
    <xf numFmtId="14" fontId="9" fillId="3" borderId="14" xfId="0" applyNumberFormat="1" applyFont="1" applyFill="1" applyBorder="1" applyAlignment="1">
      <alignment horizontal="left" vertical="center"/>
    </xf>
    <xf numFmtId="164" fontId="9" fillId="2" borderId="17" xfId="0" applyNumberFormat="1" applyFont="1" applyFill="1" applyBorder="1" applyAlignment="1">
      <alignment horizontal="left" vertical="center"/>
    </xf>
    <xf numFmtId="0" fontId="10" fillId="2" borderId="18" xfId="0" applyFont="1" applyFill="1" applyBorder="1"/>
    <xf numFmtId="0" fontId="9" fillId="2" borderId="18" xfId="0" applyFont="1" applyFill="1" applyBorder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5924F-6C1E-4D35-92FE-35D185DE2581}">
  <dimension ref="A1:BB9"/>
  <sheetViews>
    <sheetView tabSelected="1" workbookViewId="0">
      <selection activeCell="A3" sqref="A3"/>
    </sheetView>
  </sheetViews>
  <sheetFormatPr defaultRowHeight="18.75" x14ac:dyDescent="0.25"/>
  <cols>
    <col min="1" max="1" width="188.7109375" style="155" customWidth="1"/>
    <col min="13" max="13" width="10.140625" customWidth="1"/>
  </cols>
  <sheetData>
    <row r="1" spans="1:54" s="1" customFormat="1" x14ac:dyDescent="0.25">
      <c r="A1" s="156" t="s">
        <v>168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AU1" s="2"/>
      <c r="AV1" s="2"/>
      <c r="AW1" s="2"/>
      <c r="AX1" s="2"/>
      <c r="AY1" s="2"/>
      <c r="AZ1" s="2"/>
      <c r="BA1" s="2"/>
      <c r="BB1" s="2"/>
    </row>
    <row r="2" spans="1:54" s="1" customFormat="1" x14ac:dyDescent="0.2">
      <c r="A2" s="155"/>
      <c r="AU2" s="2"/>
      <c r="AV2" s="2"/>
      <c r="AW2" s="2"/>
      <c r="AX2" s="2"/>
      <c r="AY2" s="2"/>
      <c r="AZ2" s="2"/>
      <c r="BA2" s="2"/>
      <c r="BB2" s="2"/>
    </row>
    <row r="3" spans="1:54" s="1" customFormat="1" x14ac:dyDescent="0.25">
      <c r="A3" s="155" t="s">
        <v>321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AU3" s="2"/>
      <c r="AV3" s="2"/>
      <c r="AW3" s="2"/>
      <c r="AX3" s="2"/>
      <c r="AY3" s="2"/>
      <c r="AZ3" s="2"/>
      <c r="BA3" s="2"/>
      <c r="BB3" s="2"/>
    </row>
    <row r="4" spans="1:54" s="1" customFormat="1" x14ac:dyDescent="0.25">
      <c r="A4" s="155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AU4" s="2"/>
      <c r="AV4" s="2"/>
      <c r="AW4" s="2"/>
      <c r="AX4" s="2"/>
      <c r="AY4" s="2"/>
      <c r="AZ4" s="2"/>
      <c r="BA4" s="2"/>
      <c r="BB4" s="2"/>
    </row>
    <row r="5" spans="1:54" s="1" customFormat="1" ht="21" x14ac:dyDescent="0.25">
      <c r="A5" s="155" t="s">
        <v>320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AU5" s="2"/>
      <c r="AV5" s="2"/>
      <c r="AW5" s="2"/>
      <c r="AX5" s="2"/>
      <c r="AY5" s="2"/>
      <c r="AZ5" s="2"/>
      <c r="BA5" s="2"/>
      <c r="BB5" s="2"/>
    </row>
    <row r="6" spans="1:54" s="1" customFormat="1" x14ac:dyDescent="0.25">
      <c r="A6" s="155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AU6" s="2"/>
      <c r="AV6" s="2"/>
      <c r="AW6" s="2"/>
      <c r="AX6" s="2"/>
      <c r="AY6" s="2"/>
      <c r="AZ6" s="2"/>
      <c r="BA6" s="2"/>
      <c r="BB6" s="2"/>
    </row>
    <row r="7" spans="1:54" s="1" customFormat="1" ht="75" x14ac:dyDescent="0.25">
      <c r="A7" s="298" t="s">
        <v>319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AU7" s="2"/>
      <c r="AV7" s="2"/>
      <c r="AW7" s="2"/>
      <c r="AX7" s="2"/>
      <c r="AY7" s="2"/>
      <c r="AZ7" s="2"/>
      <c r="BA7" s="2"/>
      <c r="BB7" s="2"/>
    </row>
    <row r="9" spans="1:54" x14ac:dyDescent="0.25">
      <c r="A9" s="156" t="s">
        <v>169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BC26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2" width="18.7109375" style="46" customWidth="1"/>
    <col min="3" max="4" width="18.7109375" style="1" customWidth="1"/>
    <col min="5" max="5" width="36.7109375" style="1" customWidth="1"/>
    <col min="6" max="52" width="8.7109375" style="1" customWidth="1"/>
    <col min="53" max="55" width="10.7109375" style="1" customWidth="1"/>
    <col min="56" max="16384" width="9.140625" style="1"/>
  </cols>
  <sheetData>
    <row r="1" spans="2:55" ht="12" customHeight="1" x14ac:dyDescent="0.2">
      <c r="AN1" s="96"/>
    </row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x14ac:dyDescent="0.2">
      <c r="B3" s="61">
        <v>18876</v>
      </c>
      <c r="C3" s="62" t="s">
        <v>248</v>
      </c>
      <c r="D3" s="63" t="s">
        <v>240</v>
      </c>
      <c r="E3" s="63" t="s">
        <v>247</v>
      </c>
      <c r="F3" s="65">
        <f>1.25+0.503</f>
        <v>1.7530000000000001</v>
      </c>
      <c r="G3" s="65" t="s">
        <v>75</v>
      </c>
      <c r="H3" s="65" t="s">
        <v>75</v>
      </c>
      <c r="I3" s="65">
        <v>9.9000000000000005E-2</v>
      </c>
      <c r="J3" s="65">
        <v>5.7000000000000002E-2</v>
      </c>
      <c r="K3" s="65">
        <v>0.89</v>
      </c>
      <c r="L3" s="65">
        <v>0.7</v>
      </c>
      <c r="M3" s="65">
        <v>0.74</v>
      </c>
      <c r="N3" s="65">
        <v>0.15</v>
      </c>
      <c r="O3" s="65" t="s">
        <v>75</v>
      </c>
      <c r="P3" s="65" t="s">
        <v>75</v>
      </c>
      <c r="Q3" s="65" t="s">
        <v>75</v>
      </c>
      <c r="R3" s="65">
        <f t="shared" ref="R3:R24" si="0">M3/K3</f>
        <v>0.8314606741573034</v>
      </c>
      <c r="S3" s="65">
        <f t="shared" ref="S3:S24" si="1">L3/K3</f>
        <v>0.78651685393258419</v>
      </c>
      <c r="T3" s="65" t="s">
        <v>75</v>
      </c>
      <c r="U3" s="65">
        <v>0.29799999999999999</v>
      </c>
      <c r="V3" s="65" t="s">
        <v>75</v>
      </c>
      <c r="W3" s="65">
        <v>0.62</v>
      </c>
      <c r="X3" s="65">
        <v>0.125</v>
      </c>
      <c r="Y3" s="65">
        <f>W:W/X:X</f>
        <v>4.96</v>
      </c>
      <c r="Z3" s="65">
        <v>0.41</v>
      </c>
      <c r="AA3" s="65">
        <v>0.56000000000000005</v>
      </c>
      <c r="AB3" s="64">
        <f t="shared" ref="AB3:AB9" si="2">AA3/F3</f>
        <v>0.31945236737022248</v>
      </c>
      <c r="AC3" s="65">
        <v>1.3</v>
      </c>
      <c r="AD3" s="64">
        <f t="shared" ref="AD3:AD9" si="3">AC3/F3</f>
        <v>0.74158585282373068</v>
      </c>
      <c r="AE3" s="65">
        <v>0.11</v>
      </c>
      <c r="AF3" s="65">
        <f t="shared" ref="AF3:AF9" si="4">AE3/K3</f>
        <v>0.12359550561797752</v>
      </c>
      <c r="AG3" s="65" t="s">
        <v>75</v>
      </c>
      <c r="AH3" s="64">
        <f t="shared" ref="AH3:AH8" si="5">AE3/N3</f>
        <v>0.73333333333333339</v>
      </c>
      <c r="AI3" s="65">
        <v>0.109</v>
      </c>
      <c r="AJ3" s="65">
        <v>6.2E-2</v>
      </c>
      <c r="AK3" s="64">
        <f t="shared" ref="AK3:AK24" si="6">AI3/AJ3</f>
        <v>1.7580645161290323</v>
      </c>
      <c r="AL3" s="64">
        <f>AI3/AE3</f>
        <v>0.99090909090909085</v>
      </c>
      <c r="AM3" s="64">
        <f>AI3/N3</f>
        <v>0.72666666666666668</v>
      </c>
      <c r="AN3" s="64">
        <f>AI3/K3</f>
        <v>0.12247191011235954</v>
      </c>
      <c r="AO3" s="64">
        <f t="shared" ref="AO3:AO24" si="7">AI3/AP3</f>
        <v>0.45416666666666666</v>
      </c>
      <c r="AP3" s="65">
        <v>0.24</v>
      </c>
      <c r="AQ3" s="65">
        <v>7.4999999999999997E-2</v>
      </c>
      <c r="AR3" s="64">
        <f t="shared" ref="AR3:AR13" si="8">AP3/F3</f>
        <v>0.13690815744438103</v>
      </c>
      <c r="AS3" s="64">
        <f t="shared" ref="AS3:AS24" si="9">AP3/AQ3</f>
        <v>3.2</v>
      </c>
      <c r="AT3" s="64">
        <f t="shared" ref="AT3:AT13" si="10">AP3/K3</f>
        <v>0.2696629213483146</v>
      </c>
      <c r="AU3" s="65" t="s">
        <v>75</v>
      </c>
      <c r="AV3" s="65" t="s">
        <v>75</v>
      </c>
      <c r="AW3" s="65" t="s">
        <v>75</v>
      </c>
      <c r="AX3" s="65" t="s">
        <v>75</v>
      </c>
      <c r="AY3" s="209">
        <v>4</v>
      </c>
      <c r="AZ3" s="209">
        <v>8</v>
      </c>
      <c r="BA3" s="209">
        <v>9</v>
      </c>
      <c r="BB3" s="209">
        <v>4</v>
      </c>
      <c r="BC3" s="211">
        <v>4</v>
      </c>
    </row>
    <row r="4" spans="2:55" x14ac:dyDescent="0.2">
      <c r="B4" s="69"/>
      <c r="C4" s="71"/>
      <c r="D4" s="71"/>
      <c r="E4" s="71"/>
      <c r="F4" s="82">
        <f>1.25+0.503</f>
        <v>1.7530000000000001</v>
      </c>
      <c r="G4" s="82">
        <f>I4+J4+K4+L4+M4+N4+O4</f>
        <v>3.4750000000000001</v>
      </c>
      <c r="H4" s="82">
        <f>G4/F4</f>
        <v>1.9823160296634341</v>
      </c>
      <c r="I4" s="82">
        <v>0.105</v>
      </c>
      <c r="J4" s="82">
        <v>5.8000000000000003E-2</v>
      </c>
      <c r="K4" s="82">
        <v>0.89</v>
      </c>
      <c r="L4" s="82">
        <v>0.73</v>
      </c>
      <c r="M4" s="82">
        <v>0.68</v>
      </c>
      <c r="N4" s="82">
        <v>0.15</v>
      </c>
      <c r="O4" s="82">
        <f>0.377+0.148+0.077+0.26</f>
        <v>0.86199999999999999</v>
      </c>
      <c r="P4" s="82">
        <f>N:N+O:O</f>
        <v>1.012</v>
      </c>
      <c r="Q4" s="82">
        <f t="shared" ref="Q4:Q24" si="11">(N4+O4)/K4</f>
        <v>1.1370786516853932</v>
      </c>
      <c r="R4" s="82">
        <f t="shared" si="0"/>
        <v>0.76404494382022481</v>
      </c>
      <c r="S4" s="82">
        <f t="shared" si="1"/>
        <v>0.8202247191011236</v>
      </c>
      <c r="T4" s="82">
        <f t="shared" ref="T4:T24" si="12">O4/N4</f>
        <v>5.746666666666667</v>
      </c>
      <c r="U4" s="82">
        <v>0.29799999999999999</v>
      </c>
      <c r="V4" s="82">
        <f t="shared" ref="V4:V24" si="13">G4/U4</f>
        <v>11.661073825503356</v>
      </c>
      <c r="W4" s="82" t="s">
        <v>75</v>
      </c>
      <c r="X4" s="82" t="s">
        <v>75</v>
      </c>
      <c r="Y4" s="82" t="s">
        <v>75</v>
      </c>
      <c r="Z4" s="82" t="s">
        <v>75</v>
      </c>
      <c r="AA4" s="82">
        <v>0.54</v>
      </c>
      <c r="AB4" s="72">
        <f t="shared" si="2"/>
        <v>0.3080433542498574</v>
      </c>
      <c r="AC4" s="82">
        <v>1.3</v>
      </c>
      <c r="AD4" s="72">
        <f t="shared" si="3"/>
        <v>0.74158585282373068</v>
      </c>
      <c r="AE4" s="82">
        <v>0.1</v>
      </c>
      <c r="AF4" s="82">
        <f t="shared" si="4"/>
        <v>0.11235955056179776</v>
      </c>
      <c r="AG4" s="82">
        <f>AE:AE/P:P</f>
        <v>9.8814229249011856E-2</v>
      </c>
      <c r="AH4" s="72">
        <f t="shared" si="5"/>
        <v>0.66666666666666674</v>
      </c>
      <c r="AI4" s="82">
        <v>0.109</v>
      </c>
      <c r="AJ4" s="82">
        <v>6.2E-2</v>
      </c>
      <c r="AK4" s="72">
        <f t="shared" si="6"/>
        <v>1.7580645161290323</v>
      </c>
      <c r="AL4" s="72">
        <f>AI4/AE4</f>
        <v>1.0899999999999999</v>
      </c>
      <c r="AM4" s="72">
        <f>AI4/N4</f>
        <v>0.72666666666666668</v>
      </c>
      <c r="AN4" s="72">
        <f>AI4/K4</f>
        <v>0.12247191011235954</v>
      </c>
      <c r="AO4" s="72">
        <f t="shared" si="7"/>
        <v>0.436</v>
      </c>
      <c r="AP4" s="82">
        <v>0.25</v>
      </c>
      <c r="AQ4" s="82">
        <v>0.08</v>
      </c>
      <c r="AR4" s="72">
        <f t="shared" si="8"/>
        <v>0.1426126640045636</v>
      </c>
      <c r="AS4" s="72">
        <f t="shared" si="9"/>
        <v>3.125</v>
      </c>
      <c r="AT4" s="72">
        <f t="shared" si="10"/>
        <v>0.2808988764044944</v>
      </c>
      <c r="AU4" s="82" t="s">
        <v>75</v>
      </c>
      <c r="AV4" s="82" t="s">
        <v>75</v>
      </c>
      <c r="AW4" s="82" t="s">
        <v>75</v>
      </c>
      <c r="AX4" s="82" t="s">
        <v>75</v>
      </c>
      <c r="AY4" s="82" t="s">
        <v>75</v>
      </c>
      <c r="AZ4" s="185">
        <v>9</v>
      </c>
      <c r="BA4" s="82" t="s">
        <v>75</v>
      </c>
      <c r="BB4" s="82" t="s">
        <v>75</v>
      </c>
      <c r="BC4" s="212" t="s">
        <v>75</v>
      </c>
    </row>
    <row r="5" spans="2:55" x14ac:dyDescent="0.2">
      <c r="B5" s="86">
        <v>18876</v>
      </c>
      <c r="C5" s="76" t="s">
        <v>248</v>
      </c>
      <c r="D5" s="77" t="s">
        <v>240</v>
      </c>
      <c r="E5" s="77" t="s">
        <v>247</v>
      </c>
      <c r="F5" s="80">
        <f>1.01+0.57</f>
        <v>1.58</v>
      </c>
      <c r="G5" s="80">
        <f>I5+J5+K5+L5+M5+N5+O5</f>
        <v>3.3380000000000001</v>
      </c>
      <c r="H5" s="80">
        <f>G5/F5</f>
        <v>2.1126582278481014</v>
      </c>
      <c r="I5" s="80">
        <v>9.1999999999999998E-2</v>
      </c>
      <c r="J5" s="80">
        <v>0.06</v>
      </c>
      <c r="K5" s="80">
        <v>0.87</v>
      </c>
      <c r="L5" s="80">
        <v>0.68</v>
      </c>
      <c r="M5" s="80">
        <v>0.67</v>
      </c>
      <c r="N5" s="80">
        <v>0.14000000000000001</v>
      </c>
      <c r="O5" s="80">
        <v>0.82599999999999996</v>
      </c>
      <c r="P5" s="80">
        <f>N:N+O:O</f>
        <v>0.96599999999999997</v>
      </c>
      <c r="Q5" s="80">
        <f t="shared" si="11"/>
        <v>1.1103448275862069</v>
      </c>
      <c r="R5" s="80">
        <f t="shared" si="0"/>
        <v>0.77011494252873569</v>
      </c>
      <c r="S5" s="80">
        <f t="shared" si="1"/>
        <v>0.7816091954022989</v>
      </c>
      <c r="T5" s="80">
        <f>O5/N5</f>
        <v>5.8999999999999995</v>
      </c>
      <c r="U5" s="80">
        <v>0.28599999999999998</v>
      </c>
      <c r="V5" s="80">
        <f t="shared" si="13"/>
        <v>11.671328671328672</v>
      </c>
      <c r="W5" s="80">
        <v>0.65</v>
      </c>
      <c r="X5" s="80">
        <v>0.125</v>
      </c>
      <c r="Y5" s="80">
        <f t="shared" ref="Y5:Y24" si="14">W:W/X:X</f>
        <v>5.2</v>
      </c>
      <c r="Z5" s="80">
        <v>0.42</v>
      </c>
      <c r="AA5" s="80">
        <v>0.6</v>
      </c>
      <c r="AB5" s="78">
        <f t="shared" si="2"/>
        <v>0.37974683544303794</v>
      </c>
      <c r="AC5" s="80">
        <f>0.98+0.27</f>
        <v>1.25</v>
      </c>
      <c r="AD5" s="78">
        <f t="shared" si="3"/>
        <v>0.79113924050632911</v>
      </c>
      <c r="AE5" s="80">
        <v>0.11</v>
      </c>
      <c r="AF5" s="80">
        <f t="shared" si="4"/>
        <v>0.12643678160919541</v>
      </c>
      <c r="AG5" s="80">
        <f>AE:AE/P:P</f>
        <v>0.11387163561076605</v>
      </c>
      <c r="AH5" s="78">
        <f t="shared" si="5"/>
        <v>0.7857142857142857</v>
      </c>
      <c r="AI5" s="80" t="s">
        <v>75</v>
      </c>
      <c r="AJ5" s="80" t="s">
        <v>75</v>
      </c>
      <c r="AK5" s="80" t="s">
        <v>75</v>
      </c>
      <c r="AL5" s="80" t="s">
        <v>75</v>
      </c>
      <c r="AM5" s="80" t="s">
        <v>75</v>
      </c>
      <c r="AN5" s="80" t="s">
        <v>75</v>
      </c>
      <c r="AO5" s="80" t="s">
        <v>75</v>
      </c>
      <c r="AP5" s="80">
        <v>0.23</v>
      </c>
      <c r="AQ5" s="80">
        <v>7.3999999999999996E-2</v>
      </c>
      <c r="AR5" s="78">
        <f t="shared" si="8"/>
        <v>0.14556962025316456</v>
      </c>
      <c r="AS5" s="78">
        <f t="shared" si="9"/>
        <v>3.1081081081081083</v>
      </c>
      <c r="AT5" s="78">
        <f t="shared" si="10"/>
        <v>0.26436781609195403</v>
      </c>
      <c r="AU5" s="80">
        <v>0.10199999999999999</v>
      </c>
      <c r="AV5" s="80">
        <v>0.10299999999999999</v>
      </c>
      <c r="AW5" s="78">
        <f t="shared" ref="AW5:AW23" si="15">AU5/AV5</f>
        <v>0.99029126213592233</v>
      </c>
      <c r="AX5" s="80">
        <f t="shared" ref="AX5:AX23" si="16">AP5/AU5</f>
        <v>2.2549019607843142</v>
      </c>
      <c r="AY5" s="180">
        <v>4</v>
      </c>
      <c r="AZ5" s="180">
        <v>8</v>
      </c>
      <c r="BA5" s="80" t="s">
        <v>75</v>
      </c>
      <c r="BB5" s="180">
        <v>5</v>
      </c>
      <c r="BC5" s="181">
        <v>3</v>
      </c>
    </row>
    <row r="6" spans="2:55" x14ac:dyDescent="0.2">
      <c r="B6" s="75"/>
      <c r="C6" s="77"/>
      <c r="D6" s="77"/>
      <c r="E6" s="77"/>
      <c r="F6" s="80">
        <f>1.01+0.57</f>
        <v>1.58</v>
      </c>
      <c r="G6" s="80">
        <f>I6+J6+K6+L6+M6+N6+O6</f>
        <v>3.3440000000000003</v>
      </c>
      <c r="H6" s="80">
        <f>G6/F6</f>
        <v>2.1164556962025318</v>
      </c>
      <c r="I6" s="80">
        <v>9.8000000000000004E-2</v>
      </c>
      <c r="J6" s="80">
        <v>0.06</v>
      </c>
      <c r="K6" s="80">
        <v>0.87</v>
      </c>
      <c r="L6" s="80">
        <v>0.68</v>
      </c>
      <c r="M6" s="80">
        <v>0.66</v>
      </c>
      <c r="N6" s="80">
        <v>0.15</v>
      </c>
      <c r="O6" s="80">
        <v>0.82599999999999996</v>
      </c>
      <c r="P6" s="80">
        <f>N:N+O:O</f>
        <v>0.97599999999999998</v>
      </c>
      <c r="Q6" s="80">
        <f t="shared" si="11"/>
        <v>1.12183908045977</v>
      </c>
      <c r="R6" s="80">
        <f t="shared" si="0"/>
        <v>0.75862068965517249</v>
      </c>
      <c r="S6" s="80">
        <f t="shared" si="1"/>
        <v>0.7816091954022989</v>
      </c>
      <c r="T6" s="80">
        <f t="shared" si="12"/>
        <v>5.5066666666666668</v>
      </c>
      <c r="U6" s="80">
        <v>0.28599999999999998</v>
      </c>
      <c r="V6" s="80">
        <f t="shared" si="13"/>
        <v>11.692307692307695</v>
      </c>
      <c r="W6" s="80">
        <v>0.67</v>
      </c>
      <c r="X6" s="80">
        <v>0.113</v>
      </c>
      <c r="Y6" s="80">
        <f t="shared" si="14"/>
        <v>5.9292035398230087</v>
      </c>
      <c r="Z6" s="80" t="s">
        <v>75</v>
      </c>
      <c r="AA6" s="80">
        <v>0.57999999999999996</v>
      </c>
      <c r="AB6" s="78">
        <f t="shared" si="2"/>
        <v>0.36708860759493667</v>
      </c>
      <c r="AC6" s="80">
        <v>1.19</v>
      </c>
      <c r="AD6" s="78">
        <f t="shared" si="3"/>
        <v>0.75316455696202522</v>
      </c>
      <c r="AE6" s="80">
        <v>9.8000000000000004E-2</v>
      </c>
      <c r="AF6" s="80">
        <f t="shared" si="4"/>
        <v>0.11264367816091954</v>
      </c>
      <c r="AG6" s="80">
        <f>AE:AE/P:P</f>
        <v>0.10040983606557377</v>
      </c>
      <c r="AH6" s="78">
        <f t="shared" si="5"/>
        <v>0.65333333333333343</v>
      </c>
      <c r="AI6" s="80" t="s">
        <v>75</v>
      </c>
      <c r="AJ6" s="80" t="s">
        <v>75</v>
      </c>
      <c r="AK6" s="80" t="s">
        <v>75</v>
      </c>
      <c r="AL6" s="80" t="s">
        <v>75</v>
      </c>
      <c r="AM6" s="80" t="s">
        <v>75</v>
      </c>
      <c r="AN6" s="80" t="s">
        <v>75</v>
      </c>
      <c r="AO6" s="80" t="s">
        <v>75</v>
      </c>
      <c r="AP6" s="80">
        <v>0.23</v>
      </c>
      <c r="AQ6" s="80">
        <v>8.5999999999999993E-2</v>
      </c>
      <c r="AR6" s="78">
        <f t="shared" si="8"/>
        <v>0.14556962025316456</v>
      </c>
      <c r="AS6" s="78">
        <f t="shared" si="9"/>
        <v>2.6744186046511631</v>
      </c>
      <c r="AT6" s="78">
        <f t="shared" si="10"/>
        <v>0.26436781609195403</v>
      </c>
      <c r="AU6" s="80">
        <v>0.10199999999999999</v>
      </c>
      <c r="AV6" s="80">
        <v>0.10299999999999999</v>
      </c>
      <c r="AW6" s="78">
        <f t="shared" ref="AW6" si="17">AU6/AV6</f>
        <v>0.99029126213592233</v>
      </c>
      <c r="AX6" s="80">
        <f t="shared" ref="AX6" si="18">AP6/AU6</f>
        <v>2.2549019607843142</v>
      </c>
      <c r="AY6" s="80" t="s">
        <v>75</v>
      </c>
      <c r="AZ6" s="180">
        <v>9</v>
      </c>
      <c r="BA6" s="80" t="s">
        <v>75</v>
      </c>
      <c r="BB6" s="80" t="s">
        <v>75</v>
      </c>
      <c r="BC6" s="210" t="s">
        <v>75</v>
      </c>
    </row>
    <row r="7" spans="2:55" x14ac:dyDescent="0.2">
      <c r="B7" s="83">
        <v>22548</v>
      </c>
      <c r="C7" s="70" t="s">
        <v>248</v>
      </c>
      <c r="D7" s="71" t="s">
        <v>241</v>
      </c>
      <c r="E7" s="71" t="s">
        <v>247</v>
      </c>
      <c r="F7" s="82">
        <f>0.625+0.96+0.87</f>
        <v>2.4550000000000001</v>
      </c>
      <c r="G7" s="82" t="s">
        <v>75</v>
      </c>
      <c r="H7" s="82" t="s">
        <v>75</v>
      </c>
      <c r="I7" s="82">
        <v>0.107</v>
      </c>
      <c r="J7" s="82">
        <v>7.0999999999999994E-2</v>
      </c>
      <c r="K7" s="82">
        <f>0.58+0.55</f>
        <v>1.1299999999999999</v>
      </c>
      <c r="L7" s="82">
        <f>0.38+0.37</f>
        <v>0.75</v>
      </c>
      <c r="M7" s="82">
        <f>0.43+0.39</f>
        <v>0.82000000000000006</v>
      </c>
      <c r="N7" s="82">
        <v>0.16</v>
      </c>
      <c r="O7" s="82" t="s">
        <v>75</v>
      </c>
      <c r="P7" s="82" t="s">
        <v>75</v>
      </c>
      <c r="Q7" s="82" t="s">
        <v>75</v>
      </c>
      <c r="R7" s="82">
        <f t="shared" si="0"/>
        <v>0.72566371681415942</v>
      </c>
      <c r="S7" s="82">
        <f t="shared" si="1"/>
        <v>0.66371681415929207</v>
      </c>
      <c r="T7" s="82" t="s">
        <v>75</v>
      </c>
      <c r="U7" s="82">
        <v>0.35</v>
      </c>
      <c r="V7" s="82" t="s">
        <v>75</v>
      </c>
      <c r="W7" s="82">
        <v>0.74</v>
      </c>
      <c r="X7" s="82">
        <v>0.16</v>
      </c>
      <c r="Y7" s="82">
        <f t="shared" si="14"/>
        <v>4.625</v>
      </c>
      <c r="Z7" s="82">
        <v>0.47</v>
      </c>
      <c r="AA7" s="82">
        <v>0.67</v>
      </c>
      <c r="AB7" s="72">
        <f t="shared" si="2"/>
        <v>0.27291242362525459</v>
      </c>
      <c r="AC7" s="82">
        <v>1.4</v>
      </c>
      <c r="AD7" s="72">
        <f t="shared" si="3"/>
        <v>0.570264765784114</v>
      </c>
      <c r="AE7" s="82">
        <v>0.11</v>
      </c>
      <c r="AF7" s="82">
        <f t="shared" si="4"/>
        <v>9.7345132743362844E-2</v>
      </c>
      <c r="AG7" s="82" t="s">
        <v>75</v>
      </c>
      <c r="AH7" s="72">
        <f t="shared" si="5"/>
        <v>0.6875</v>
      </c>
      <c r="AI7" s="82">
        <v>0.12</v>
      </c>
      <c r="AJ7" s="82">
        <v>6.5000000000000002E-2</v>
      </c>
      <c r="AK7" s="72">
        <f t="shared" si="6"/>
        <v>1.846153846153846</v>
      </c>
      <c r="AL7" s="72">
        <f>AI7/AE7</f>
        <v>1.0909090909090908</v>
      </c>
      <c r="AM7" s="72">
        <f>AI7/N7</f>
        <v>0.75</v>
      </c>
      <c r="AN7" s="72">
        <f t="shared" ref="AN7:AN12" si="19">AI7/K7</f>
        <v>0.10619469026548674</v>
      </c>
      <c r="AO7" s="72">
        <f t="shared" si="7"/>
        <v>0.41379310344827586</v>
      </c>
      <c r="AP7" s="82">
        <v>0.28999999999999998</v>
      </c>
      <c r="AQ7" s="82">
        <v>0.1</v>
      </c>
      <c r="AR7" s="72">
        <f t="shared" si="8"/>
        <v>0.11812627291242361</v>
      </c>
      <c r="AS7" s="72">
        <f t="shared" si="9"/>
        <v>2.8999999999999995</v>
      </c>
      <c r="AT7" s="72">
        <f t="shared" si="10"/>
        <v>0.25663716814159293</v>
      </c>
      <c r="AU7" s="82">
        <v>0.17599999999999999</v>
      </c>
      <c r="AV7" s="82">
        <v>0.15</v>
      </c>
      <c r="AW7" s="72">
        <f t="shared" si="15"/>
        <v>1.1733333333333333</v>
      </c>
      <c r="AX7" s="82">
        <f t="shared" si="16"/>
        <v>1.6477272727272727</v>
      </c>
      <c r="AY7" s="185">
        <v>3</v>
      </c>
      <c r="AZ7" s="185">
        <v>11</v>
      </c>
      <c r="BA7" s="185">
        <v>6</v>
      </c>
      <c r="BB7" s="185">
        <v>8</v>
      </c>
      <c r="BC7" s="186">
        <v>6</v>
      </c>
    </row>
    <row r="8" spans="2:55" x14ac:dyDescent="0.2">
      <c r="B8" s="69"/>
      <c r="C8" s="71"/>
      <c r="D8" s="71"/>
      <c r="E8" s="71"/>
      <c r="F8" s="82">
        <f>0.625+0.96+0.87</f>
        <v>2.4550000000000001</v>
      </c>
      <c r="G8" s="82">
        <f>I8+J8+K8+L8+M8+N8+O8</f>
        <v>4.7579999999999991</v>
      </c>
      <c r="H8" s="82">
        <f>G8/F8</f>
        <v>1.9380855397148673</v>
      </c>
      <c r="I8" s="82">
        <v>0.113</v>
      </c>
      <c r="J8" s="82">
        <v>6.4000000000000001E-2</v>
      </c>
      <c r="K8" s="82">
        <f>0.4+0.697</f>
        <v>1.097</v>
      </c>
      <c r="L8" s="82">
        <v>0.76</v>
      </c>
      <c r="M8" s="82">
        <v>0.8</v>
      </c>
      <c r="N8" s="82">
        <v>0.15</v>
      </c>
      <c r="O8" s="82">
        <f>0.455+0.377+0.272+0.67</f>
        <v>1.774</v>
      </c>
      <c r="P8" s="82">
        <f>N:N+O:O</f>
        <v>1.9239999999999999</v>
      </c>
      <c r="Q8" s="82">
        <f t="shared" si="11"/>
        <v>1.7538742023701002</v>
      </c>
      <c r="R8" s="82">
        <f t="shared" si="0"/>
        <v>0.72926162260711036</v>
      </c>
      <c r="S8" s="82">
        <f t="shared" si="1"/>
        <v>0.69279854147675479</v>
      </c>
      <c r="T8" s="82">
        <f t="shared" si="12"/>
        <v>11.826666666666668</v>
      </c>
      <c r="U8" s="82">
        <v>0.35</v>
      </c>
      <c r="V8" s="82">
        <f t="shared" si="13"/>
        <v>13.594285714285713</v>
      </c>
      <c r="W8" s="82">
        <v>0.67</v>
      </c>
      <c r="X8" s="82">
        <v>0.14000000000000001</v>
      </c>
      <c r="Y8" s="82">
        <f t="shared" si="14"/>
        <v>4.7857142857142856</v>
      </c>
      <c r="Z8" s="82" t="s">
        <v>75</v>
      </c>
      <c r="AA8" s="82">
        <v>0.7</v>
      </c>
      <c r="AB8" s="72">
        <f t="shared" si="2"/>
        <v>0.285132382892057</v>
      </c>
      <c r="AC8" s="82">
        <v>1.35</v>
      </c>
      <c r="AD8" s="72">
        <f t="shared" si="3"/>
        <v>0.54989816700611005</v>
      </c>
      <c r="AE8" s="82">
        <v>0.1</v>
      </c>
      <c r="AF8" s="82">
        <f t="shared" si="4"/>
        <v>9.1157702825888795E-2</v>
      </c>
      <c r="AG8" s="82">
        <f>AE:AE/P:P</f>
        <v>5.1975051975051978E-2</v>
      </c>
      <c r="AH8" s="72">
        <f t="shared" si="5"/>
        <v>0.66666666666666674</v>
      </c>
      <c r="AI8" s="82">
        <v>0.12</v>
      </c>
      <c r="AJ8" s="82">
        <v>6.5000000000000002E-2</v>
      </c>
      <c r="AK8" s="72">
        <f t="shared" si="6"/>
        <v>1.846153846153846</v>
      </c>
      <c r="AL8" s="72">
        <f>AI8/AE8</f>
        <v>1.2</v>
      </c>
      <c r="AM8" s="72">
        <f>AI8/N8</f>
        <v>0.8</v>
      </c>
      <c r="AN8" s="72">
        <f t="shared" si="19"/>
        <v>0.10938924339106654</v>
      </c>
      <c r="AO8" s="72">
        <f t="shared" si="7"/>
        <v>0.4</v>
      </c>
      <c r="AP8" s="82">
        <v>0.3</v>
      </c>
      <c r="AQ8" s="82">
        <v>9.6000000000000002E-2</v>
      </c>
      <c r="AR8" s="72">
        <f t="shared" si="8"/>
        <v>0.12219959266802444</v>
      </c>
      <c r="AS8" s="72">
        <f t="shared" si="9"/>
        <v>3.125</v>
      </c>
      <c r="AT8" s="72">
        <f t="shared" si="10"/>
        <v>0.27347310847766637</v>
      </c>
      <c r="AU8" s="82">
        <v>0.17599999999999999</v>
      </c>
      <c r="AV8" s="82">
        <v>0.15</v>
      </c>
      <c r="AW8" s="72">
        <f t="shared" ref="AW8" si="20">AU8/AV8</f>
        <v>1.1733333333333333</v>
      </c>
      <c r="AX8" s="82">
        <f t="shared" ref="AX8" si="21">AP8/AU8</f>
        <v>1.7045454545454546</v>
      </c>
      <c r="AY8" s="82" t="s">
        <v>75</v>
      </c>
      <c r="AZ8" s="82" t="s">
        <v>75</v>
      </c>
      <c r="BA8" s="82" t="s">
        <v>75</v>
      </c>
      <c r="BB8" s="82" t="s">
        <v>75</v>
      </c>
      <c r="BC8" s="212" t="s">
        <v>75</v>
      </c>
    </row>
    <row r="9" spans="2:55" x14ac:dyDescent="0.2">
      <c r="B9" s="86">
        <v>21735</v>
      </c>
      <c r="C9" s="76" t="s">
        <v>248</v>
      </c>
      <c r="D9" s="77"/>
      <c r="E9" s="77" t="s">
        <v>177</v>
      </c>
      <c r="F9" s="80">
        <f>1.073+0.64</f>
        <v>1.7130000000000001</v>
      </c>
      <c r="G9" s="80" t="s">
        <v>75</v>
      </c>
      <c r="H9" s="80" t="s">
        <v>75</v>
      </c>
      <c r="I9" s="80">
        <v>0.11</v>
      </c>
      <c r="J9" s="80">
        <v>6.2E-2</v>
      </c>
      <c r="K9" s="80">
        <v>0.92</v>
      </c>
      <c r="L9" s="80">
        <v>0.78</v>
      </c>
      <c r="M9" s="80">
        <v>0.79</v>
      </c>
      <c r="N9" s="80" t="s">
        <v>75</v>
      </c>
      <c r="O9" s="80" t="s">
        <v>75</v>
      </c>
      <c r="P9" s="80" t="s">
        <v>75</v>
      </c>
      <c r="Q9" s="80" t="s">
        <v>75</v>
      </c>
      <c r="R9" s="80">
        <f t="shared" si="0"/>
        <v>0.85869565217391308</v>
      </c>
      <c r="S9" s="80">
        <f t="shared" si="1"/>
        <v>0.84782608695652173</v>
      </c>
      <c r="T9" s="80" t="s">
        <v>75</v>
      </c>
      <c r="U9" s="80">
        <v>0.3</v>
      </c>
      <c r="V9" s="80" t="s">
        <v>75</v>
      </c>
      <c r="W9" s="80">
        <v>0.76</v>
      </c>
      <c r="X9" s="80">
        <v>0.14499999999999999</v>
      </c>
      <c r="Y9" s="80">
        <f t="shared" si="14"/>
        <v>5.2413793103448283</v>
      </c>
      <c r="Z9" s="80" t="s">
        <v>75</v>
      </c>
      <c r="AA9" s="80">
        <v>0.62</v>
      </c>
      <c r="AB9" s="78">
        <f t="shared" si="2"/>
        <v>0.36193812025685929</v>
      </c>
      <c r="AC9" s="80">
        <v>1.4</v>
      </c>
      <c r="AD9" s="78">
        <f t="shared" si="3"/>
        <v>0.81727962638645646</v>
      </c>
      <c r="AE9" s="80">
        <v>9.8000000000000004E-2</v>
      </c>
      <c r="AF9" s="80">
        <f t="shared" si="4"/>
        <v>0.10652173913043478</v>
      </c>
      <c r="AG9" s="80" t="s">
        <v>75</v>
      </c>
      <c r="AH9" s="80" t="s">
        <v>75</v>
      </c>
      <c r="AI9" s="80">
        <v>0.108</v>
      </c>
      <c r="AJ9" s="80">
        <v>7.2999999999999995E-2</v>
      </c>
      <c r="AK9" s="78">
        <f t="shared" si="6"/>
        <v>1.4794520547945207</v>
      </c>
      <c r="AL9" s="78">
        <f>AI9/AE9</f>
        <v>1.1020408163265305</v>
      </c>
      <c r="AM9" s="80" t="s">
        <v>75</v>
      </c>
      <c r="AN9" s="78">
        <f t="shared" si="19"/>
        <v>0.11739130434782608</v>
      </c>
      <c r="AO9" s="78">
        <f t="shared" si="7"/>
        <v>0.4695652173913043</v>
      </c>
      <c r="AP9" s="80">
        <v>0.23</v>
      </c>
      <c r="AQ9" s="80">
        <v>0.1</v>
      </c>
      <c r="AR9" s="78">
        <f t="shared" si="8"/>
        <v>0.1342673671920607</v>
      </c>
      <c r="AS9" s="78">
        <f t="shared" si="9"/>
        <v>2.2999999999999998</v>
      </c>
      <c r="AT9" s="78">
        <f t="shared" si="10"/>
        <v>0.25</v>
      </c>
      <c r="AU9" s="80">
        <v>0.114</v>
      </c>
      <c r="AV9" s="80">
        <v>0.104</v>
      </c>
      <c r="AW9" s="78">
        <f t="shared" si="15"/>
        <v>1.0961538461538463</v>
      </c>
      <c r="AX9" s="80">
        <f t="shared" si="16"/>
        <v>2.0175438596491229</v>
      </c>
      <c r="AY9" s="180">
        <v>4</v>
      </c>
      <c r="AZ9" s="180">
        <v>8</v>
      </c>
      <c r="BA9" s="180">
        <v>7</v>
      </c>
      <c r="BB9" s="180">
        <v>4</v>
      </c>
      <c r="BC9" s="210" t="s">
        <v>75</v>
      </c>
    </row>
    <row r="10" spans="2:55" x14ac:dyDescent="0.2">
      <c r="B10" s="75"/>
      <c r="C10" s="77"/>
      <c r="D10" s="77"/>
      <c r="E10" s="77"/>
      <c r="F10" s="80">
        <f>1.073+0.64</f>
        <v>1.7130000000000001</v>
      </c>
      <c r="G10" s="80" t="s">
        <v>75</v>
      </c>
      <c r="H10" s="80" t="s">
        <v>75</v>
      </c>
      <c r="I10" s="80">
        <v>0.11</v>
      </c>
      <c r="J10" s="80">
        <v>6.2E-2</v>
      </c>
      <c r="K10" s="80">
        <v>0.95</v>
      </c>
      <c r="L10" s="80">
        <v>0.79</v>
      </c>
      <c r="M10" s="80">
        <v>0.8</v>
      </c>
      <c r="N10" s="80">
        <v>0.15</v>
      </c>
      <c r="O10" s="80" t="s">
        <v>75</v>
      </c>
      <c r="P10" s="80" t="s">
        <v>75</v>
      </c>
      <c r="Q10" s="80" t="s">
        <v>75</v>
      </c>
      <c r="R10" s="80">
        <f t="shared" si="0"/>
        <v>0.8421052631578948</v>
      </c>
      <c r="S10" s="80">
        <f t="shared" si="1"/>
        <v>0.83157894736842108</v>
      </c>
      <c r="T10" s="80" t="s">
        <v>75</v>
      </c>
      <c r="U10" s="80">
        <v>0.3</v>
      </c>
      <c r="V10" s="80" t="s">
        <v>75</v>
      </c>
      <c r="W10" s="80">
        <v>0.76</v>
      </c>
      <c r="X10" s="80">
        <v>0.14000000000000001</v>
      </c>
      <c r="Y10" s="80">
        <f t="shared" si="14"/>
        <v>5.4285714285714279</v>
      </c>
      <c r="Z10" s="80" t="s">
        <v>75</v>
      </c>
      <c r="AA10" s="80" t="s">
        <v>75</v>
      </c>
      <c r="AB10" s="80" t="s">
        <v>75</v>
      </c>
      <c r="AC10" s="80" t="s">
        <v>75</v>
      </c>
      <c r="AD10" s="80" t="s">
        <v>75</v>
      </c>
      <c r="AE10" s="80" t="s">
        <v>75</v>
      </c>
      <c r="AF10" s="80" t="s">
        <v>75</v>
      </c>
      <c r="AG10" s="80" t="s">
        <v>75</v>
      </c>
      <c r="AH10" s="80" t="s">
        <v>75</v>
      </c>
      <c r="AI10" s="80">
        <v>0.108</v>
      </c>
      <c r="AJ10" s="80">
        <v>7.2999999999999995E-2</v>
      </c>
      <c r="AK10" s="78">
        <f t="shared" si="6"/>
        <v>1.4794520547945207</v>
      </c>
      <c r="AL10" s="80" t="s">
        <v>75</v>
      </c>
      <c r="AM10" s="78">
        <f>AI10/N10</f>
        <v>0.72</v>
      </c>
      <c r="AN10" s="78">
        <f t="shared" si="19"/>
        <v>0.11368421052631579</v>
      </c>
      <c r="AO10" s="78">
        <f t="shared" si="7"/>
        <v>0.45</v>
      </c>
      <c r="AP10" s="80">
        <v>0.24</v>
      </c>
      <c r="AQ10" s="80">
        <v>0.106</v>
      </c>
      <c r="AR10" s="78">
        <f t="shared" si="8"/>
        <v>0.14010507880910683</v>
      </c>
      <c r="AS10" s="78">
        <f t="shared" si="9"/>
        <v>2.2641509433962264</v>
      </c>
      <c r="AT10" s="78">
        <f t="shared" si="10"/>
        <v>0.25263157894736843</v>
      </c>
      <c r="AU10" s="80">
        <v>0.114</v>
      </c>
      <c r="AV10" s="80">
        <v>0.104</v>
      </c>
      <c r="AW10" s="78">
        <f t="shared" ref="AW10" si="22">AU10/AV10</f>
        <v>1.0961538461538463</v>
      </c>
      <c r="AX10" s="80">
        <f t="shared" ref="AX10" si="23">AP10/AU10</f>
        <v>2.1052631578947367</v>
      </c>
      <c r="AY10" s="80" t="s">
        <v>75</v>
      </c>
      <c r="AZ10" s="180">
        <v>11</v>
      </c>
      <c r="BA10" s="80" t="s">
        <v>75</v>
      </c>
      <c r="BB10" s="80" t="s">
        <v>75</v>
      </c>
      <c r="BC10" s="210" t="s">
        <v>75</v>
      </c>
    </row>
    <row r="11" spans="2:55" x14ac:dyDescent="0.2">
      <c r="B11" s="83">
        <v>21761</v>
      </c>
      <c r="C11" s="70" t="s">
        <v>248</v>
      </c>
      <c r="D11" s="71" t="s">
        <v>242</v>
      </c>
      <c r="E11" s="71" t="s">
        <v>247</v>
      </c>
      <c r="F11" s="72">
        <f>1.1+1.026</f>
        <v>2.1260000000000003</v>
      </c>
      <c r="G11" s="82">
        <f>I11+J11+K11+L11+M11+N11+O11</f>
        <v>4.702</v>
      </c>
      <c r="H11" s="82">
        <f>G11/F11</f>
        <v>2.2116650987770456</v>
      </c>
      <c r="I11" s="72">
        <v>0.107</v>
      </c>
      <c r="J11" s="72">
        <v>5.5E-2</v>
      </c>
      <c r="K11" s="72">
        <v>0.97399999999999998</v>
      </c>
      <c r="L11" s="72">
        <v>0.8</v>
      </c>
      <c r="M11" s="72">
        <v>0.751</v>
      </c>
      <c r="N11" s="72">
        <v>0.15</v>
      </c>
      <c r="O11" s="72">
        <f>0.88+0.235+0.374+0.376</f>
        <v>1.8649999999999998</v>
      </c>
      <c r="P11" s="82">
        <f>N:N+O:O</f>
        <v>2.0149999999999997</v>
      </c>
      <c r="Q11" s="82">
        <f t="shared" si="11"/>
        <v>2.068788501026694</v>
      </c>
      <c r="R11" s="82">
        <f t="shared" si="0"/>
        <v>0.77104722792607805</v>
      </c>
      <c r="S11" s="82">
        <f t="shared" si="1"/>
        <v>0.82135523613963046</v>
      </c>
      <c r="T11" s="82">
        <f t="shared" si="12"/>
        <v>12.433333333333332</v>
      </c>
      <c r="U11" s="72">
        <v>0.33600000000000002</v>
      </c>
      <c r="V11" s="82">
        <f t="shared" si="13"/>
        <v>13.994047619047619</v>
      </c>
      <c r="W11" s="72">
        <v>0.77300000000000002</v>
      </c>
      <c r="X11" s="72">
        <v>0.13300000000000001</v>
      </c>
      <c r="Y11" s="82">
        <f t="shared" si="14"/>
        <v>5.8120300751879697</v>
      </c>
      <c r="Z11" s="72">
        <v>0.433</v>
      </c>
      <c r="AA11" s="72">
        <v>0.58899999999999997</v>
      </c>
      <c r="AB11" s="72">
        <f>AA11/F11</f>
        <v>0.2770460959548447</v>
      </c>
      <c r="AC11" s="72">
        <v>1.2569999999999999</v>
      </c>
      <c r="AD11" s="72">
        <f>AC11/F11</f>
        <v>0.59125117591721532</v>
      </c>
      <c r="AE11" s="72">
        <v>9.2999999999999999E-2</v>
      </c>
      <c r="AF11" s="82">
        <f>AE11/K11</f>
        <v>9.5482546201232033E-2</v>
      </c>
      <c r="AG11" s="82">
        <f>AE:AE/P:P</f>
        <v>4.6153846153846163E-2</v>
      </c>
      <c r="AH11" s="72">
        <f>AE11/N11</f>
        <v>0.62</v>
      </c>
      <c r="AI11" s="72">
        <v>0.111</v>
      </c>
      <c r="AJ11" s="72">
        <v>8.3000000000000004E-2</v>
      </c>
      <c r="AK11" s="72">
        <f t="shared" si="6"/>
        <v>1.3373493975903614</v>
      </c>
      <c r="AL11" s="72">
        <f>AI11/AE11</f>
        <v>1.1935483870967742</v>
      </c>
      <c r="AM11" s="72">
        <f>AI11/N11</f>
        <v>0.74</v>
      </c>
      <c r="AN11" s="72">
        <f t="shared" si="19"/>
        <v>0.11396303901437373</v>
      </c>
      <c r="AO11" s="72">
        <f t="shared" si="7"/>
        <v>0.395017793594306</v>
      </c>
      <c r="AP11" s="72">
        <v>0.28100000000000003</v>
      </c>
      <c r="AQ11" s="72">
        <v>0.16300000000000001</v>
      </c>
      <c r="AR11" s="72">
        <f t="shared" si="8"/>
        <v>0.13217309501411101</v>
      </c>
      <c r="AS11" s="72">
        <f t="shared" si="9"/>
        <v>1.7239263803680982</v>
      </c>
      <c r="AT11" s="72">
        <f t="shared" si="10"/>
        <v>0.2885010266940452</v>
      </c>
      <c r="AU11" s="72">
        <v>0.11700000000000001</v>
      </c>
      <c r="AV11" s="72">
        <v>0.154</v>
      </c>
      <c r="AW11" s="72">
        <f t="shared" si="15"/>
        <v>0.75974025974025983</v>
      </c>
      <c r="AX11" s="82">
        <f t="shared" si="16"/>
        <v>2.4017094017094016</v>
      </c>
      <c r="AY11" s="84">
        <v>6</v>
      </c>
      <c r="AZ11" s="84">
        <v>7</v>
      </c>
      <c r="BA11" s="84">
        <v>6</v>
      </c>
      <c r="BB11" s="82" t="s">
        <v>75</v>
      </c>
      <c r="BC11" s="85">
        <v>8</v>
      </c>
    </row>
    <row r="12" spans="2:55" x14ac:dyDescent="0.2">
      <c r="B12" s="69"/>
      <c r="C12" s="71"/>
      <c r="D12" s="71"/>
      <c r="E12" s="71"/>
      <c r="F12" s="72">
        <f>1.1+1.026</f>
        <v>2.1260000000000003</v>
      </c>
      <c r="G12" s="82" t="s">
        <v>75</v>
      </c>
      <c r="H12" s="82" t="s">
        <v>75</v>
      </c>
      <c r="I12" s="72">
        <v>0.1</v>
      </c>
      <c r="J12" s="72">
        <v>6.6000000000000003E-2</v>
      </c>
      <c r="K12" s="72">
        <v>0.95699999999999996</v>
      </c>
      <c r="L12" s="72">
        <v>0.76100000000000001</v>
      </c>
      <c r="M12" s="72">
        <v>0.74</v>
      </c>
      <c r="N12" s="72">
        <v>0.13700000000000001</v>
      </c>
      <c r="O12" s="82" t="s">
        <v>75</v>
      </c>
      <c r="P12" s="82" t="s">
        <v>75</v>
      </c>
      <c r="Q12" s="82" t="s">
        <v>75</v>
      </c>
      <c r="R12" s="82">
        <f t="shared" si="0"/>
        <v>0.77324973876698022</v>
      </c>
      <c r="S12" s="82">
        <f t="shared" si="1"/>
        <v>0.79519331243469182</v>
      </c>
      <c r="T12" s="82" t="s">
        <v>75</v>
      </c>
      <c r="U12" s="72">
        <v>0.33600000000000002</v>
      </c>
      <c r="V12" s="82" t="s">
        <v>75</v>
      </c>
      <c r="W12" s="72">
        <v>0.749</v>
      </c>
      <c r="X12" s="72">
        <v>0.126</v>
      </c>
      <c r="Y12" s="82">
        <f t="shared" si="14"/>
        <v>5.9444444444444446</v>
      </c>
      <c r="Z12" s="82" t="s">
        <v>75</v>
      </c>
      <c r="AA12" s="72">
        <v>0.63300000000000001</v>
      </c>
      <c r="AB12" s="72">
        <f>AA12/F12</f>
        <v>0.29774223894637813</v>
      </c>
      <c r="AC12" s="72">
        <v>1.2889999999999999</v>
      </c>
      <c r="AD12" s="72">
        <f>AC12/F12</f>
        <v>0.60630291627469413</v>
      </c>
      <c r="AE12" s="72">
        <v>0.109</v>
      </c>
      <c r="AF12" s="82">
        <f>AE12/K12</f>
        <v>0.11389759665621735</v>
      </c>
      <c r="AG12" s="82" t="s">
        <v>75</v>
      </c>
      <c r="AH12" s="72">
        <f>AE12/N12</f>
        <v>0.7956204379562043</v>
      </c>
      <c r="AI12" s="72">
        <v>0.111</v>
      </c>
      <c r="AJ12" s="72">
        <v>8.3000000000000004E-2</v>
      </c>
      <c r="AK12" s="72">
        <f t="shared" si="6"/>
        <v>1.3373493975903614</v>
      </c>
      <c r="AL12" s="72">
        <f>AI12/AE12</f>
        <v>1.0183486238532111</v>
      </c>
      <c r="AM12" s="72">
        <f>AI12/N12</f>
        <v>0.81021897810218968</v>
      </c>
      <c r="AN12" s="72">
        <f t="shared" si="19"/>
        <v>0.11598746081504703</v>
      </c>
      <c r="AO12" s="72">
        <f t="shared" si="7"/>
        <v>0.38275862068965522</v>
      </c>
      <c r="AP12" s="72">
        <v>0.28999999999999998</v>
      </c>
      <c r="AQ12" s="72">
        <v>0.121</v>
      </c>
      <c r="AR12" s="72">
        <f t="shared" si="8"/>
        <v>0.1364063969896519</v>
      </c>
      <c r="AS12" s="72">
        <f t="shared" si="9"/>
        <v>2.3966942148760331</v>
      </c>
      <c r="AT12" s="72">
        <f t="shared" si="10"/>
        <v>0.30303030303030304</v>
      </c>
      <c r="AU12" s="72">
        <v>0.11700000000000001</v>
      </c>
      <c r="AV12" s="72">
        <v>0.154</v>
      </c>
      <c r="AW12" s="72">
        <f t="shared" ref="AW12" si="24">AU12/AV12</f>
        <v>0.75974025974025983</v>
      </c>
      <c r="AX12" s="82">
        <f t="shared" ref="AX12" si="25">AP12/AU12</f>
        <v>2.4786324786324783</v>
      </c>
      <c r="AY12" s="82" t="s">
        <v>75</v>
      </c>
      <c r="AZ12" s="84">
        <v>8</v>
      </c>
      <c r="BA12" s="82" t="s">
        <v>75</v>
      </c>
      <c r="BB12" s="82" t="s">
        <v>75</v>
      </c>
      <c r="BC12" s="212" t="s">
        <v>75</v>
      </c>
    </row>
    <row r="13" spans="2:55" x14ac:dyDescent="0.2">
      <c r="B13" s="86">
        <v>21761</v>
      </c>
      <c r="C13" s="76" t="s">
        <v>248</v>
      </c>
      <c r="D13" s="77" t="s">
        <v>242</v>
      </c>
      <c r="E13" s="77" t="s">
        <v>247</v>
      </c>
      <c r="F13" s="78">
        <f>1.147+0.774</f>
        <v>1.921</v>
      </c>
      <c r="G13" s="80" t="s">
        <v>75</v>
      </c>
      <c r="H13" s="80" t="s">
        <v>75</v>
      </c>
      <c r="I13" s="78">
        <v>9.2999999999999999E-2</v>
      </c>
      <c r="J13" s="78">
        <v>6.2E-2</v>
      </c>
      <c r="K13" s="78">
        <v>0.83</v>
      </c>
      <c r="L13" s="78">
        <v>0.69499999999999995</v>
      </c>
      <c r="M13" s="78">
        <v>0.72299999999999998</v>
      </c>
      <c r="N13" s="80" t="s">
        <v>75</v>
      </c>
      <c r="O13" s="80" t="s">
        <v>75</v>
      </c>
      <c r="P13" s="80" t="s">
        <v>75</v>
      </c>
      <c r="Q13" s="80" t="s">
        <v>75</v>
      </c>
      <c r="R13" s="80">
        <f t="shared" si="0"/>
        <v>0.87108433734939761</v>
      </c>
      <c r="S13" s="80">
        <f t="shared" si="1"/>
        <v>0.83734939759036142</v>
      </c>
      <c r="T13" s="80" t="s">
        <v>75</v>
      </c>
      <c r="U13" s="80" t="s">
        <v>75</v>
      </c>
      <c r="V13" s="80" t="s">
        <v>75</v>
      </c>
      <c r="W13" s="78">
        <v>0.65700000000000003</v>
      </c>
      <c r="X13" s="78">
        <v>0.14499999999999999</v>
      </c>
      <c r="Y13" s="80">
        <f t="shared" si="14"/>
        <v>4.5310344827586215</v>
      </c>
      <c r="Z13" s="78">
        <v>0.42</v>
      </c>
      <c r="AA13" s="78">
        <v>0.52</v>
      </c>
      <c r="AB13" s="78">
        <f>AA13/F13</f>
        <v>0.27069234773555439</v>
      </c>
      <c r="AC13" s="78">
        <v>1.214</v>
      </c>
      <c r="AD13" s="78">
        <f>AC13/F13</f>
        <v>0.63196251952108273</v>
      </c>
      <c r="AE13" s="78">
        <v>0.112</v>
      </c>
      <c r="AF13" s="80">
        <f>AE13/K13</f>
        <v>0.13493975903614458</v>
      </c>
      <c r="AG13" s="80" t="s">
        <v>75</v>
      </c>
      <c r="AH13" s="80" t="s">
        <v>75</v>
      </c>
      <c r="AI13" s="80" t="s">
        <v>75</v>
      </c>
      <c r="AJ13" s="80" t="s">
        <v>75</v>
      </c>
      <c r="AK13" s="80" t="s">
        <v>75</v>
      </c>
      <c r="AL13" s="80" t="s">
        <v>75</v>
      </c>
      <c r="AM13" s="80" t="s">
        <v>75</v>
      </c>
      <c r="AN13" s="80" t="s">
        <v>75</v>
      </c>
      <c r="AO13" s="80" t="s">
        <v>75</v>
      </c>
      <c r="AP13" s="78">
        <v>0.20799999999999999</v>
      </c>
      <c r="AQ13" s="78">
        <v>0.152</v>
      </c>
      <c r="AR13" s="78">
        <f t="shared" si="8"/>
        <v>0.10827693909422176</v>
      </c>
      <c r="AS13" s="78">
        <f t="shared" si="9"/>
        <v>1.368421052631579</v>
      </c>
      <c r="AT13" s="78">
        <f t="shared" si="10"/>
        <v>0.25060240963855424</v>
      </c>
      <c r="AU13" s="78">
        <v>0.10199999999999999</v>
      </c>
      <c r="AV13" s="78">
        <v>0.152</v>
      </c>
      <c r="AW13" s="78">
        <f t="shared" si="15"/>
        <v>0.67105263157894735</v>
      </c>
      <c r="AX13" s="80">
        <f t="shared" si="16"/>
        <v>2.0392156862745097</v>
      </c>
      <c r="AY13" s="87">
        <v>5</v>
      </c>
      <c r="AZ13" s="87">
        <v>8</v>
      </c>
      <c r="BA13" s="80" t="s">
        <v>75</v>
      </c>
      <c r="BB13" s="87">
        <v>5</v>
      </c>
      <c r="BC13" s="88">
        <v>7</v>
      </c>
    </row>
    <row r="14" spans="2:55" x14ac:dyDescent="0.2">
      <c r="B14" s="75"/>
      <c r="C14" s="77"/>
      <c r="D14" s="77"/>
      <c r="E14" s="77"/>
      <c r="F14" s="78">
        <f>1.147+0.774</f>
        <v>1.921</v>
      </c>
      <c r="G14" s="80" t="s">
        <v>75</v>
      </c>
      <c r="H14" s="80" t="s">
        <v>75</v>
      </c>
      <c r="I14" s="78">
        <v>9.7000000000000003E-2</v>
      </c>
      <c r="J14" s="78">
        <v>6.0999999999999999E-2</v>
      </c>
      <c r="K14" s="78">
        <v>0.83899999999999997</v>
      </c>
      <c r="L14" s="78">
        <v>0.66900000000000004</v>
      </c>
      <c r="M14" s="78">
        <v>0.69499999999999995</v>
      </c>
      <c r="N14" s="80" t="s">
        <v>75</v>
      </c>
      <c r="O14" s="80" t="s">
        <v>75</v>
      </c>
      <c r="P14" s="80" t="s">
        <v>75</v>
      </c>
      <c r="Q14" s="80" t="s">
        <v>75</v>
      </c>
      <c r="R14" s="80">
        <f t="shared" si="0"/>
        <v>0.82836710369487487</v>
      </c>
      <c r="S14" s="80">
        <f t="shared" si="1"/>
        <v>0.79737783075089397</v>
      </c>
      <c r="T14" s="80" t="s">
        <v>75</v>
      </c>
      <c r="U14" s="80" t="s">
        <v>75</v>
      </c>
      <c r="V14" s="80" t="s">
        <v>75</v>
      </c>
      <c r="W14" s="78">
        <v>0.67200000000000004</v>
      </c>
      <c r="X14" s="78">
        <v>0.13</v>
      </c>
      <c r="Y14" s="80">
        <f t="shared" si="14"/>
        <v>5.1692307692307695</v>
      </c>
      <c r="Z14" s="80" t="s">
        <v>75</v>
      </c>
      <c r="AA14" s="80" t="s">
        <v>75</v>
      </c>
      <c r="AB14" s="80" t="s">
        <v>75</v>
      </c>
      <c r="AC14" s="80" t="s">
        <v>75</v>
      </c>
      <c r="AD14" s="80" t="s">
        <v>75</v>
      </c>
      <c r="AE14" s="80" t="s">
        <v>75</v>
      </c>
      <c r="AF14" s="80" t="s">
        <v>75</v>
      </c>
      <c r="AG14" s="80" t="s">
        <v>75</v>
      </c>
      <c r="AH14" s="80" t="s">
        <v>75</v>
      </c>
      <c r="AI14" s="80" t="s">
        <v>75</v>
      </c>
      <c r="AJ14" s="80" t="s">
        <v>75</v>
      </c>
      <c r="AK14" s="80" t="s">
        <v>75</v>
      </c>
      <c r="AL14" s="80" t="s">
        <v>75</v>
      </c>
      <c r="AM14" s="80" t="s">
        <v>75</v>
      </c>
      <c r="AN14" s="80" t="s">
        <v>75</v>
      </c>
      <c r="AO14" s="80" t="s">
        <v>75</v>
      </c>
      <c r="AP14" s="80" t="s">
        <v>75</v>
      </c>
      <c r="AQ14" s="80" t="s">
        <v>75</v>
      </c>
      <c r="AR14" s="80" t="s">
        <v>75</v>
      </c>
      <c r="AS14" s="80" t="s">
        <v>75</v>
      </c>
      <c r="AT14" s="80" t="s">
        <v>75</v>
      </c>
      <c r="AU14" s="78">
        <v>0.10199999999999999</v>
      </c>
      <c r="AV14" s="78">
        <v>0.152</v>
      </c>
      <c r="AW14" s="78">
        <f t="shared" ref="AW14" si="26">AU14/AV14</f>
        <v>0.67105263157894735</v>
      </c>
      <c r="AX14" s="80" t="s">
        <v>75</v>
      </c>
      <c r="AY14" s="80" t="s">
        <v>75</v>
      </c>
      <c r="AZ14" s="87">
        <v>9</v>
      </c>
      <c r="BA14" s="80" t="s">
        <v>75</v>
      </c>
      <c r="BB14" s="80" t="s">
        <v>75</v>
      </c>
      <c r="BC14" s="210" t="s">
        <v>75</v>
      </c>
    </row>
    <row r="15" spans="2:55" x14ac:dyDescent="0.2">
      <c r="B15" s="83">
        <v>21761</v>
      </c>
      <c r="C15" s="70" t="s">
        <v>248</v>
      </c>
      <c r="D15" s="71" t="s">
        <v>242</v>
      </c>
      <c r="E15" s="71" t="s">
        <v>247</v>
      </c>
      <c r="F15" s="72">
        <f>0.988+0.893</f>
        <v>1.881</v>
      </c>
      <c r="G15" s="82">
        <f>I15+J15+K15+L15+M15+N15+O15</f>
        <v>4.4589999999999996</v>
      </c>
      <c r="H15" s="82">
        <f>G15/F15</f>
        <v>2.3705475810738967</v>
      </c>
      <c r="I15" s="72">
        <v>9.9000000000000005E-2</v>
      </c>
      <c r="J15" s="72">
        <v>0.05</v>
      </c>
      <c r="K15" s="72">
        <v>0.93200000000000005</v>
      </c>
      <c r="L15" s="72">
        <v>0.79400000000000004</v>
      </c>
      <c r="M15" s="72">
        <v>0.71499999999999997</v>
      </c>
      <c r="N15" s="72">
        <v>0.156</v>
      </c>
      <c r="O15" s="72">
        <v>1.7130000000000001</v>
      </c>
      <c r="P15" s="82">
        <f>N:N+O:O</f>
        <v>1.869</v>
      </c>
      <c r="Q15" s="82">
        <f t="shared" si="11"/>
        <v>2.0053648068669525</v>
      </c>
      <c r="R15" s="82">
        <f t="shared" si="0"/>
        <v>0.76716738197424883</v>
      </c>
      <c r="S15" s="82">
        <f t="shared" si="1"/>
        <v>0.85193133047210301</v>
      </c>
      <c r="T15" s="82">
        <f t="shared" si="12"/>
        <v>10.980769230769232</v>
      </c>
      <c r="U15" s="72">
        <v>0.29199999999999998</v>
      </c>
      <c r="V15" s="82">
        <f t="shared" si="13"/>
        <v>15.270547945205479</v>
      </c>
      <c r="W15" s="72">
        <v>0.74399999999999999</v>
      </c>
      <c r="X15" s="72">
        <v>0.11899999999999999</v>
      </c>
      <c r="Y15" s="82">
        <f t="shared" si="14"/>
        <v>6.2521008403361344</v>
      </c>
      <c r="Z15" s="72">
        <v>0.47</v>
      </c>
      <c r="AA15" s="72">
        <v>0.60399999999999998</v>
      </c>
      <c r="AB15" s="72">
        <f t="shared" ref="AB15:AB24" si="27">AA15/F15</f>
        <v>0.32110579479000528</v>
      </c>
      <c r="AC15" s="72">
        <v>1.2609999999999999</v>
      </c>
      <c r="AD15" s="72">
        <f>AC15/F15</f>
        <v>0.67038809144072298</v>
      </c>
      <c r="AE15" s="72">
        <v>0.105</v>
      </c>
      <c r="AF15" s="82">
        <f>AE15/K15</f>
        <v>0.11266094420600857</v>
      </c>
      <c r="AG15" s="82">
        <f>AE:AE/P:P</f>
        <v>5.6179775280898875E-2</v>
      </c>
      <c r="AH15" s="72">
        <f>AE15/N15</f>
        <v>0.67307692307692302</v>
      </c>
      <c r="AI15" s="72">
        <v>0.11600000000000001</v>
      </c>
      <c r="AJ15" s="72">
        <v>6.2E-2</v>
      </c>
      <c r="AK15" s="72">
        <f t="shared" si="6"/>
        <v>1.870967741935484</v>
      </c>
      <c r="AL15" s="72">
        <f>AI15/AE15</f>
        <v>1.1047619047619048</v>
      </c>
      <c r="AM15" s="72">
        <f>AI15/N15</f>
        <v>0.74358974358974361</v>
      </c>
      <c r="AN15" s="72">
        <f t="shared" ref="AN15:AN24" si="28">AI15/K15</f>
        <v>0.12446351931330472</v>
      </c>
      <c r="AO15" s="72">
        <f t="shared" si="7"/>
        <v>0.45136186770428016</v>
      </c>
      <c r="AP15" s="72">
        <v>0.25700000000000001</v>
      </c>
      <c r="AQ15" s="72">
        <v>0.127</v>
      </c>
      <c r="AR15" s="72">
        <f t="shared" ref="AR15:AR24" si="29">AP15/F15</f>
        <v>0.1366294524189261</v>
      </c>
      <c r="AS15" s="72">
        <f t="shared" si="9"/>
        <v>2.0236220472440944</v>
      </c>
      <c r="AT15" s="72">
        <f t="shared" ref="AT15:AT24" si="30">AP15/K15</f>
        <v>0.27575107296137336</v>
      </c>
      <c r="AU15" s="72">
        <v>0.11600000000000001</v>
      </c>
      <c r="AV15" s="72">
        <v>0.186</v>
      </c>
      <c r="AW15" s="72">
        <f t="shared" si="15"/>
        <v>0.62365591397849462</v>
      </c>
      <c r="AX15" s="82">
        <f t="shared" si="16"/>
        <v>2.2155172413793105</v>
      </c>
      <c r="AY15" s="84">
        <v>5</v>
      </c>
      <c r="AZ15" s="84">
        <v>9</v>
      </c>
      <c r="BA15" s="84">
        <v>9</v>
      </c>
      <c r="BB15" s="84">
        <v>5</v>
      </c>
      <c r="BC15" s="85">
        <v>7</v>
      </c>
    </row>
    <row r="16" spans="2:55" x14ac:dyDescent="0.2">
      <c r="B16" s="69"/>
      <c r="C16" s="71"/>
      <c r="D16" s="71"/>
      <c r="E16" s="71"/>
      <c r="F16" s="72">
        <f>0.988+0.893</f>
        <v>1.881</v>
      </c>
      <c r="G16" s="82">
        <f>I16+J16+K16+L16+M16+N16+O16</f>
        <v>4.516</v>
      </c>
      <c r="H16" s="82">
        <f>G16/F16</f>
        <v>2.400850611376927</v>
      </c>
      <c r="I16" s="72">
        <v>8.4000000000000005E-2</v>
      </c>
      <c r="J16" s="72">
        <v>4.1000000000000002E-2</v>
      </c>
      <c r="K16" s="72">
        <v>0.92200000000000004</v>
      </c>
      <c r="L16" s="72">
        <v>0.77</v>
      </c>
      <c r="M16" s="72">
        <v>0.754</v>
      </c>
      <c r="N16" s="72">
        <v>0.16</v>
      </c>
      <c r="O16" s="72">
        <f>0.426+0.321+0.337+0.701</f>
        <v>1.7850000000000001</v>
      </c>
      <c r="P16" s="82">
        <f>N:N+O:O</f>
        <v>1.9450000000000001</v>
      </c>
      <c r="Q16" s="82">
        <f t="shared" si="11"/>
        <v>2.1095444685466376</v>
      </c>
      <c r="R16" s="82">
        <f t="shared" si="0"/>
        <v>0.81778741865509763</v>
      </c>
      <c r="S16" s="82">
        <f t="shared" si="1"/>
        <v>0.83514099783080253</v>
      </c>
      <c r="T16" s="82">
        <f t="shared" si="12"/>
        <v>11.15625</v>
      </c>
      <c r="U16" s="72">
        <v>0.29199999999999998</v>
      </c>
      <c r="V16" s="82">
        <f t="shared" si="13"/>
        <v>15.465753424657535</v>
      </c>
      <c r="W16" s="72">
        <v>0.72199999999999998</v>
      </c>
      <c r="X16" s="72">
        <v>0.156</v>
      </c>
      <c r="Y16" s="82">
        <f t="shared" si="14"/>
        <v>4.6282051282051277</v>
      </c>
      <c r="Z16" s="72">
        <v>0.46</v>
      </c>
      <c r="AA16" s="72">
        <v>0.57799999999999996</v>
      </c>
      <c r="AB16" s="72">
        <f t="shared" si="27"/>
        <v>0.30728335991493883</v>
      </c>
      <c r="AC16" s="82" t="s">
        <v>75</v>
      </c>
      <c r="AD16" s="82" t="s">
        <v>75</v>
      </c>
      <c r="AE16" s="82" t="s">
        <v>75</v>
      </c>
      <c r="AF16" s="82" t="s">
        <v>75</v>
      </c>
      <c r="AG16" s="82" t="s">
        <v>75</v>
      </c>
      <c r="AH16" s="82" t="s">
        <v>75</v>
      </c>
      <c r="AI16" s="72">
        <v>0.11600000000000001</v>
      </c>
      <c r="AJ16" s="72">
        <v>6.2E-2</v>
      </c>
      <c r="AK16" s="72">
        <f t="shared" si="6"/>
        <v>1.870967741935484</v>
      </c>
      <c r="AL16" s="82" t="s">
        <v>75</v>
      </c>
      <c r="AM16" s="72">
        <f>AI16/N16</f>
        <v>0.72499999999999998</v>
      </c>
      <c r="AN16" s="72">
        <f t="shared" si="28"/>
        <v>0.12581344902386118</v>
      </c>
      <c r="AO16" s="72">
        <f t="shared" si="7"/>
        <v>0.43609022556390975</v>
      </c>
      <c r="AP16" s="72">
        <v>0.26600000000000001</v>
      </c>
      <c r="AQ16" s="72">
        <v>0.107</v>
      </c>
      <c r="AR16" s="72">
        <f t="shared" si="29"/>
        <v>0.14141414141414141</v>
      </c>
      <c r="AS16" s="72">
        <f t="shared" si="9"/>
        <v>2.485981308411215</v>
      </c>
      <c r="AT16" s="72">
        <f t="shared" si="30"/>
        <v>0.28850325379609543</v>
      </c>
      <c r="AU16" s="72">
        <v>0.11600000000000001</v>
      </c>
      <c r="AV16" s="72">
        <v>0.186</v>
      </c>
      <c r="AW16" s="72">
        <f t="shared" ref="AW16" si="31">AU16/AV16</f>
        <v>0.62365591397849462</v>
      </c>
      <c r="AX16" s="82">
        <f t="shared" ref="AX16" si="32">AP16/AU16</f>
        <v>2.2931034482758621</v>
      </c>
      <c r="AY16" s="82" t="s">
        <v>75</v>
      </c>
      <c r="AZ16" s="84">
        <v>10</v>
      </c>
      <c r="BA16" s="82" t="s">
        <v>75</v>
      </c>
      <c r="BB16" s="82" t="s">
        <v>75</v>
      </c>
      <c r="BC16" s="212" t="s">
        <v>75</v>
      </c>
    </row>
    <row r="17" spans="2:55" x14ac:dyDescent="0.2">
      <c r="B17" s="86">
        <v>21761</v>
      </c>
      <c r="C17" s="76" t="s">
        <v>248</v>
      </c>
      <c r="D17" s="77" t="s">
        <v>242</v>
      </c>
      <c r="E17" s="77" t="s">
        <v>247</v>
      </c>
      <c r="F17" s="78">
        <f>1.467+0.18</f>
        <v>1.647</v>
      </c>
      <c r="G17" s="80">
        <f>I17+J17+K17+L17+M17+N17+O17</f>
        <v>4.5059999999999993</v>
      </c>
      <c r="H17" s="80">
        <f>G17/F17</f>
        <v>2.7358834244080144</v>
      </c>
      <c r="I17" s="78">
        <v>9.1999999999999998E-2</v>
      </c>
      <c r="J17" s="78">
        <v>6.2E-2</v>
      </c>
      <c r="K17" s="78">
        <v>0.91900000000000004</v>
      </c>
      <c r="L17" s="78">
        <v>0.66800000000000004</v>
      </c>
      <c r="M17" s="78">
        <v>0.70799999999999996</v>
      </c>
      <c r="N17" s="78">
        <v>0.13800000000000001</v>
      </c>
      <c r="O17" s="78">
        <f>0.823+0.315+0.202+0.344+0.235</f>
        <v>1.9189999999999996</v>
      </c>
      <c r="P17" s="80">
        <f>N:N+O:O</f>
        <v>2.0569999999999995</v>
      </c>
      <c r="Q17" s="80">
        <f t="shared" si="11"/>
        <v>2.2383025027203476</v>
      </c>
      <c r="R17" s="80">
        <f t="shared" si="0"/>
        <v>0.77040261153427636</v>
      </c>
      <c r="S17" s="80">
        <f t="shared" si="1"/>
        <v>0.72687704026115341</v>
      </c>
      <c r="T17" s="80">
        <f t="shared" si="12"/>
        <v>13.905797101449272</v>
      </c>
      <c r="U17" s="78">
        <v>0.28399999999999997</v>
      </c>
      <c r="V17" s="80">
        <f t="shared" si="13"/>
        <v>15.86619718309859</v>
      </c>
      <c r="W17" s="78">
        <v>0.72099999999999997</v>
      </c>
      <c r="X17" s="78">
        <v>0.14199999999999999</v>
      </c>
      <c r="Y17" s="80">
        <f t="shared" si="14"/>
        <v>5.0774647887323949</v>
      </c>
      <c r="Z17" s="78">
        <v>0.438</v>
      </c>
      <c r="AA17" s="78">
        <v>0.60299999999999998</v>
      </c>
      <c r="AB17" s="78">
        <f t="shared" si="27"/>
        <v>0.36612021857923494</v>
      </c>
      <c r="AC17" s="78">
        <f>0.476+0.826</f>
        <v>1.302</v>
      </c>
      <c r="AD17" s="78">
        <f t="shared" ref="AD17:AD24" si="33">AC17/F17</f>
        <v>0.79052823315118403</v>
      </c>
      <c r="AE17" s="78">
        <v>0.114</v>
      </c>
      <c r="AF17" s="80">
        <f t="shared" ref="AF17:AF24" si="34">AE17/K17</f>
        <v>0.12404787812840043</v>
      </c>
      <c r="AG17" s="80">
        <f>AE:AE/P:P</f>
        <v>5.5420515313563457E-2</v>
      </c>
      <c r="AH17" s="78">
        <f>AE17/N17</f>
        <v>0.82608695652173914</v>
      </c>
      <c r="AI17" s="78">
        <v>0.106</v>
      </c>
      <c r="AJ17" s="78">
        <v>8.3000000000000004E-2</v>
      </c>
      <c r="AK17" s="78">
        <f t="shared" si="6"/>
        <v>1.2771084337349397</v>
      </c>
      <c r="AL17" s="78">
        <f t="shared" ref="AL17:AL24" si="35">AI17/AE17</f>
        <v>0.92982456140350866</v>
      </c>
      <c r="AM17" s="78">
        <f>AI17/N17</f>
        <v>0.76811594202898548</v>
      </c>
      <c r="AN17" s="78">
        <f t="shared" si="28"/>
        <v>0.11534276387377583</v>
      </c>
      <c r="AO17" s="78">
        <f t="shared" si="7"/>
        <v>0.43089430894308944</v>
      </c>
      <c r="AP17" s="78">
        <v>0.246</v>
      </c>
      <c r="AQ17" s="78">
        <v>0.13</v>
      </c>
      <c r="AR17" s="78">
        <f t="shared" si="29"/>
        <v>0.1493624772313297</v>
      </c>
      <c r="AS17" s="78">
        <f t="shared" si="9"/>
        <v>1.8923076923076922</v>
      </c>
      <c r="AT17" s="78">
        <f t="shared" si="30"/>
        <v>0.26768226332970618</v>
      </c>
      <c r="AU17" s="78">
        <v>0.104</v>
      </c>
      <c r="AV17" s="78">
        <v>0.109</v>
      </c>
      <c r="AW17" s="78">
        <f t="shared" si="15"/>
        <v>0.95412844036697242</v>
      </c>
      <c r="AX17" s="80">
        <f t="shared" si="16"/>
        <v>2.3653846153846154</v>
      </c>
      <c r="AY17" s="87">
        <v>4</v>
      </c>
      <c r="AZ17" s="87">
        <v>7</v>
      </c>
      <c r="BA17" s="87">
        <v>7</v>
      </c>
      <c r="BB17" s="80" t="s">
        <v>75</v>
      </c>
      <c r="BC17" s="88">
        <v>8</v>
      </c>
    </row>
    <row r="18" spans="2:55" x14ac:dyDescent="0.2">
      <c r="B18" s="75"/>
      <c r="C18" s="77"/>
      <c r="D18" s="77"/>
      <c r="E18" s="77"/>
      <c r="F18" s="78">
        <f>1.467+0.18</f>
        <v>1.647</v>
      </c>
      <c r="G18" s="80" t="s">
        <v>75</v>
      </c>
      <c r="H18" s="80" t="s">
        <v>75</v>
      </c>
      <c r="I18" s="78">
        <v>8.8999999999999996E-2</v>
      </c>
      <c r="J18" s="78">
        <v>0.06</v>
      </c>
      <c r="K18" s="78">
        <v>0.92500000000000004</v>
      </c>
      <c r="L18" s="78">
        <v>0.73899999999999999</v>
      </c>
      <c r="M18" s="80" t="s">
        <v>75</v>
      </c>
      <c r="N18" s="80" t="s">
        <v>75</v>
      </c>
      <c r="O18" s="80" t="s">
        <v>75</v>
      </c>
      <c r="P18" s="80" t="s">
        <v>75</v>
      </c>
      <c r="Q18" s="80" t="s">
        <v>75</v>
      </c>
      <c r="R18" s="80" t="s">
        <v>75</v>
      </c>
      <c r="S18" s="80">
        <f t="shared" si="1"/>
        <v>0.79891891891891886</v>
      </c>
      <c r="T18" s="80" t="s">
        <v>75</v>
      </c>
      <c r="U18" s="78">
        <v>0.28399999999999997</v>
      </c>
      <c r="V18" s="80" t="s">
        <v>75</v>
      </c>
      <c r="W18" s="78">
        <v>0.745</v>
      </c>
      <c r="X18" s="78">
        <v>0.13700000000000001</v>
      </c>
      <c r="Y18" s="80">
        <f t="shared" si="14"/>
        <v>5.437956204379562</v>
      </c>
      <c r="Z18" s="78">
        <v>0.47499999999999998</v>
      </c>
      <c r="AA18" s="78">
        <v>0.59399999999999997</v>
      </c>
      <c r="AB18" s="78">
        <f t="shared" si="27"/>
        <v>0.36065573770491799</v>
      </c>
      <c r="AC18" s="78">
        <v>1.3049999999999999</v>
      </c>
      <c r="AD18" s="78">
        <f t="shared" si="33"/>
        <v>0.79234972677595628</v>
      </c>
      <c r="AE18" s="78">
        <v>0.109</v>
      </c>
      <c r="AF18" s="80">
        <f t="shared" si="34"/>
        <v>0.11783783783783783</v>
      </c>
      <c r="AG18" s="80" t="s">
        <v>75</v>
      </c>
      <c r="AH18" s="80" t="s">
        <v>75</v>
      </c>
      <c r="AI18" s="78">
        <v>0.106</v>
      </c>
      <c r="AJ18" s="78">
        <v>8.3000000000000004E-2</v>
      </c>
      <c r="AK18" s="78">
        <f t="shared" si="6"/>
        <v>1.2771084337349397</v>
      </c>
      <c r="AL18" s="78">
        <f t="shared" si="35"/>
        <v>0.97247706422018343</v>
      </c>
      <c r="AM18" s="80" t="s">
        <v>75</v>
      </c>
      <c r="AN18" s="78">
        <f t="shared" si="28"/>
        <v>0.11459459459459459</v>
      </c>
      <c r="AO18" s="78">
        <f t="shared" si="7"/>
        <v>0.42741935483870969</v>
      </c>
      <c r="AP18" s="78">
        <v>0.248</v>
      </c>
      <c r="AQ18" s="78">
        <v>0.13100000000000001</v>
      </c>
      <c r="AR18" s="78">
        <f t="shared" si="29"/>
        <v>0.15057680631451123</v>
      </c>
      <c r="AS18" s="78">
        <f t="shared" si="9"/>
        <v>1.8931297709923662</v>
      </c>
      <c r="AT18" s="78">
        <f t="shared" si="30"/>
        <v>0.26810810810810809</v>
      </c>
      <c r="AU18" s="78">
        <v>0.104</v>
      </c>
      <c r="AV18" s="78">
        <v>0.109</v>
      </c>
      <c r="AW18" s="78">
        <f t="shared" ref="AW18" si="36">AU18/AV18</f>
        <v>0.95412844036697242</v>
      </c>
      <c r="AX18" s="80">
        <f t="shared" ref="AX18" si="37">AP18/AU18</f>
        <v>2.3846153846153846</v>
      </c>
      <c r="AY18" s="80" t="s">
        <v>75</v>
      </c>
      <c r="AZ18" s="87">
        <v>9</v>
      </c>
      <c r="BA18" s="80" t="s">
        <v>75</v>
      </c>
      <c r="BB18" s="80" t="s">
        <v>75</v>
      </c>
      <c r="BC18" s="210" t="s">
        <v>75</v>
      </c>
    </row>
    <row r="19" spans="2:55" x14ac:dyDescent="0.2">
      <c r="B19" s="83">
        <v>22134</v>
      </c>
      <c r="C19" s="70" t="s">
        <v>248</v>
      </c>
      <c r="D19" s="71" t="s">
        <v>239</v>
      </c>
      <c r="E19" s="71" t="s">
        <v>247</v>
      </c>
      <c r="F19" s="72">
        <f>1.19+0.69</f>
        <v>1.88</v>
      </c>
      <c r="G19" s="82">
        <f>I19+J19+K19+L19+M19+N19+O19</f>
        <v>3.5900000000000003</v>
      </c>
      <c r="H19" s="82">
        <f>G19/F19</f>
        <v>1.9095744680851066</v>
      </c>
      <c r="I19" s="72">
        <v>0.12</v>
      </c>
      <c r="J19" s="72">
        <v>7.0000000000000007E-2</v>
      </c>
      <c r="K19" s="72">
        <v>0.83</v>
      </c>
      <c r="L19" s="72">
        <v>0.78</v>
      </c>
      <c r="M19" s="72">
        <v>0.76</v>
      </c>
      <c r="N19" s="72">
        <v>0.14000000000000001</v>
      </c>
      <c r="O19" s="72">
        <v>0.89</v>
      </c>
      <c r="P19" s="82">
        <f>N:N+O:O</f>
        <v>1.03</v>
      </c>
      <c r="Q19" s="82">
        <f t="shared" si="11"/>
        <v>1.2409638554216869</v>
      </c>
      <c r="R19" s="82">
        <f t="shared" si="0"/>
        <v>0.9156626506024097</v>
      </c>
      <c r="S19" s="82">
        <f t="shared" si="1"/>
        <v>0.93975903614457834</v>
      </c>
      <c r="T19" s="82">
        <f t="shared" si="12"/>
        <v>6.3571428571428568</v>
      </c>
      <c r="U19" s="72">
        <v>0.33</v>
      </c>
      <c r="V19" s="82">
        <f t="shared" si="13"/>
        <v>10.878787878787879</v>
      </c>
      <c r="W19" s="72">
        <v>0.71</v>
      </c>
      <c r="X19" s="72">
        <v>0.16</v>
      </c>
      <c r="Y19" s="82">
        <f t="shared" si="14"/>
        <v>4.4375</v>
      </c>
      <c r="Z19" s="72">
        <v>0.45</v>
      </c>
      <c r="AA19" s="72">
        <v>0.59</v>
      </c>
      <c r="AB19" s="72">
        <f t="shared" si="27"/>
        <v>0.31382978723404253</v>
      </c>
      <c r="AC19" s="72">
        <v>1.27</v>
      </c>
      <c r="AD19" s="72">
        <f t="shared" si="33"/>
        <v>0.67553191489361708</v>
      </c>
      <c r="AE19" s="72">
        <v>0.11</v>
      </c>
      <c r="AF19" s="82">
        <f t="shared" si="34"/>
        <v>0.13253012048192772</v>
      </c>
      <c r="AG19" s="82">
        <f>AE:AE/P:P</f>
        <v>0.10679611650485436</v>
      </c>
      <c r="AH19" s="72">
        <f>AE19/N19</f>
        <v>0.7857142857142857</v>
      </c>
      <c r="AI19" s="72">
        <v>0.11</v>
      </c>
      <c r="AJ19" s="72">
        <v>7.0000000000000007E-2</v>
      </c>
      <c r="AK19" s="72">
        <f t="shared" si="6"/>
        <v>1.5714285714285714</v>
      </c>
      <c r="AL19" s="72">
        <f t="shared" si="35"/>
        <v>1</v>
      </c>
      <c r="AM19" s="72">
        <f>AI19/N19</f>
        <v>0.7857142857142857</v>
      </c>
      <c r="AN19" s="72">
        <f t="shared" si="28"/>
        <v>0.13253012048192772</v>
      </c>
      <c r="AO19" s="72">
        <f t="shared" si="7"/>
        <v>0.44</v>
      </c>
      <c r="AP19" s="72">
        <v>0.25</v>
      </c>
      <c r="AQ19" s="72">
        <v>0.09</v>
      </c>
      <c r="AR19" s="72">
        <f t="shared" si="29"/>
        <v>0.13297872340425532</v>
      </c>
      <c r="AS19" s="72">
        <f t="shared" si="9"/>
        <v>2.7777777777777777</v>
      </c>
      <c r="AT19" s="72">
        <f t="shared" si="30"/>
        <v>0.30120481927710846</v>
      </c>
      <c r="AU19" s="72">
        <v>0.09</v>
      </c>
      <c r="AV19" s="72">
        <v>0.08</v>
      </c>
      <c r="AW19" s="72">
        <f t="shared" si="15"/>
        <v>1.125</v>
      </c>
      <c r="AX19" s="82">
        <f t="shared" si="16"/>
        <v>2.7777777777777777</v>
      </c>
      <c r="AY19" s="84">
        <v>5</v>
      </c>
      <c r="AZ19" s="84">
        <v>10</v>
      </c>
      <c r="BA19" s="84">
        <v>10</v>
      </c>
      <c r="BB19" s="84">
        <v>7</v>
      </c>
      <c r="BC19" s="85">
        <v>7</v>
      </c>
    </row>
    <row r="20" spans="2:55" x14ac:dyDescent="0.2">
      <c r="B20" s="69"/>
      <c r="C20" s="71"/>
      <c r="D20" s="71"/>
      <c r="E20" s="71"/>
      <c r="F20" s="72">
        <f>1.19+0.69</f>
        <v>1.88</v>
      </c>
      <c r="G20" s="82">
        <f>I20+J20+K20+L20+M20+N20+O20</f>
        <v>4.16</v>
      </c>
      <c r="H20" s="82">
        <f>G20/F20</f>
        <v>2.2127659574468086</v>
      </c>
      <c r="I20" s="72">
        <v>0.12</v>
      </c>
      <c r="J20" s="72">
        <v>0.06</v>
      </c>
      <c r="K20" s="72">
        <v>0.87</v>
      </c>
      <c r="L20" s="72">
        <v>0.77</v>
      </c>
      <c r="M20" s="72">
        <v>0.74</v>
      </c>
      <c r="N20" s="72">
        <v>0.15</v>
      </c>
      <c r="O20" s="72">
        <v>1.45</v>
      </c>
      <c r="P20" s="82">
        <f>N:N+O:O</f>
        <v>1.5999999999999999</v>
      </c>
      <c r="Q20" s="82">
        <f t="shared" si="11"/>
        <v>1.8390804597701147</v>
      </c>
      <c r="R20" s="82">
        <f t="shared" si="0"/>
        <v>0.85057471264367812</v>
      </c>
      <c r="S20" s="82">
        <f t="shared" si="1"/>
        <v>0.88505747126436785</v>
      </c>
      <c r="T20" s="82">
        <f t="shared" si="12"/>
        <v>9.6666666666666661</v>
      </c>
      <c r="U20" s="72">
        <v>0.33</v>
      </c>
      <c r="V20" s="82">
        <f t="shared" si="13"/>
        <v>12.606060606060606</v>
      </c>
      <c r="W20" s="72">
        <v>0.77</v>
      </c>
      <c r="X20" s="72">
        <v>0.12</v>
      </c>
      <c r="Y20" s="82">
        <f t="shared" si="14"/>
        <v>6.416666666666667</v>
      </c>
      <c r="Z20" s="72">
        <v>0.44</v>
      </c>
      <c r="AA20" s="72">
        <v>0.6</v>
      </c>
      <c r="AB20" s="72">
        <f t="shared" si="27"/>
        <v>0.31914893617021278</v>
      </c>
      <c r="AC20" s="72">
        <v>1.27</v>
      </c>
      <c r="AD20" s="72">
        <f t="shared" si="33"/>
        <v>0.67553191489361708</v>
      </c>
      <c r="AE20" s="72">
        <v>0.1</v>
      </c>
      <c r="AF20" s="82">
        <f t="shared" si="34"/>
        <v>0.1149425287356322</v>
      </c>
      <c r="AG20" s="82">
        <f>AE:AE/P:P</f>
        <v>6.2500000000000014E-2</v>
      </c>
      <c r="AH20" s="72">
        <f>AE20/N20</f>
        <v>0.66666666666666674</v>
      </c>
      <c r="AI20" s="72">
        <v>0.11</v>
      </c>
      <c r="AJ20" s="72">
        <v>7.0000000000000007E-2</v>
      </c>
      <c r="AK20" s="72">
        <f t="shared" si="6"/>
        <v>1.5714285714285714</v>
      </c>
      <c r="AL20" s="72">
        <f t="shared" si="35"/>
        <v>1.0999999999999999</v>
      </c>
      <c r="AM20" s="72">
        <f>AI20/N20</f>
        <v>0.73333333333333339</v>
      </c>
      <c r="AN20" s="72">
        <f t="shared" si="28"/>
        <v>0.12643678160919541</v>
      </c>
      <c r="AO20" s="72">
        <f t="shared" si="7"/>
        <v>0.45833333333333337</v>
      </c>
      <c r="AP20" s="72">
        <v>0.24</v>
      </c>
      <c r="AQ20" s="72">
        <v>0.11</v>
      </c>
      <c r="AR20" s="72">
        <f t="shared" si="29"/>
        <v>0.1276595744680851</v>
      </c>
      <c r="AS20" s="72">
        <f t="shared" si="9"/>
        <v>2.1818181818181817</v>
      </c>
      <c r="AT20" s="72">
        <f t="shared" si="30"/>
        <v>0.27586206896551724</v>
      </c>
      <c r="AU20" s="72">
        <v>0.09</v>
      </c>
      <c r="AV20" s="72">
        <v>0.08</v>
      </c>
      <c r="AW20" s="72">
        <f t="shared" ref="AW20" si="38">AU20/AV20</f>
        <v>1.125</v>
      </c>
      <c r="AX20" s="82">
        <f t="shared" ref="AX20" si="39">AP20/AU20</f>
        <v>2.6666666666666665</v>
      </c>
      <c r="AY20" s="82" t="s">
        <v>75</v>
      </c>
      <c r="AZ20" s="82" t="s">
        <v>75</v>
      </c>
      <c r="BA20" s="82" t="s">
        <v>75</v>
      </c>
      <c r="BB20" s="82" t="s">
        <v>75</v>
      </c>
      <c r="BC20" s="212" t="s">
        <v>75</v>
      </c>
    </row>
    <row r="21" spans="2:55" x14ac:dyDescent="0.2">
      <c r="B21" s="86">
        <v>22134</v>
      </c>
      <c r="C21" s="76" t="s">
        <v>248</v>
      </c>
      <c r="D21" s="77" t="s">
        <v>239</v>
      </c>
      <c r="E21" s="77" t="s">
        <v>247</v>
      </c>
      <c r="F21" s="78">
        <f>1.2+0.59</f>
        <v>1.79</v>
      </c>
      <c r="G21" s="80" t="s">
        <v>75</v>
      </c>
      <c r="H21" s="80" t="s">
        <v>75</v>
      </c>
      <c r="I21" s="78">
        <v>0.1</v>
      </c>
      <c r="J21" s="78">
        <v>0.06</v>
      </c>
      <c r="K21" s="78">
        <v>0.92</v>
      </c>
      <c r="L21" s="78">
        <v>0.76</v>
      </c>
      <c r="M21" s="78">
        <v>0.7</v>
      </c>
      <c r="N21" s="80" t="s">
        <v>75</v>
      </c>
      <c r="O21" s="80" t="s">
        <v>75</v>
      </c>
      <c r="P21" s="80" t="s">
        <v>75</v>
      </c>
      <c r="Q21" s="80" t="s">
        <v>75</v>
      </c>
      <c r="R21" s="80">
        <f t="shared" si="0"/>
        <v>0.76086956521739124</v>
      </c>
      <c r="S21" s="80">
        <f t="shared" si="1"/>
        <v>0.82608695652173914</v>
      </c>
      <c r="T21" s="80" t="s">
        <v>75</v>
      </c>
      <c r="U21" s="78">
        <v>0.33</v>
      </c>
      <c r="V21" s="80" t="s">
        <v>75</v>
      </c>
      <c r="W21" s="78">
        <v>0.72</v>
      </c>
      <c r="X21" s="78">
        <v>0.12</v>
      </c>
      <c r="Y21" s="80">
        <f t="shared" si="14"/>
        <v>6</v>
      </c>
      <c r="Z21" s="78">
        <v>0.42</v>
      </c>
      <c r="AA21" s="78">
        <v>0.6</v>
      </c>
      <c r="AB21" s="78">
        <f t="shared" si="27"/>
        <v>0.33519553072625696</v>
      </c>
      <c r="AC21" s="78">
        <v>1.29</v>
      </c>
      <c r="AD21" s="78">
        <f t="shared" si="33"/>
        <v>0.72067039106145248</v>
      </c>
      <c r="AE21" s="78">
        <v>0.1</v>
      </c>
      <c r="AF21" s="80">
        <f t="shared" si="34"/>
        <v>0.10869565217391304</v>
      </c>
      <c r="AG21" s="80" t="s">
        <v>75</v>
      </c>
      <c r="AH21" s="80" t="s">
        <v>75</v>
      </c>
      <c r="AI21" s="78">
        <v>0.12</v>
      </c>
      <c r="AJ21" s="78">
        <v>7.0000000000000007E-2</v>
      </c>
      <c r="AK21" s="78">
        <f t="shared" si="6"/>
        <v>1.714285714285714</v>
      </c>
      <c r="AL21" s="78">
        <f t="shared" si="35"/>
        <v>1.2</v>
      </c>
      <c r="AM21" s="80" t="s">
        <v>75</v>
      </c>
      <c r="AN21" s="78">
        <f t="shared" si="28"/>
        <v>0.13043478260869565</v>
      </c>
      <c r="AO21" s="78">
        <f t="shared" si="7"/>
        <v>0.48</v>
      </c>
      <c r="AP21" s="78">
        <v>0.25</v>
      </c>
      <c r="AQ21" s="78">
        <v>0.12</v>
      </c>
      <c r="AR21" s="78">
        <f t="shared" si="29"/>
        <v>0.13966480446927373</v>
      </c>
      <c r="AS21" s="78">
        <f t="shared" si="9"/>
        <v>2.0833333333333335</v>
      </c>
      <c r="AT21" s="78">
        <f t="shared" si="30"/>
        <v>0.27173913043478259</v>
      </c>
      <c r="AU21" s="78">
        <v>0.11</v>
      </c>
      <c r="AV21" s="78">
        <v>0.12</v>
      </c>
      <c r="AW21" s="78">
        <f t="shared" si="15"/>
        <v>0.91666666666666674</v>
      </c>
      <c r="AX21" s="80">
        <f t="shared" si="16"/>
        <v>2.2727272727272729</v>
      </c>
      <c r="AY21" s="87">
        <v>4</v>
      </c>
      <c r="AZ21" s="87">
        <v>10</v>
      </c>
      <c r="BA21" s="87">
        <v>7</v>
      </c>
      <c r="BB21" s="87">
        <v>7</v>
      </c>
      <c r="BC21" s="88">
        <v>7</v>
      </c>
    </row>
    <row r="22" spans="2:55" x14ac:dyDescent="0.2">
      <c r="B22" s="75"/>
      <c r="C22" s="77"/>
      <c r="D22" s="77"/>
      <c r="E22" s="77"/>
      <c r="F22" s="78">
        <f>1.2+0.59</f>
        <v>1.79</v>
      </c>
      <c r="G22" s="80">
        <f>I22+J22+K22+L22+M22+N22+O22</f>
        <v>4.12</v>
      </c>
      <c r="H22" s="80">
        <f>G22/F22</f>
        <v>2.3016759776536313</v>
      </c>
      <c r="I22" s="78">
        <v>0.1</v>
      </c>
      <c r="J22" s="78">
        <v>0.06</v>
      </c>
      <c r="K22" s="78">
        <v>0.91</v>
      </c>
      <c r="L22" s="78">
        <v>0.78</v>
      </c>
      <c r="M22" s="78">
        <v>0.74</v>
      </c>
      <c r="N22" s="78">
        <v>0.14000000000000001</v>
      </c>
      <c r="O22" s="78">
        <v>1.39</v>
      </c>
      <c r="P22" s="80">
        <f>N:N+O:O</f>
        <v>1.5299999999999998</v>
      </c>
      <c r="Q22" s="80">
        <f t="shared" si="11"/>
        <v>1.6813186813186811</v>
      </c>
      <c r="R22" s="80">
        <f t="shared" si="0"/>
        <v>0.81318681318681318</v>
      </c>
      <c r="S22" s="80">
        <f t="shared" si="1"/>
        <v>0.8571428571428571</v>
      </c>
      <c r="T22" s="80">
        <f t="shared" si="12"/>
        <v>9.928571428571427</v>
      </c>
      <c r="U22" s="78">
        <v>0.33</v>
      </c>
      <c r="V22" s="80">
        <f t="shared" si="13"/>
        <v>12.484848484848484</v>
      </c>
      <c r="W22" s="78">
        <v>0.72</v>
      </c>
      <c r="X22" s="78">
        <v>0.11</v>
      </c>
      <c r="Y22" s="80">
        <f t="shared" si="14"/>
        <v>6.545454545454545</v>
      </c>
      <c r="Z22" s="80" t="s">
        <v>75</v>
      </c>
      <c r="AA22" s="78">
        <v>0.59</v>
      </c>
      <c r="AB22" s="78">
        <f t="shared" si="27"/>
        <v>0.32960893854748602</v>
      </c>
      <c r="AC22" s="78">
        <v>1.3</v>
      </c>
      <c r="AD22" s="78">
        <f t="shared" si="33"/>
        <v>0.72625698324022347</v>
      </c>
      <c r="AE22" s="78">
        <v>0.11</v>
      </c>
      <c r="AF22" s="80">
        <f t="shared" si="34"/>
        <v>0.12087912087912088</v>
      </c>
      <c r="AG22" s="80">
        <f>AE:AE/P:P</f>
        <v>7.1895424836601315E-2</v>
      </c>
      <c r="AH22" s="78">
        <f>AE22/N22</f>
        <v>0.7857142857142857</v>
      </c>
      <c r="AI22" s="78">
        <v>0.12</v>
      </c>
      <c r="AJ22" s="78">
        <v>7.0000000000000007E-2</v>
      </c>
      <c r="AK22" s="78">
        <f t="shared" si="6"/>
        <v>1.714285714285714</v>
      </c>
      <c r="AL22" s="78">
        <f t="shared" si="35"/>
        <v>1.0909090909090908</v>
      </c>
      <c r="AM22" s="78">
        <f>AI22/N22</f>
        <v>0.85714285714285698</v>
      </c>
      <c r="AN22" s="78">
        <f t="shared" si="28"/>
        <v>0.13186813186813187</v>
      </c>
      <c r="AO22" s="78">
        <f t="shared" si="7"/>
        <v>0.44444444444444442</v>
      </c>
      <c r="AP22" s="78">
        <v>0.27</v>
      </c>
      <c r="AQ22" s="78">
        <v>0.1</v>
      </c>
      <c r="AR22" s="78">
        <f t="shared" si="29"/>
        <v>0.15083798882681565</v>
      </c>
      <c r="AS22" s="78">
        <f t="shared" si="9"/>
        <v>2.7</v>
      </c>
      <c r="AT22" s="78">
        <f t="shared" si="30"/>
        <v>0.2967032967032967</v>
      </c>
      <c r="AU22" s="78">
        <v>0.11</v>
      </c>
      <c r="AV22" s="78">
        <v>0.12</v>
      </c>
      <c r="AW22" s="78">
        <f t="shared" ref="AW22" si="40">AU22/AV22</f>
        <v>0.91666666666666674</v>
      </c>
      <c r="AX22" s="80">
        <f t="shared" ref="AX22" si="41">AP22/AU22</f>
        <v>2.4545454545454546</v>
      </c>
      <c r="AY22" s="80" t="s">
        <v>75</v>
      </c>
      <c r="AZ22" s="87">
        <v>12</v>
      </c>
      <c r="BA22" s="80" t="s">
        <v>75</v>
      </c>
      <c r="BB22" s="80" t="s">
        <v>75</v>
      </c>
      <c r="BC22" s="210" t="s">
        <v>75</v>
      </c>
    </row>
    <row r="23" spans="2:55" x14ac:dyDescent="0.2">
      <c r="B23" s="83">
        <v>24319</v>
      </c>
      <c r="C23" s="70" t="s">
        <v>248</v>
      </c>
      <c r="D23" s="71" t="s">
        <v>243</v>
      </c>
      <c r="E23" s="71" t="s">
        <v>203</v>
      </c>
      <c r="F23" s="72">
        <f>1.21+0.64</f>
        <v>1.85</v>
      </c>
      <c r="G23" s="82">
        <f>I23+J23+K23+L23+M23+N23+O23</f>
        <v>4.4000000000000004</v>
      </c>
      <c r="H23" s="82">
        <f>G23/F23</f>
        <v>2.3783783783783785</v>
      </c>
      <c r="I23" s="72">
        <v>0.1</v>
      </c>
      <c r="J23" s="72">
        <v>0.06</v>
      </c>
      <c r="K23" s="72">
        <v>0.99</v>
      </c>
      <c r="L23" s="72">
        <v>0.73</v>
      </c>
      <c r="M23" s="72">
        <v>0.71</v>
      </c>
      <c r="N23" s="72">
        <v>0.14000000000000001</v>
      </c>
      <c r="O23" s="72">
        <f>0.91+0.61+0.15</f>
        <v>1.67</v>
      </c>
      <c r="P23" s="82">
        <f>N:N+O:O</f>
        <v>1.81</v>
      </c>
      <c r="Q23" s="82">
        <f t="shared" si="11"/>
        <v>1.8282828282828283</v>
      </c>
      <c r="R23" s="82">
        <f t="shared" si="0"/>
        <v>0.71717171717171713</v>
      </c>
      <c r="S23" s="82">
        <f t="shared" si="1"/>
        <v>0.73737373737373735</v>
      </c>
      <c r="T23" s="82">
        <f t="shared" si="12"/>
        <v>11.928571428571427</v>
      </c>
      <c r="U23" s="72">
        <v>0.3</v>
      </c>
      <c r="V23" s="82">
        <f t="shared" si="13"/>
        <v>14.666666666666668</v>
      </c>
      <c r="W23" s="72">
        <v>0.71</v>
      </c>
      <c r="X23" s="72">
        <v>0.11</v>
      </c>
      <c r="Y23" s="82">
        <f t="shared" si="14"/>
        <v>6.4545454545454541</v>
      </c>
      <c r="Z23" s="72">
        <v>0.45</v>
      </c>
      <c r="AA23" s="72">
        <v>0.62</v>
      </c>
      <c r="AB23" s="72">
        <f t="shared" si="27"/>
        <v>0.3351351351351351</v>
      </c>
      <c r="AC23" s="72">
        <v>1.3</v>
      </c>
      <c r="AD23" s="72">
        <f t="shared" si="33"/>
        <v>0.70270270270270274</v>
      </c>
      <c r="AE23" s="72">
        <v>0.11</v>
      </c>
      <c r="AF23" s="82">
        <f t="shared" si="34"/>
        <v>0.11111111111111112</v>
      </c>
      <c r="AG23" s="82">
        <f>AE:AE/P:P</f>
        <v>6.0773480662983423E-2</v>
      </c>
      <c r="AH23" s="72">
        <f>AE23/N23</f>
        <v>0.7857142857142857</v>
      </c>
      <c r="AI23" s="72">
        <v>0.1</v>
      </c>
      <c r="AJ23" s="72">
        <v>0.05</v>
      </c>
      <c r="AK23" s="72">
        <f t="shared" si="6"/>
        <v>2</v>
      </c>
      <c r="AL23" s="72">
        <f t="shared" si="35"/>
        <v>0.90909090909090917</v>
      </c>
      <c r="AM23" s="72">
        <f>AI23/N23</f>
        <v>0.7142857142857143</v>
      </c>
      <c r="AN23" s="72">
        <f t="shared" si="28"/>
        <v>0.10101010101010102</v>
      </c>
      <c r="AO23" s="72">
        <f t="shared" si="7"/>
        <v>0.35714285714285715</v>
      </c>
      <c r="AP23" s="72">
        <v>0.28000000000000003</v>
      </c>
      <c r="AQ23" s="72">
        <v>0.1</v>
      </c>
      <c r="AR23" s="72">
        <f t="shared" si="29"/>
        <v>0.15135135135135136</v>
      </c>
      <c r="AS23" s="72">
        <f t="shared" si="9"/>
        <v>2.8000000000000003</v>
      </c>
      <c r="AT23" s="72">
        <f t="shared" si="30"/>
        <v>0.28282828282828287</v>
      </c>
      <c r="AU23" s="72">
        <v>0.12</v>
      </c>
      <c r="AV23" s="72">
        <v>0.14000000000000001</v>
      </c>
      <c r="AW23" s="72">
        <f t="shared" si="15"/>
        <v>0.85714285714285698</v>
      </c>
      <c r="AX23" s="82">
        <f t="shared" si="16"/>
        <v>2.3333333333333335</v>
      </c>
      <c r="AY23" s="84">
        <v>5</v>
      </c>
      <c r="AZ23" s="84">
        <v>9</v>
      </c>
      <c r="BA23" s="82" t="s">
        <v>75</v>
      </c>
      <c r="BB23" s="84">
        <v>7</v>
      </c>
      <c r="BC23" s="85">
        <v>7</v>
      </c>
    </row>
    <row r="24" spans="2:55" x14ac:dyDescent="0.2">
      <c r="B24" s="119"/>
      <c r="C24" s="203"/>
      <c r="D24" s="203"/>
      <c r="E24" s="203"/>
      <c r="F24" s="121">
        <f>1.21+0.64</f>
        <v>1.85</v>
      </c>
      <c r="G24" s="122">
        <f>I24+J24+K24+L24+M24+N24+O24</f>
        <v>4.41</v>
      </c>
      <c r="H24" s="122">
        <f>G24/F24</f>
        <v>2.3837837837837839</v>
      </c>
      <c r="I24" s="121">
        <v>0.1</v>
      </c>
      <c r="J24" s="121">
        <v>0.06</v>
      </c>
      <c r="K24" s="121">
        <v>0.99</v>
      </c>
      <c r="L24" s="121">
        <v>0.73</v>
      </c>
      <c r="M24" s="121">
        <v>0.75</v>
      </c>
      <c r="N24" s="121">
        <v>0.14000000000000001</v>
      </c>
      <c r="O24" s="121">
        <f>1.1+0.44+0.1</f>
        <v>1.6400000000000001</v>
      </c>
      <c r="P24" s="122">
        <f>N:N+O:O</f>
        <v>1.7800000000000002</v>
      </c>
      <c r="Q24" s="122">
        <f t="shared" si="11"/>
        <v>1.7979797979797982</v>
      </c>
      <c r="R24" s="122">
        <f t="shared" si="0"/>
        <v>0.75757575757575757</v>
      </c>
      <c r="S24" s="122">
        <f t="shared" si="1"/>
        <v>0.73737373737373735</v>
      </c>
      <c r="T24" s="122">
        <f t="shared" si="12"/>
        <v>11.714285714285714</v>
      </c>
      <c r="U24" s="121">
        <v>0.3</v>
      </c>
      <c r="V24" s="122">
        <f t="shared" si="13"/>
        <v>14.700000000000001</v>
      </c>
      <c r="W24" s="121">
        <v>0.7</v>
      </c>
      <c r="X24" s="121">
        <v>0.1</v>
      </c>
      <c r="Y24" s="122">
        <f t="shared" si="14"/>
        <v>6.9999999999999991</v>
      </c>
      <c r="Z24" s="121">
        <v>0.45</v>
      </c>
      <c r="AA24" s="121">
        <v>0.62</v>
      </c>
      <c r="AB24" s="121">
        <f t="shared" si="27"/>
        <v>0.3351351351351351</v>
      </c>
      <c r="AC24" s="121">
        <v>0.32</v>
      </c>
      <c r="AD24" s="121">
        <f t="shared" si="33"/>
        <v>0.17297297297297295</v>
      </c>
      <c r="AE24" s="121">
        <v>0.12</v>
      </c>
      <c r="AF24" s="122">
        <f t="shared" si="34"/>
        <v>0.12121212121212122</v>
      </c>
      <c r="AG24" s="122">
        <f>AE:AE/P:P</f>
        <v>6.7415730337078636E-2</v>
      </c>
      <c r="AH24" s="121">
        <f>AE24/N24</f>
        <v>0.85714285714285698</v>
      </c>
      <c r="AI24" s="121">
        <v>0.1</v>
      </c>
      <c r="AJ24" s="121">
        <v>0.05</v>
      </c>
      <c r="AK24" s="121">
        <f t="shared" si="6"/>
        <v>2</v>
      </c>
      <c r="AL24" s="121">
        <f t="shared" si="35"/>
        <v>0.83333333333333337</v>
      </c>
      <c r="AM24" s="121">
        <f>AI24/N24</f>
        <v>0.7142857142857143</v>
      </c>
      <c r="AN24" s="121">
        <f t="shared" si="28"/>
        <v>0.10101010101010102</v>
      </c>
      <c r="AO24" s="121">
        <f t="shared" si="7"/>
        <v>0.34482758620689657</v>
      </c>
      <c r="AP24" s="121">
        <v>0.28999999999999998</v>
      </c>
      <c r="AQ24" s="121">
        <v>0.1</v>
      </c>
      <c r="AR24" s="121">
        <f t="shared" si="29"/>
        <v>0.15675675675675674</v>
      </c>
      <c r="AS24" s="121">
        <f t="shared" si="9"/>
        <v>2.8999999999999995</v>
      </c>
      <c r="AT24" s="121">
        <f t="shared" si="30"/>
        <v>0.29292929292929293</v>
      </c>
      <c r="AU24" s="121">
        <v>0.12</v>
      </c>
      <c r="AV24" s="121">
        <v>0.14000000000000001</v>
      </c>
      <c r="AW24" s="121">
        <f t="shared" ref="AW24" si="42">AU24/AV24</f>
        <v>0.85714285714285698</v>
      </c>
      <c r="AX24" s="122">
        <f t="shared" ref="AX24" si="43">AP24/AU24</f>
        <v>2.4166666666666665</v>
      </c>
      <c r="AY24" s="122" t="s">
        <v>75</v>
      </c>
      <c r="AZ24" s="213">
        <v>10</v>
      </c>
      <c r="BA24" s="122" t="s">
        <v>75</v>
      </c>
      <c r="BB24" s="122" t="s">
        <v>75</v>
      </c>
      <c r="BC24" s="214" t="s">
        <v>75</v>
      </c>
    </row>
    <row r="25" spans="2:55" x14ac:dyDescent="0.2">
      <c r="E25" s="58" t="s">
        <v>25</v>
      </c>
      <c r="F25" s="8">
        <f>MIN(F3:F24)</f>
        <v>1.58</v>
      </c>
      <c r="G25" s="8">
        <f t="shared" ref="G25:AW25" si="44">MIN(G3:G24)</f>
        <v>3.3380000000000001</v>
      </c>
      <c r="H25" s="8">
        <f t="shared" si="44"/>
        <v>1.9095744680851066</v>
      </c>
      <c r="I25" s="8">
        <f t="shared" si="44"/>
        <v>8.4000000000000005E-2</v>
      </c>
      <c r="J25" s="8">
        <f t="shared" si="44"/>
        <v>4.1000000000000002E-2</v>
      </c>
      <c r="K25" s="8">
        <f t="shared" si="44"/>
        <v>0.83</v>
      </c>
      <c r="L25" s="8">
        <f t="shared" si="44"/>
        <v>0.66800000000000004</v>
      </c>
      <c r="M25" s="8">
        <f t="shared" si="44"/>
        <v>0.66</v>
      </c>
      <c r="N25" s="8">
        <f t="shared" si="44"/>
        <v>0.13700000000000001</v>
      </c>
      <c r="O25" s="8">
        <f t="shared" si="44"/>
        <v>0.82599999999999996</v>
      </c>
      <c r="P25" s="8">
        <f t="shared" si="44"/>
        <v>0.96599999999999997</v>
      </c>
      <c r="Q25" s="8">
        <f t="shared" si="44"/>
        <v>1.1103448275862069</v>
      </c>
      <c r="R25" s="8">
        <f t="shared" si="44"/>
        <v>0.71717171717171713</v>
      </c>
      <c r="S25" s="8">
        <f t="shared" si="44"/>
        <v>0.66371681415929207</v>
      </c>
      <c r="T25" s="8">
        <f t="shared" si="44"/>
        <v>5.5066666666666668</v>
      </c>
      <c r="U25" s="8">
        <f t="shared" si="44"/>
        <v>0.28399999999999997</v>
      </c>
      <c r="V25" s="8">
        <f t="shared" si="44"/>
        <v>10.878787878787879</v>
      </c>
      <c r="W25" s="8">
        <f t="shared" si="44"/>
        <v>0.62</v>
      </c>
      <c r="X25" s="8">
        <f t="shared" si="44"/>
        <v>0.1</v>
      </c>
      <c r="Y25" s="8">
        <f t="shared" si="44"/>
        <v>4.4375</v>
      </c>
      <c r="Z25" s="8">
        <f t="shared" si="44"/>
        <v>0.41</v>
      </c>
      <c r="AA25" s="8">
        <f t="shared" si="44"/>
        <v>0.52</v>
      </c>
      <c r="AB25" s="8">
        <f t="shared" si="44"/>
        <v>0.27069234773555439</v>
      </c>
      <c r="AC25" s="8">
        <f t="shared" si="44"/>
        <v>0.32</v>
      </c>
      <c r="AD25" s="8">
        <f t="shared" si="44"/>
        <v>0.17297297297297295</v>
      </c>
      <c r="AE25" s="8">
        <f t="shared" si="44"/>
        <v>9.2999999999999999E-2</v>
      </c>
      <c r="AF25" s="8">
        <f t="shared" si="44"/>
        <v>9.1157702825888795E-2</v>
      </c>
      <c r="AG25" s="8">
        <f t="shared" si="44"/>
        <v>4.6153846153846163E-2</v>
      </c>
      <c r="AH25" s="8">
        <f t="shared" si="44"/>
        <v>0.62</v>
      </c>
      <c r="AI25" s="8">
        <f t="shared" si="44"/>
        <v>0.1</v>
      </c>
      <c r="AJ25" s="8">
        <f t="shared" si="44"/>
        <v>0.05</v>
      </c>
      <c r="AK25" s="8">
        <f t="shared" si="44"/>
        <v>1.2771084337349397</v>
      </c>
      <c r="AL25" s="8">
        <f t="shared" si="44"/>
        <v>0.83333333333333337</v>
      </c>
      <c r="AM25" s="8">
        <f t="shared" si="44"/>
        <v>0.7142857142857143</v>
      </c>
      <c r="AN25" s="8">
        <f t="shared" si="44"/>
        <v>0.10101010101010102</v>
      </c>
      <c r="AO25" s="8">
        <f t="shared" si="44"/>
        <v>0.34482758620689657</v>
      </c>
      <c r="AP25" s="8">
        <f t="shared" si="44"/>
        <v>0.20799999999999999</v>
      </c>
      <c r="AQ25" s="8">
        <f t="shared" si="44"/>
        <v>7.3999999999999996E-2</v>
      </c>
      <c r="AR25" s="8">
        <f t="shared" si="44"/>
        <v>0.10827693909422176</v>
      </c>
      <c r="AS25" s="8">
        <f t="shared" si="44"/>
        <v>1.368421052631579</v>
      </c>
      <c r="AT25" s="8">
        <f t="shared" si="44"/>
        <v>0.25</v>
      </c>
      <c r="AU25" s="8">
        <f t="shared" si="44"/>
        <v>0.09</v>
      </c>
      <c r="AV25" s="8">
        <f t="shared" si="44"/>
        <v>0.08</v>
      </c>
      <c r="AW25" s="8">
        <f t="shared" si="44"/>
        <v>0.62365591397849462</v>
      </c>
      <c r="AX25" s="8">
        <f t="shared" ref="AX25:BC25" si="45">MIN(AX3:AX24)</f>
        <v>1.6477272727272727</v>
      </c>
      <c r="AY25" s="9">
        <f t="shared" si="45"/>
        <v>3</v>
      </c>
      <c r="AZ25" s="9">
        <f t="shared" si="45"/>
        <v>7</v>
      </c>
      <c r="BA25" s="9">
        <f t="shared" si="45"/>
        <v>6</v>
      </c>
      <c r="BB25" s="9">
        <f t="shared" si="45"/>
        <v>4</v>
      </c>
      <c r="BC25" s="9">
        <f t="shared" si="45"/>
        <v>3</v>
      </c>
    </row>
    <row r="26" spans="2:55" x14ac:dyDescent="0.2">
      <c r="E26" s="58" t="s">
        <v>26</v>
      </c>
      <c r="F26" s="8">
        <f>MAX(F3:F24)</f>
        <v>2.4550000000000001</v>
      </c>
      <c r="G26" s="8">
        <f t="shared" ref="G26:AW26" si="46">MAX(G3:G24)</f>
        <v>4.7579999999999991</v>
      </c>
      <c r="H26" s="8">
        <f t="shared" si="46"/>
        <v>2.7358834244080144</v>
      </c>
      <c r="I26" s="8">
        <f t="shared" si="46"/>
        <v>0.12</v>
      </c>
      <c r="J26" s="8">
        <f t="shared" si="46"/>
        <v>7.0999999999999994E-2</v>
      </c>
      <c r="K26" s="8">
        <f t="shared" si="46"/>
        <v>1.1299999999999999</v>
      </c>
      <c r="L26" s="8">
        <f t="shared" si="46"/>
        <v>0.8</v>
      </c>
      <c r="M26" s="8">
        <f t="shared" si="46"/>
        <v>0.82000000000000006</v>
      </c>
      <c r="N26" s="8">
        <f t="shared" si="46"/>
        <v>0.16</v>
      </c>
      <c r="O26" s="8">
        <f t="shared" si="46"/>
        <v>1.9189999999999996</v>
      </c>
      <c r="P26" s="8">
        <f t="shared" si="46"/>
        <v>2.0569999999999995</v>
      </c>
      <c r="Q26" s="8">
        <f t="shared" si="46"/>
        <v>2.2383025027203476</v>
      </c>
      <c r="R26" s="8">
        <f t="shared" si="46"/>
        <v>0.9156626506024097</v>
      </c>
      <c r="S26" s="8">
        <f t="shared" si="46"/>
        <v>0.93975903614457834</v>
      </c>
      <c r="T26" s="8">
        <f t="shared" si="46"/>
        <v>13.905797101449272</v>
      </c>
      <c r="U26" s="8">
        <f t="shared" si="46"/>
        <v>0.35</v>
      </c>
      <c r="V26" s="8">
        <f t="shared" si="46"/>
        <v>15.86619718309859</v>
      </c>
      <c r="W26" s="8">
        <f t="shared" si="46"/>
        <v>0.77300000000000002</v>
      </c>
      <c r="X26" s="8">
        <f t="shared" si="46"/>
        <v>0.16</v>
      </c>
      <c r="Y26" s="8">
        <f t="shared" si="46"/>
        <v>6.9999999999999991</v>
      </c>
      <c r="Z26" s="8">
        <f t="shared" si="46"/>
        <v>0.47499999999999998</v>
      </c>
      <c r="AA26" s="8">
        <f t="shared" si="46"/>
        <v>0.7</v>
      </c>
      <c r="AB26" s="8">
        <f t="shared" si="46"/>
        <v>0.37974683544303794</v>
      </c>
      <c r="AC26" s="8">
        <f t="shared" si="46"/>
        <v>1.4</v>
      </c>
      <c r="AD26" s="8">
        <f t="shared" si="46"/>
        <v>0.81727962638645646</v>
      </c>
      <c r="AE26" s="8">
        <f t="shared" si="46"/>
        <v>0.12</v>
      </c>
      <c r="AF26" s="8">
        <f t="shared" si="46"/>
        <v>0.13493975903614458</v>
      </c>
      <c r="AG26" s="8">
        <f t="shared" si="46"/>
        <v>0.11387163561076605</v>
      </c>
      <c r="AH26" s="8">
        <f t="shared" si="46"/>
        <v>0.85714285714285698</v>
      </c>
      <c r="AI26" s="8">
        <f t="shared" si="46"/>
        <v>0.12</v>
      </c>
      <c r="AJ26" s="8">
        <f t="shared" si="46"/>
        <v>8.3000000000000004E-2</v>
      </c>
      <c r="AK26" s="8">
        <f t="shared" si="46"/>
        <v>2</v>
      </c>
      <c r="AL26" s="8">
        <f t="shared" si="46"/>
        <v>1.2</v>
      </c>
      <c r="AM26" s="8">
        <f t="shared" si="46"/>
        <v>0.85714285714285698</v>
      </c>
      <c r="AN26" s="8">
        <f t="shared" si="46"/>
        <v>0.13253012048192772</v>
      </c>
      <c r="AO26" s="8">
        <f t="shared" si="46"/>
        <v>0.48</v>
      </c>
      <c r="AP26" s="8">
        <f t="shared" si="46"/>
        <v>0.3</v>
      </c>
      <c r="AQ26" s="8">
        <f t="shared" si="46"/>
        <v>0.16300000000000001</v>
      </c>
      <c r="AR26" s="8">
        <f t="shared" si="46"/>
        <v>0.15675675675675674</v>
      </c>
      <c r="AS26" s="8">
        <f t="shared" si="46"/>
        <v>3.2</v>
      </c>
      <c r="AT26" s="8">
        <f t="shared" si="46"/>
        <v>0.30303030303030304</v>
      </c>
      <c r="AU26" s="8">
        <f t="shared" si="46"/>
        <v>0.17599999999999999</v>
      </c>
      <c r="AV26" s="8">
        <f t="shared" si="46"/>
        <v>0.186</v>
      </c>
      <c r="AW26" s="8">
        <f t="shared" si="46"/>
        <v>1.1733333333333333</v>
      </c>
      <c r="AX26" s="8">
        <f t="shared" ref="AX26:BC26" si="47">MAX(AX3:AX24)</f>
        <v>2.7777777777777777</v>
      </c>
      <c r="AY26" s="9">
        <f t="shared" si="47"/>
        <v>6</v>
      </c>
      <c r="AZ26" s="9">
        <f t="shared" si="47"/>
        <v>12</v>
      </c>
      <c r="BA26" s="9">
        <f t="shared" si="47"/>
        <v>10</v>
      </c>
      <c r="BB26" s="9">
        <f t="shared" si="47"/>
        <v>8</v>
      </c>
      <c r="BC26" s="9">
        <f t="shared" si="47"/>
        <v>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BC113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2" width="18.7109375" style="46" customWidth="1"/>
    <col min="3" max="4" width="18.7109375" style="1" customWidth="1"/>
    <col min="5" max="5" width="36.7109375" style="1" customWidth="1"/>
    <col min="6" max="51" width="8.7109375" style="1" customWidth="1"/>
    <col min="52" max="52" width="8.7109375" style="5" customWidth="1"/>
    <col min="53" max="55" width="10.7109375" style="1" customWidth="1"/>
    <col min="56" max="16384" width="9.140625" style="1"/>
  </cols>
  <sheetData>
    <row r="1" spans="2:55" ht="12" customHeight="1" x14ac:dyDescent="0.2">
      <c r="AG1" s="96"/>
      <c r="AY1" s="96"/>
    </row>
    <row r="2" spans="2:55" ht="59.1" customHeight="1" x14ac:dyDescent="0.2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">
      <c r="B3" s="61">
        <v>15159</v>
      </c>
      <c r="C3" s="62" t="s">
        <v>261</v>
      </c>
      <c r="D3" s="63" t="s">
        <v>142</v>
      </c>
      <c r="E3" s="63" t="s">
        <v>204</v>
      </c>
      <c r="F3" s="64">
        <v>1.4710000000000001</v>
      </c>
      <c r="G3" s="65">
        <f>I3+J3+K3+L3+M3+N3+O3</f>
        <v>3.9390000000000001</v>
      </c>
      <c r="H3" s="65">
        <f>G3/F3</f>
        <v>2.6777702243371855</v>
      </c>
      <c r="I3" s="64">
        <v>7.9000000000000001E-2</v>
      </c>
      <c r="J3" s="64">
        <v>5.2999999999999999E-2</v>
      </c>
      <c r="K3" s="64">
        <v>0.90500000000000003</v>
      </c>
      <c r="L3" s="64">
        <v>0.63</v>
      </c>
      <c r="M3" s="64">
        <v>0.67100000000000004</v>
      </c>
      <c r="N3" s="64">
        <v>0.125</v>
      </c>
      <c r="O3" s="64">
        <v>1.476</v>
      </c>
      <c r="P3" s="64">
        <f>N:N+O:O</f>
        <v>1.601</v>
      </c>
      <c r="Q3" s="65">
        <f>(N3+O3)/K3</f>
        <v>1.7690607734806629</v>
      </c>
      <c r="R3" s="65">
        <f t="shared" ref="R3:R66" si="0">M3/K3</f>
        <v>0.74143646408839781</v>
      </c>
      <c r="S3" s="65">
        <f t="shared" ref="S3:S66" si="1">L3/K3</f>
        <v>0.69613259668508287</v>
      </c>
      <c r="T3" s="65">
        <f>O3/N3</f>
        <v>11.808</v>
      </c>
      <c r="U3" s="64">
        <v>0.254</v>
      </c>
      <c r="V3" s="64">
        <f>G3/U3</f>
        <v>15.507874015748031</v>
      </c>
      <c r="W3" s="64">
        <v>0.57599999999999996</v>
      </c>
      <c r="X3" s="64">
        <v>8.1000000000000003E-2</v>
      </c>
      <c r="Y3" s="64">
        <f>W:W/X:X</f>
        <v>7.1111111111111107</v>
      </c>
      <c r="Z3" s="64">
        <v>0.36199999999999999</v>
      </c>
      <c r="AA3" s="64">
        <v>0.54200000000000004</v>
      </c>
      <c r="AB3" s="64">
        <f>AA3/F3</f>
        <v>0.36845683208701563</v>
      </c>
      <c r="AC3" s="66" t="s">
        <v>75</v>
      </c>
      <c r="AD3" s="66" t="s">
        <v>75</v>
      </c>
      <c r="AE3" s="64">
        <v>9.1999999999999998E-2</v>
      </c>
      <c r="AF3" s="64">
        <f>AE:AE/K:K</f>
        <v>0.1016574585635359</v>
      </c>
      <c r="AG3" s="64">
        <f>AE:AE/P:P</f>
        <v>5.7464084946908182E-2</v>
      </c>
      <c r="AH3" s="64">
        <f>AE:AE/N:N</f>
        <v>0.73599999999999999</v>
      </c>
      <c r="AI3" s="64">
        <v>8.2000000000000003E-2</v>
      </c>
      <c r="AJ3" s="66" t="s">
        <v>75</v>
      </c>
      <c r="AK3" s="66" t="s">
        <v>75</v>
      </c>
      <c r="AL3" s="64">
        <f>AI3/AE3</f>
        <v>0.89130434782608703</v>
      </c>
      <c r="AM3" s="64">
        <f>AI3/N3</f>
        <v>0.65600000000000003</v>
      </c>
      <c r="AN3" s="64">
        <f>AI3/K3</f>
        <v>9.0607734806629842E-2</v>
      </c>
      <c r="AO3" s="64">
        <f t="shared" ref="AO3:AO65" si="2">AI3/AP3</f>
        <v>0.49696969696969695</v>
      </c>
      <c r="AP3" s="64">
        <v>0.16500000000000001</v>
      </c>
      <c r="AQ3" s="64">
        <v>8.7999999999999995E-2</v>
      </c>
      <c r="AR3" s="64">
        <f>AP3/F3</f>
        <v>0.11216859279401767</v>
      </c>
      <c r="AS3" s="64">
        <f t="shared" ref="AS3:AS66" si="3">AP3/AQ3</f>
        <v>1.8750000000000002</v>
      </c>
      <c r="AT3" s="64">
        <f>AP3/K3</f>
        <v>0.18232044198895028</v>
      </c>
      <c r="AU3" s="66" t="s">
        <v>75</v>
      </c>
      <c r="AV3" s="66" t="s">
        <v>75</v>
      </c>
      <c r="AW3" s="66" t="s">
        <v>75</v>
      </c>
      <c r="AX3" s="146" t="s">
        <v>75</v>
      </c>
      <c r="AY3" s="221" t="s">
        <v>75</v>
      </c>
      <c r="AZ3" s="222" t="s">
        <v>75</v>
      </c>
      <c r="BA3" s="63"/>
      <c r="BB3" s="63"/>
      <c r="BC3" s="223"/>
    </row>
    <row r="4" spans="2:55" ht="12.75" customHeight="1" x14ac:dyDescent="0.2">
      <c r="B4" s="69"/>
      <c r="C4" s="71"/>
      <c r="D4" s="71"/>
      <c r="E4" s="71"/>
      <c r="F4" s="72">
        <v>1.4710000000000001</v>
      </c>
      <c r="G4" s="110" t="s">
        <v>75</v>
      </c>
      <c r="H4" s="110" t="s">
        <v>75</v>
      </c>
      <c r="I4" s="72">
        <v>8.3000000000000004E-2</v>
      </c>
      <c r="J4" s="72">
        <v>4.8000000000000001E-2</v>
      </c>
      <c r="K4" s="72">
        <v>0.91</v>
      </c>
      <c r="L4" s="72">
        <v>0.60699999999999998</v>
      </c>
      <c r="M4" s="73" t="s">
        <v>75</v>
      </c>
      <c r="N4" s="73" t="s">
        <v>75</v>
      </c>
      <c r="O4" s="73" t="s">
        <v>75</v>
      </c>
      <c r="P4" s="73" t="s">
        <v>75</v>
      </c>
      <c r="Q4" s="110" t="s">
        <v>75</v>
      </c>
      <c r="R4" s="110" t="s">
        <v>75</v>
      </c>
      <c r="S4" s="82">
        <f t="shared" si="1"/>
        <v>0.66703296703296699</v>
      </c>
      <c r="T4" s="110" t="s">
        <v>75</v>
      </c>
      <c r="U4" s="72">
        <v>0.254</v>
      </c>
      <c r="V4" s="73" t="s">
        <v>75</v>
      </c>
      <c r="W4" s="73" t="s">
        <v>75</v>
      </c>
      <c r="X4" s="73" t="s">
        <v>75</v>
      </c>
      <c r="Y4" s="73" t="s">
        <v>75</v>
      </c>
      <c r="Z4" s="72">
        <v>0.36199999999999999</v>
      </c>
      <c r="AA4" s="73" t="s">
        <v>75</v>
      </c>
      <c r="AB4" s="73" t="s">
        <v>75</v>
      </c>
      <c r="AC4" s="73" t="s">
        <v>75</v>
      </c>
      <c r="AD4" s="73" t="s">
        <v>75</v>
      </c>
      <c r="AE4" s="73" t="s">
        <v>75</v>
      </c>
      <c r="AF4" s="73" t="s">
        <v>75</v>
      </c>
      <c r="AG4" s="73" t="s">
        <v>75</v>
      </c>
      <c r="AH4" s="73" t="s">
        <v>75</v>
      </c>
      <c r="AI4" s="72">
        <v>8.2000000000000003E-2</v>
      </c>
      <c r="AJ4" s="73" t="s">
        <v>75</v>
      </c>
      <c r="AK4" s="73" t="s">
        <v>75</v>
      </c>
      <c r="AL4" s="73" t="s">
        <v>75</v>
      </c>
      <c r="AM4" s="73" t="s">
        <v>75</v>
      </c>
      <c r="AN4" s="72">
        <f t="shared" ref="AN4:AN67" si="4">AI4/K4</f>
        <v>9.0109890109890109E-2</v>
      </c>
      <c r="AO4" s="72">
        <f t="shared" si="2"/>
        <v>0.47126436781609199</v>
      </c>
      <c r="AP4" s="72">
        <v>0.17399999999999999</v>
      </c>
      <c r="AQ4" s="72">
        <v>8.4000000000000005E-2</v>
      </c>
      <c r="AR4" s="72">
        <f>AP4/F4</f>
        <v>0.11828687967369135</v>
      </c>
      <c r="AS4" s="72">
        <f t="shared" si="3"/>
        <v>2.0714285714285712</v>
      </c>
      <c r="AT4" s="72">
        <f>AP4/K4</f>
        <v>0.1912087912087912</v>
      </c>
      <c r="AU4" s="73" t="s">
        <v>75</v>
      </c>
      <c r="AV4" s="73" t="s">
        <v>75</v>
      </c>
      <c r="AW4" s="73" t="s">
        <v>75</v>
      </c>
      <c r="AX4" s="110" t="s">
        <v>75</v>
      </c>
      <c r="AY4" s="224" t="s">
        <v>75</v>
      </c>
      <c r="AZ4" s="225" t="s">
        <v>75</v>
      </c>
      <c r="BA4" s="71"/>
      <c r="BB4" s="71"/>
      <c r="BC4" s="226"/>
    </row>
    <row r="5" spans="2:55" ht="12.75" customHeight="1" x14ac:dyDescent="0.2">
      <c r="B5" s="86">
        <v>15159</v>
      </c>
      <c r="C5" s="76" t="s">
        <v>261</v>
      </c>
      <c r="D5" s="77" t="s">
        <v>142</v>
      </c>
      <c r="E5" s="77" t="s">
        <v>204</v>
      </c>
      <c r="F5" s="78">
        <v>1.28</v>
      </c>
      <c r="G5" s="80">
        <f>I5+J5+K5+L5+M5+N5+O5</f>
        <v>3.8759999999999994</v>
      </c>
      <c r="H5" s="80">
        <f>G5/F5</f>
        <v>3.0281249999999993</v>
      </c>
      <c r="I5" s="78">
        <v>0.09</v>
      </c>
      <c r="J5" s="78">
        <v>4.9000000000000002E-2</v>
      </c>
      <c r="K5" s="78">
        <v>0.78800000000000003</v>
      </c>
      <c r="L5" s="78">
        <v>0.57799999999999996</v>
      </c>
      <c r="M5" s="78">
        <v>0.63800000000000001</v>
      </c>
      <c r="N5" s="78">
        <v>0.13500000000000001</v>
      </c>
      <c r="O5" s="78">
        <v>1.5980000000000001</v>
      </c>
      <c r="P5" s="78">
        <f>N:N+O:O</f>
        <v>1.7330000000000001</v>
      </c>
      <c r="Q5" s="80">
        <f>(N5+O5)/K5</f>
        <v>2.1992385786802031</v>
      </c>
      <c r="R5" s="80">
        <f t="shared" si="0"/>
        <v>0.80964467005076135</v>
      </c>
      <c r="S5" s="80">
        <f t="shared" si="1"/>
        <v>0.73350253807106591</v>
      </c>
      <c r="T5" s="80">
        <f>O5/N5</f>
        <v>11.837037037037037</v>
      </c>
      <c r="U5" s="78">
        <v>0.23599999999999999</v>
      </c>
      <c r="V5" s="78">
        <f t="shared" ref="V5:V67" si="5">G5/U5</f>
        <v>16.423728813559322</v>
      </c>
      <c r="W5" s="79" t="s">
        <v>75</v>
      </c>
      <c r="X5" s="79" t="s">
        <v>75</v>
      </c>
      <c r="Y5" s="79" t="s">
        <v>75</v>
      </c>
      <c r="Z5" s="78">
        <v>0.33600000000000002</v>
      </c>
      <c r="AA5" s="78">
        <v>0.45600000000000002</v>
      </c>
      <c r="AB5" s="78">
        <f>AA5/F5</f>
        <v>0.35625000000000001</v>
      </c>
      <c r="AC5" s="79" t="s">
        <v>75</v>
      </c>
      <c r="AD5" s="79" t="s">
        <v>75</v>
      </c>
      <c r="AE5" s="79" t="s">
        <v>75</v>
      </c>
      <c r="AF5" s="79" t="s">
        <v>75</v>
      </c>
      <c r="AG5" s="79" t="s">
        <v>75</v>
      </c>
      <c r="AH5" s="79" t="s">
        <v>75</v>
      </c>
      <c r="AI5" s="78">
        <v>8.7999999999999995E-2</v>
      </c>
      <c r="AJ5" s="79" t="s">
        <v>75</v>
      </c>
      <c r="AK5" s="79" t="s">
        <v>75</v>
      </c>
      <c r="AL5" s="79" t="s">
        <v>75</v>
      </c>
      <c r="AM5" s="78">
        <f t="shared" ref="AM5:AM67" si="6">AI5/N5</f>
        <v>0.65185185185185179</v>
      </c>
      <c r="AN5" s="78">
        <f t="shared" si="4"/>
        <v>0.11167512690355329</v>
      </c>
      <c r="AO5" s="78">
        <f t="shared" si="2"/>
        <v>0.54999999999999993</v>
      </c>
      <c r="AP5" s="78">
        <v>0.16</v>
      </c>
      <c r="AQ5" s="78">
        <v>8.1000000000000003E-2</v>
      </c>
      <c r="AR5" s="78">
        <f>AP5/F5</f>
        <v>0.125</v>
      </c>
      <c r="AS5" s="78">
        <f t="shared" si="3"/>
        <v>1.9753086419753085</v>
      </c>
      <c r="AT5" s="78">
        <f>AP5/K5</f>
        <v>0.20304568527918782</v>
      </c>
      <c r="AU5" s="78">
        <v>7.6999999999999999E-2</v>
      </c>
      <c r="AV5" s="78">
        <v>8.7999999999999995E-2</v>
      </c>
      <c r="AW5" s="78">
        <f t="shared" ref="AW5:AW10" si="7">AU5/AV5</f>
        <v>0.875</v>
      </c>
      <c r="AX5" s="80">
        <f>AP5/AU5</f>
        <v>2.0779220779220782</v>
      </c>
      <c r="AY5" s="215" t="s">
        <v>75</v>
      </c>
      <c r="AZ5" s="87">
        <v>13</v>
      </c>
      <c r="BA5" s="77"/>
      <c r="BB5" s="77"/>
      <c r="BC5" s="217"/>
    </row>
    <row r="6" spans="2:55" ht="12.75" customHeight="1" x14ac:dyDescent="0.2">
      <c r="B6" s="75"/>
      <c r="C6" s="77"/>
      <c r="D6" s="77"/>
      <c r="E6" s="77"/>
      <c r="F6" s="78">
        <v>1.28</v>
      </c>
      <c r="G6" s="114" t="s">
        <v>75</v>
      </c>
      <c r="H6" s="114" t="s">
        <v>75</v>
      </c>
      <c r="I6" s="78">
        <v>8.4000000000000005E-2</v>
      </c>
      <c r="J6" s="78">
        <v>5.2999999999999999E-2</v>
      </c>
      <c r="K6" s="79" t="s">
        <v>75</v>
      </c>
      <c r="L6" s="78">
        <v>0.60099999999999998</v>
      </c>
      <c r="M6" s="78">
        <v>0.64800000000000002</v>
      </c>
      <c r="N6" s="78">
        <v>0.14599999999999999</v>
      </c>
      <c r="O6" s="79" t="s">
        <v>75</v>
      </c>
      <c r="P6" s="79" t="s">
        <v>75</v>
      </c>
      <c r="Q6" s="114" t="s">
        <v>75</v>
      </c>
      <c r="R6" s="114" t="s">
        <v>75</v>
      </c>
      <c r="S6" s="114" t="s">
        <v>75</v>
      </c>
      <c r="T6" s="114" t="s">
        <v>75</v>
      </c>
      <c r="U6" s="78">
        <v>0.23599999999999999</v>
      </c>
      <c r="V6" s="79" t="s">
        <v>75</v>
      </c>
      <c r="W6" s="79" t="s">
        <v>75</v>
      </c>
      <c r="X6" s="79" t="s">
        <v>75</v>
      </c>
      <c r="Y6" s="79" t="s">
        <v>75</v>
      </c>
      <c r="Z6" s="78">
        <v>0.32600000000000001</v>
      </c>
      <c r="AA6" s="79" t="s">
        <v>75</v>
      </c>
      <c r="AB6" s="79" t="s">
        <v>75</v>
      </c>
      <c r="AC6" s="79" t="s">
        <v>75</v>
      </c>
      <c r="AD6" s="79" t="s">
        <v>75</v>
      </c>
      <c r="AE6" s="79" t="s">
        <v>75</v>
      </c>
      <c r="AF6" s="79" t="s">
        <v>75</v>
      </c>
      <c r="AG6" s="79" t="s">
        <v>75</v>
      </c>
      <c r="AH6" s="79" t="s">
        <v>75</v>
      </c>
      <c r="AI6" s="78">
        <v>8.7999999999999995E-2</v>
      </c>
      <c r="AJ6" s="79" t="s">
        <v>75</v>
      </c>
      <c r="AK6" s="79" t="s">
        <v>75</v>
      </c>
      <c r="AL6" s="79" t="s">
        <v>75</v>
      </c>
      <c r="AM6" s="78">
        <f t="shared" si="6"/>
        <v>0.60273972602739723</v>
      </c>
      <c r="AN6" s="79" t="s">
        <v>75</v>
      </c>
      <c r="AO6" s="79" t="s">
        <v>75</v>
      </c>
      <c r="AP6" s="79" t="s">
        <v>75</v>
      </c>
      <c r="AQ6" s="78">
        <v>7.1999999999999995E-2</v>
      </c>
      <c r="AR6" s="79" t="s">
        <v>75</v>
      </c>
      <c r="AS6" s="79" t="s">
        <v>75</v>
      </c>
      <c r="AT6" s="79" t="s">
        <v>75</v>
      </c>
      <c r="AU6" s="78">
        <v>7.6999999999999999E-2</v>
      </c>
      <c r="AV6" s="78">
        <v>8.7999999999999995E-2</v>
      </c>
      <c r="AW6" s="78">
        <f t="shared" si="7"/>
        <v>0.875</v>
      </c>
      <c r="AX6" s="114" t="s">
        <v>75</v>
      </c>
      <c r="AY6" s="215" t="s">
        <v>75</v>
      </c>
      <c r="AZ6" s="87">
        <v>15</v>
      </c>
      <c r="BA6" s="77"/>
      <c r="BB6" s="77"/>
      <c r="BC6" s="217"/>
    </row>
    <row r="7" spans="2:55" ht="12.75" customHeight="1" x14ac:dyDescent="0.2">
      <c r="B7" s="83">
        <v>15159</v>
      </c>
      <c r="C7" s="70" t="s">
        <v>261</v>
      </c>
      <c r="D7" s="71" t="s">
        <v>142</v>
      </c>
      <c r="E7" s="71" t="s">
        <v>204</v>
      </c>
      <c r="F7" s="72">
        <v>1.286</v>
      </c>
      <c r="G7" s="82">
        <f>I7+J7+K7+L7+M7+N7+O7</f>
        <v>3.7050000000000001</v>
      </c>
      <c r="H7" s="82">
        <f>G7/F7</f>
        <v>2.881026438569207</v>
      </c>
      <c r="I7" s="72">
        <v>0.09</v>
      </c>
      <c r="J7" s="72">
        <v>0.05</v>
      </c>
      <c r="K7" s="72">
        <v>0.747</v>
      </c>
      <c r="L7" s="72">
        <v>0.55400000000000005</v>
      </c>
      <c r="M7" s="72">
        <v>0.57899999999999996</v>
      </c>
      <c r="N7" s="72">
        <v>0.12</v>
      </c>
      <c r="O7" s="72">
        <v>1.5649999999999999</v>
      </c>
      <c r="P7" s="72">
        <f>N:N+O:O</f>
        <v>1.6850000000000001</v>
      </c>
      <c r="Q7" s="82">
        <f>(N7+O7)/K7</f>
        <v>2.2556894243641232</v>
      </c>
      <c r="R7" s="82">
        <f t="shared" si="0"/>
        <v>0.77510040160642568</v>
      </c>
      <c r="S7" s="82">
        <f t="shared" si="1"/>
        <v>0.74163319946452488</v>
      </c>
      <c r="T7" s="82">
        <f>O7/N7</f>
        <v>13.041666666666666</v>
      </c>
      <c r="U7" s="73" t="s">
        <v>75</v>
      </c>
      <c r="V7" s="73" t="s">
        <v>75</v>
      </c>
      <c r="W7" s="73" t="s">
        <v>75</v>
      </c>
      <c r="X7" s="73" t="s">
        <v>75</v>
      </c>
      <c r="Y7" s="73" t="s">
        <v>75</v>
      </c>
      <c r="Z7" s="73" t="s">
        <v>75</v>
      </c>
      <c r="AA7" s="72">
        <v>0.44</v>
      </c>
      <c r="AB7" s="72">
        <f>AA7/F7</f>
        <v>0.34214618973561428</v>
      </c>
      <c r="AC7" s="72">
        <v>0.89200000000000002</v>
      </c>
      <c r="AD7" s="72">
        <f>AC7/F7</f>
        <v>0.69362363919129078</v>
      </c>
      <c r="AE7" s="72">
        <v>9.2999999999999999E-2</v>
      </c>
      <c r="AF7" s="72">
        <f>AE:AE/K:K</f>
        <v>0.12449799196787148</v>
      </c>
      <c r="AG7" s="72">
        <f>AE:AE/P:P</f>
        <v>5.5192878338278926E-2</v>
      </c>
      <c r="AH7" s="72">
        <f>AE:AE/N:N</f>
        <v>0.77500000000000002</v>
      </c>
      <c r="AI7" s="72">
        <v>0.09</v>
      </c>
      <c r="AJ7" s="73" t="s">
        <v>75</v>
      </c>
      <c r="AK7" s="73" t="s">
        <v>75</v>
      </c>
      <c r="AL7" s="72">
        <f t="shared" ref="AL7:AL67" si="8">AI7/AE7</f>
        <v>0.96774193548387089</v>
      </c>
      <c r="AM7" s="72">
        <f t="shared" si="6"/>
        <v>0.75</v>
      </c>
      <c r="AN7" s="72">
        <f t="shared" si="4"/>
        <v>0.12048192771084337</v>
      </c>
      <c r="AO7" s="73" t="s">
        <v>75</v>
      </c>
      <c r="AP7" s="73" t="s">
        <v>75</v>
      </c>
      <c r="AQ7" s="73" t="s">
        <v>75</v>
      </c>
      <c r="AR7" s="73" t="s">
        <v>75</v>
      </c>
      <c r="AS7" s="73" t="s">
        <v>75</v>
      </c>
      <c r="AT7" s="73" t="s">
        <v>75</v>
      </c>
      <c r="AU7" s="72">
        <v>7.0000000000000007E-2</v>
      </c>
      <c r="AV7" s="72">
        <v>0.115</v>
      </c>
      <c r="AW7" s="72">
        <f t="shared" si="7"/>
        <v>0.60869565217391308</v>
      </c>
      <c r="AX7" s="110" t="s">
        <v>75</v>
      </c>
      <c r="AY7" s="224" t="s">
        <v>75</v>
      </c>
      <c r="AZ7" s="84">
        <v>16</v>
      </c>
      <c r="BA7" s="71"/>
      <c r="BB7" s="71"/>
      <c r="BC7" s="226"/>
    </row>
    <row r="8" spans="2:55" ht="12.75" customHeight="1" x14ac:dyDescent="0.2">
      <c r="B8" s="69"/>
      <c r="C8" s="71"/>
      <c r="D8" s="71"/>
      <c r="E8" s="71"/>
      <c r="F8" s="72">
        <v>1.286</v>
      </c>
      <c r="G8" s="110" t="s">
        <v>75</v>
      </c>
      <c r="H8" s="110" t="s">
        <v>75</v>
      </c>
      <c r="I8" s="72">
        <v>8.4000000000000005E-2</v>
      </c>
      <c r="J8" s="72">
        <v>5.0999999999999997E-2</v>
      </c>
      <c r="K8" s="72">
        <v>0.76300000000000001</v>
      </c>
      <c r="L8" s="72">
        <v>0.54200000000000004</v>
      </c>
      <c r="M8" s="72">
        <v>0.59899999999999998</v>
      </c>
      <c r="N8" s="73" t="s">
        <v>75</v>
      </c>
      <c r="O8" s="72">
        <v>1.7050000000000001</v>
      </c>
      <c r="P8" s="73" t="s">
        <v>75</v>
      </c>
      <c r="Q8" s="110" t="s">
        <v>75</v>
      </c>
      <c r="R8" s="82">
        <f t="shared" si="0"/>
        <v>0.78505897771952815</v>
      </c>
      <c r="S8" s="82">
        <f t="shared" si="1"/>
        <v>0.71035386631716912</v>
      </c>
      <c r="T8" s="110" t="s">
        <v>75</v>
      </c>
      <c r="U8" s="73" t="s">
        <v>75</v>
      </c>
      <c r="V8" s="73" t="s">
        <v>75</v>
      </c>
      <c r="W8" s="73" t="s">
        <v>75</v>
      </c>
      <c r="X8" s="73" t="s">
        <v>75</v>
      </c>
      <c r="Y8" s="73" t="s">
        <v>75</v>
      </c>
      <c r="Z8" s="73" t="s">
        <v>75</v>
      </c>
      <c r="AA8" s="72">
        <v>0.44600000000000001</v>
      </c>
      <c r="AB8" s="72">
        <f>AA8/F8</f>
        <v>0.34681181959564539</v>
      </c>
      <c r="AC8" s="72">
        <v>0.84899999999999998</v>
      </c>
      <c r="AD8" s="72">
        <f>AC8/F8</f>
        <v>0.66018662519440119</v>
      </c>
      <c r="AE8" s="72">
        <v>8.2000000000000003E-2</v>
      </c>
      <c r="AF8" s="72">
        <f>AE:AE/K:K</f>
        <v>0.10747051114023591</v>
      </c>
      <c r="AG8" s="72" t="e">
        <f>AE:AE/P:P</f>
        <v>#VALUE!</v>
      </c>
      <c r="AH8" s="73" t="s">
        <v>75</v>
      </c>
      <c r="AI8" s="72">
        <v>0.09</v>
      </c>
      <c r="AJ8" s="73" t="s">
        <v>75</v>
      </c>
      <c r="AK8" s="73" t="s">
        <v>75</v>
      </c>
      <c r="AL8" s="72">
        <f t="shared" si="8"/>
        <v>1.097560975609756</v>
      </c>
      <c r="AM8" s="73" t="s">
        <v>75</v>
      </c>
      <c r="AN8" s="72">
        <f t="shared" si="4"/>
        <v>0.11795543905635648</v>
      </c>
      <c r="AO8" s="73" t="s">
        <v>75</v>
      </c>
      <c r="AP8" s="73" t="s">
        <v>75</v>
      </c>
      <c r="AQ8" s="73" t="s">
        <v>75</v>
      </c>
      <c r="AR8" s="73" t="s">
        <v>75</v>
      </c>
      <c r="AS8" s="73" t="s">
        <v>75</v>
      </c>
      <c r="AT8" s="73" t="s">
        <v>75</v>
      </c>
      <c r="AU8" s="72">
        <v>7.0000000000000007E-2</v>
      </c>
      <c r="AV8" s="72">
        <v>0.115</v>
      </c>
      <c r="AW8" s="72">
        <f t="shared" si="7"/>
        <v>0.60869565217391308</v>
      </c>
      <c r="AX8" s="110" t="s">
        <v>75</v>
      </c>
      <c r="AY8" s="224" t="s">
        <v>75</v>
      </c>
      <c r="AZ8" s="84">
        <v>18</v>
      </c>
      <c r="BA8" s="71"/>
      <c r="BB8" s="71"/>
      <c r="BC8" s="226"/>
    </row>
    <row r="9" spans="2:55" ht="12.75" customHeight="1" x14ac:dyDescent="0.2">
      <c r="B9" s="86">
        <v>15159</v>
      </c>
      <c r="C9" s="76" t="s">
        <v>261</v>
      </c>
      <c r="D9" s="77" t="s">
        <v>142</v>
      </c>
      <c r="E9" s="77" t="s">
        <v>204</v>
      </c>
      <c r="F9" s="78">
        <v>1.5609999999999999</v>
      </c>
      <c r="G9" s="114" t="s">
        <v>75</v>
      </c>
      <c r="H9" s="114" t="s">
        <v>75</v>
      </c>
      <c r="I9" s="78">
        <v>0.10100000000000001</v>
      </c>
      <c r="J9" s="78">
        <v>6.0999999999999999E-2</v>
      </c>
      <c r="K9" s="78">
        <v>0.98799999999999999</v>
      </c>
      <c r="L9" s="79" t="s">
        <v>75</v>
      </c>
      <c r="M9" s="79" t="s">
        <v>75</v>
      </c>
      <c r="N9" s="79" t="s">
        <v>75</v>
      </c>
      <c r="O9" s="79" t="s">
        <v>75</v>
      </c>
      <c r="P9" s="79" t="s">
        <v>75</v>
      </c>
      <c r="Q9" s="114" t="s">
        <v>75</v>
      </c>
      <c r="R9" s="114" t="s">
        <v>75</v>
      </c>
      <c r="S9" s="114" t="s">
        <v>75</v>
      </c>
      <c r="T9" s="114" t="s">
        <v>75</v>
      </c>
      <c r="U9" s="79" t="s">
        <v>75</v>
      </c>
      <c r="V9" s="79" t="s">
        <v>75</v>
      </c>
      <c r="W9" s="79" t="s">
        <v>75</v>
      </c>
      <c r="X9" s="78">
        <v>7.0000000000000007E-2</v>
      </c>
      <c r="Y9" s="79" t="s">
        <v>75</v>
      </c>
      <c r="Z9" s="78">
        <v>0.40500000000000003</v>
      </c>
      <c r="AA9" s="78">
        <v>0.59699999999999998</v>
      </c>
      <c r="AB9" s="78">
        <f>AA9/F9</f>
        <v>0.38244714926329276</v>
      </c>
      <c r="AC9" s="78">
        <v>1.216</v>
      </c>
      <c r="AD9" s="78">
        <f>AC9/F9</f>
        <v>0.77898782831518254</v>
      </c>
      <c r="AE9" s="78">
        <v>0.104</v>
      </c>
      <c r="AF9" s="78">
        <f>AE:AE/K:K</f>
        <v>0.10526315789473684</v>
      </c>
      <c r="AG9" s="79" t="s">
        <v>75</v>
      </c>
      <c r="AH9" s="79" t="s">
        <v>75</v>
      </c>
      <c r="AI9" s="78">
        <v>0.10199999999999999</v>
      </c>
      <c r="AJ9" s="79" t="s">
        <v>75</v>
      </c>
      <c r="AK9" s="79" t="s">
        <v>75</v>
      </c>
      <c r="AL9" s="78">
        <f t="shared" si="8"/>
        <v>0.98076923076923073</v>
      </c>
      <c r="AM9" s="79" t="s">
        <v>75</v>
      </c>
      <c r="AN9" s="78">
        <f t="shared" si="4"/>
        <v>0.10323886639676112</v>
      </c>
      <c r="AO9" s="78">
        <f t="shared" si="2"/>
        <v>0.47887323943661969</v>
      </c>
      <c r="AP9" s="78">
        <v>0.21299999999999999</v>
      </c>
      <c r="AQ9" s="78">
        <v>0.13500000000000001</v>
      </c>
      <c r="AR9" s="78">
        <f>AP9/F9</f>
        <v>0.1364509929532351</v>
      </c>
      <c r="AS9" s="78">
        <f t="shared" si="3"/>
        <v>1.5777777777777777</v>
      </c>
      <c r="AT9" s="78">
        <f>AP9/K9</f>
        <v>0.21558704453441296</v>
      </c>
      <c r="AU9" s="78">
        <v>8.1000000000000003E-2</v>
      </c>
      <c r="AV9" s="78">
        <v>0.1</v>
      </c>
      <c r="AW9" s="78">
        <f t="shared" si="7"/>
        <v>0.80999999999999994</v>
      </c>
      <c r="AX9" s="80">
        <f>AP9/AU9</f>
        <v>2.6296296296296293</v>
      </c>
      <c r="AY9" s="215" t="s">
        <v>75</v>
      </c>
      <c r="AZ9" s="216" t="s">
        <v>75</v>
      </c>
      <c r="BA9" s="77"/>
      <c r="BB9" s="77"/>
      <c r="BC9" s="217"/>
    </row>
    <row r="10" spans="2:55" ht="12.75" customHeight="1" x14ac:dyDescent="0.2">
      <c r="B10" s="75"/>
      <c r="C10" s="77"/>
      <c r="D10" s="77"/>
      <c r="E10" s="77"/>
      <c r="F10" s="78">
        <v>1.5609999999999999</v>
      </c>
      <c r="G10" s="114" t="s">
        <v>75</v>
      </c>
      <c r="H10" s="114" t="s">
        <v>75</v>
      </c>
      <c r="I10" s="79" t="s">
        <v>75</v>
      </c>
      <c r="J10" s="78">
        <v>5.8000000000000003E-2</v>
      </c>
      <c r="K10" s="79" t="s">
        <v>75</v>
      </c>
      <c r="L10" s="79" t="s">
        <v>75</v>
      </c>
      <c r="M10" s="79" t="s">
        <v>75</v>
      </c>
      <c r="N10" s="79" t="s">
        <v>75</v>
      </c>
      <c r="O10" s="79" t="s">
        <v>75</v>
      </c>
      <c r="P10" s="79" t="s">
        <v>75</v>
      </c>
      <c r="Q10" s="114" t="s">
        <v>75</v>
      </c>
      <c r="R10" s="114" t="s">
        <v>75</v>
      </c>
      <c r="S10" s="114" t="s">
        <v>75</v>
      </c>
      <c r="T10" s="114" t="s">
        <v>75</v>
      </c>
      <c r="U10" s="79" t="s">
        <v>75</v>
      </c>
      <c r="V10" s="79" t="s">
        <v>75</v>
      </c>
      <c r="W10" s="79" t="s">
        <v>75</v>
      </c>
      <c r="X10" s="79" t="s">
        <v>75</v>
      </c>
      <c r="Y10" s="79" t="s">
        <v>75</v>
      </c>
      <c r="Z10" s="79" t="s">
        <v>75</v>
      </c>
      <c r="AA10" s="79" t="s">
        <v>75</v>
      </c>
      <c r="AB10" s="79" t="s">
        <v>75</v>
      </c>
      <c r="AC10" s="79" t="s">
        <v>75</v>
      </c>
      <c r="AD10" s="79" t="s">
        <v>75</v>
      </c>
      <c r="AE10" s="79" t="s">
        <v>75</v>
      </c>
      <c r="AF10" s="79" t="s">
        <v>75</v>
      </c>
      <c r="AG10" s="79" t="s">
        <v>75</v>
      </c>
      <c r="AH10" s="79" t="s">
        <v>75</v>
      </c>
      <c r="AI10" s="78">
        <v>0.10199999999999999</v>
      </c>
      <c r="AJ10" s="79" t="s">
        <v>75</v>
      </c>
      <c r="AK10" s="79" t="s">
        <v>75</v>
      </c>
      <c r="AL10" s="79" t="s">
        <v>75</v>
      </c>
      <c r="AM10" s="79" t="s">
        <v>75</v>
      </c>
      <c r="AN10" s="79" t="s">
        <v>75</v>
      </c>
      <c r="AO10" s="78">
        <f t="shared" si="2"/>
        <v>0.53968253968253965</v>
      </c>
      <c r="AP10" s="78">
        <v>0.189</v>
      </c>
      <c r="AQ10" s="78">
        <v>0.13300000000000001</v>
      </c>
      <c r="AR10" s="78">
        <f>AP10/F10</f>
        <v>0.1210762331838565</v>
      </c>
      <c r="AS10" s="78">
        <f t="shared" si="3"/>
        <v>1.4210526315789473</v>
      </c>
      <c r="AT10" s="79" t="s">
        <v>75</v>
      </c>
      <c r="AU10" s="78">
        <v>8.1000000000000003E-2</v>
      </c>
      <c r="AV10" s="78">
        <v>0.1</v>
      </c>
      <c r="AW10" s="78">
        <f t="shared" si="7"/>
        <v>0.80999999999999994</v>
      </c>
      <c r="AX10" s="80">
        <f>AP10/AU10</f>
        <v>2.3333333333333335</v>
      </c>
      <c r="AY10" s="215" t="s">
        <v>75</v>
      </c>
      <c r="AZ10" s="216" t="s">
        <v>75</v>
      </c>
      <c r="BA10" s="77"/>
      <c r="BB10" s="77"/>
      <c r="BC10" s="217"/>
    </row>
    <row r="11" spans="2:55" ht="12.75" customHeight="1" x14ac:dyDescent="0.2">
      <c r="B11" s="83">
        <v>15159</v>
      </c>
      <c r="C11" s="70" t="s">
        <v>261</v>
      </c>
      <c r="D11" s="71" t="s">
        <v>142</v>
      </c>
      <c r="E11" s="71" t="s">
        <v>204</v>
      </c>
      <c r="F11" s="72">
        <v>1.6419999999999999</v>
      </c>
      <c r="G11" s="82">
        <f>I11+J11+K11+L11+M11+N11+O11</f>
        <v>4.12</v>
      </c>
      <c r="H11" s="82">
        <f>G11/F11</f>
        <v>2.5091352009744217</v>
      </c>
      <c r="I11" s="72">
        <v>0.106</v>
      </c>
      <c r="J11" s="72">
        <v>5.3999999999999999E-2</v>
      </c>
      <c r="K11" s="72">
        <v>0.88</v>
      </c>
      <c r="L11" s="72">
        <v>0.61399999999999999</v>
      </c>
      <c r="M11" s="72">
        <v>0.65200000000000002</v>
      </c>
      <c r="N11" s="72">
        <v>0.13400000000000001</v>
      </c>
      <c r="O11" s="72">
        <v>1.68</v>
      </c>
      <c r="P11" s="72">
        <f>N:N+O:O</f>
        <v>1.8140000000000001</v>
      </c>
      <c r="Q11" s="82">
        <f>(N11+O11)/K11</f>
        <v>2.0613636363636365</v>
      </c>
      <c r="R11" s="82">
        <f t="shared" si="0"/>
        <v>0.74090909090909096</v>
      </c>
      <c r="S11" s="82">
        <f t="shared" si="1"/>
        <v>0.69772727272727275</v>
      </c>
      <c r="T11" s="82">
        <f>O11/N11</f>
        <v>12.53731343283582</v>
      </c>
      <c r="U11" s="72">
        <v>0.26600000000000001</v>
      </c>
      <c r="V11" s="72">
        <f t="shared" si="5"/>
        <v>15.488721804511277</v>
      </c>
      <c r="W11" s="73" t="s">
        <v>75</v>
      </c>
      <c r="X11" s="72">
        <v>7.5999999999999998E-2</v>
      </c>
      <c r="Y11" s="73" t="s">
        <v>75</v>
      </c>
      <c r="Z11" s="72">
        <v>0.40200000000000002</v>
      </c>
      <c r="AA11" s="72">
        <v>0.54200000000000004</v>
      </c>
      <c r="AB11" s="72">
        <f t="shared" ref="AB11:AB24" si="9">AA11/F11</f>
        <v>0.33008526187576132</v>
      </c>
      <c r="AC11" s="72">
        <v>1.123</v>
      </c>
      <c r="AD11" s="72">
        <f t="shared" ref="AD11:AD24" si="10">AC11/F11</f>
        <v>0.68392204628501829</v>
      </c>
      <c r="AE11" s="72">
        <v>9.7000000000000003E-2</v>
      </c>
      <c r="AF11" s="72">
        <f>AE:AE/K:K</f>
        <v>0.11022727272727273</v>
      </c>
      <c r="AG11" s="72">
        <f>AE:AE/P:P</f>
        <v>5.3472987872105845E-2</v>
      </c>
      <c r="AH11" s="72">
        <f>AE:AE/N:N</f>
        <v>0.72388059701492535</v>
      </c>
      <c r="AI11" s="72">
        <v>9.1999999999999998E-2</v>
      </c>
      <c r="AJ11" s="73" t="s">
        <v>75</v>
      </c>
      <c r="AK11" s="73" t="s">
        <v>75</v>
      </c>
      <c r="AL11" s="72">
        <f t="shared" si="8"/>
        <v>0.94845360824742264</v>
      </c>
      <c r="AM11" s="72">
        <f t="shared" si="6"/>
        <v>0.68656716417910446</v>
      </c>
      <c r="AN11" s="72">
        <f t="shared" si="4"/>
        <v>0.10454545454545454</v>
      </c>
      <c r="AO11" s="72">
        <f t="shared" si="2"/>
        <v>0.52571428571428569</v>
      </c>
      <c r="AP11" s="72">
        <v>0.17499999999999999</v>
      </c>
      <c r="AQ11" s="72">
        <v>0.10100000000000001</v>
      </c>
      <c r="AR11" s="72">
        <f>AP11/F11</f>
        <v>0.10657734470158343</v>
      </c>
      <c r="AS11" s="72">
        <f t="shared" si="3"/>
        <v>1.7326732673267324</v>
      </c>
      <c r="AT11" s="72">
        <f>AP11/K11</f>
        <v>0.19886363636363635</v>
      </c>
      <c r="AU11" s="73" t="s">
        <v>75</v>
      </c>
      <c r="AV11" s="73" t="s">
        <v>75</v>
      </c>
      <c r="AW11" s="73" t="s">
        <v>75</v>
      </c>
      <c r="AX11" s="110" t="s">
        <v>75</v>
      </c>
      <c r="AY11" s="224" t="s">
        <v>75</v>
      </c>
      <c r="AZ11" s="225" t="s">
        <v>75</v>
      </c>
      <c r="BA11" s="71"/>
      <c r="BB11" s="71"/>
      <c r="BC11" s="226"/>
    </row>
    <row r="12" spans="2:55" ht="12.75" customHeight="1" x14ac:dyDescent="0.2">
      <c r="B12" s="69"/>
      <c r="C12" s="71"/>
      <c r="D12" s="71"/>
      <c r="E12" s="71"/>
      <c r="F12" s="72">
        <v>1.6419999999999999</v>
      </c>
      <c r="G12" s="110" t="s">
        <v>75</v>
      </c>
      <c r="H12" s="110" t="s">
        <v>75</v>
      </c>
      <c r="I12" s="72">
        <v>0.10100000000000001</v>
      </c>
      <c r="J12" s="73" t="s">
        <v>75</v>
      </c>
      <c r="K12" s="72">
        <v>0.83699999999999997</v>
      </c>
      <c r="L12" s="72">
        <v>0.64600000000000002</v>
      </c>
      <c r="M12" s="72">
        <v>0.66100000000000003</v>
      </c>
      <c r="N12" s="72">
        <v>0.14000000000000001</v>
      </c>
      <c r="O12" s="73" t="s">
        <v>75</v>
      </c>
      <c r="P12" s="73" t="s">
        <v>75</v>
      </c>
      <c r="Q12" s="110" t="s">
        <v>75</v>
      </c>
      <c r="R12" s="82">
        <f t="shared" si="0"/>
        <v>0.78972520908004784</v>
      </c>
      <c r="S12" s="82">
        <f t="shared" si="1"/>
        <v>0.77180406212664288</v>
      </c>
      <c r="T12" s="110" t="s">
        <v>75</v>
      </c>
      <c r="U12" s="72">
        <v>0.26600000000000001</v>
      </c>
      <c r="V12" s="73" t="s">
        <v>75</v>
      </c>
      <c r="W12" s="73" t="s">
        <v>75</v>
      </c>
      <c r="X12" s="72">
        <v>8.1000000000000003E-2</v>
      </c>
      <c r="Y12" s="73" t="s">
        <v>75</v>
      </c>
      <c r="Z12" s="73" t="s">
        <v>75</v>
      </c>
      <c r="AA12" s="72">
        <v>0.57999999999999996</v>
      </c>
      <c r="AB12" s="72">
        <f t="shared" si="9"/>
        <v>0.35322777101096225</v>
      </c>
      <c r="AC12" s="72">
        <v>1.147</v>
      </c>
      <c r="AD12" s="72">
        <f t="shared" si="10"/>
        <v>0.69853836784409262</v>
      </c>
      <c r="AE12" s="72">
        <v>0.104</v>
      </c>
      <c r="AF12" s="72">
        <f>AE:AE/K:K</f>
        <v>0.12425328554360812</v>
      </c>
      <c r="AG12" s="73" t="s">
        <v>75</v>
      </c>
      <c r="AH12" s="72">
        <f>AE:AE/N:N</f>
        <v>0.74285714285714277</v>
      </c>
      <c r="AI12" s="72">
        <v>9.1999999999999998E-2</v>
      </c>
      <c r="AJ12" s="73" t="s">
        <v>75</v>
      </c>
      <c r="AK12" s="73" t="s">
        <v>75</v>
      </c>
      <c r="AL12" s="72">
        <f t="shared" si="8"/>
        <v>0.88461538461538469</v>
      </c>
      <c r="AM12" s="72">
        <f t="shared" si="6"/>
        <v>0.65714285714285703</v>
      </c>
      <c r="AN12" s="72">
        <f t="shared" si="4"/>
        <v>0.10991636798088411</v>
      </c>
      <c r="AO12" s="73" t="s">
        <v>75</v>
      </c>
      <c r="AP12" s="73" t="s">
        <v>75</v>
      </c>
      <c r="AQ12" s="73" t="s">
        <v>75</v>
      </c>
      <c r="AR12" s="73" t="s">
        <v>75</v>
      </c>
      <c r="AS12" s="73" t="s">
        <v>75</v>
      </c>
      <c r="AT12" s="73" t="s">
        <v>75</v>
      </c>
      <c r="AU12" s="73" t="s">
        <v>75</v>
      </c>
      <c r="AV12" s="73" t="s">
        <v>75</v>
      </c>
      <c r="AW12" s="73" t="s">
        <v>75</v>
      </c>
      <c r="AX12" s="110" t="s">
        <v>75</v>
      </c>
      <c r="AY12" s="224" t="s">
        <v>75</v>
      </c>
      <c r="AZ12" s="225" t="s">
        <v>75</v>
      </c>
      <c r="BA12" s="71"/>
      <c r="BB12" s="71"/>
      <c r="BC12" s="226"/>
    </row>
    <row r="13" spans="2:55" ht="12.75" customHeight="1" x14ac:dyDescent="0.2">
      <c r="B13" s="86">
        <v>21720</v>
      </c>
      <c r="C13" s="76" t="s">
        <v>261</v>
      </c>
      <c r="D13" s="77" t="s">
        <v>249</v>
      </c>
      <c r="E13" s="77" t="s">
        <v>179</v>
      </c>
      <c r="F13" s="80">
        <f>1.176+0.442</f>
        <v>1.6179999999999999</v>
      </c>
      <c r="G13" s="80">
        <f>I13+J13+K13+L13+M13+N13+O13</f>
        <v>3.99</v>
      </c>
      <c r="H13" s="80">
        <f>G13/F13</f>
        <v>2.466007416563659</v>
      </c>
      <c r="I13" s="80">
        <v>0.10199999999999999</v>
      </c>
      <c r="J13" s="80">
        <v>6.0999999999999999E-2</v>
      </c>
      <c r="K13" s="80">
        <v>0.89</v>
      </c>
      <c r="L13" s="80">
        <v>0.64</v>
      </c>
      <c r="M13" s="80">
        <v>0.64</v>
      </c>
      <c r="N13" s="80">
        <v>0.11700000000000001</v>
      </c>
      <c r="O13" s="80">
        <v>1.54</v>
      </c>
      <c r="P13" s="78">
        <f>N:N+O:O</f>
        <v>1.657</v>
      </c>
      <c r="Q13" s="80">
        <f>(N13+O13)/K13</f>
        <v>1.8617977528089888</v>
      </c>
      <c r="R13" s="80">
        <f t="shared" si="0"/>
        <v>0.7191011235955056</v>
      </c>
      <c r="S13" s="80">
        <f t="shared" si="1"/>
        <v>0.7191011235955056</v>
      </c>
      <c r="T13" s="80">
        <f>O13/N13</f>
        <v>13.162393162393162</v>
      </c>
      <c r="U13" s="80">
        <v>0.3</v>
      </c>
      <c r="V13" s="78">
        <f t="shared" si="5"/>
        <v>13.3</v>
      </c>
      <c r="W13" s="80">
        <v>0.6</v>
      </c>
      <c r="X13" s="80">
        <v>9.9000000000000005E-2</v>
      </c>
      <c r="Y13" s="78">
        <f t="shared" ref="Y13:Y23" si="11">W:W/X:X</f>
        <v>6.0606060606060597</v>
      </c>
      <c r="Z13" s="80">
        <v>0.38</v>
      </c>
      <c r="AA13" s="80">
        <v>0.54</v>
      </c>
      <c r="AB13" s="78">
        <f t="shared" si="9"/>
        <v>0.33374536464771326</v>
      </c>
      <c r="AC13" s="80">
        <v>1.044</v>
      </c>
      <c r="AD13" s="78">
        <f t="shared" si="10"/>
        <v>0.64524103831891233</v>
      </c>
      <c r="AE13" s="80">
        <v>0.105</v>
      </c>
      <c r="AF13" s="78">
        <f>AE:AE/K:K</f>
        <v>0.11797752808988764</v>
      </c>
      <c r="AG13" s="78">
        <f>AE:AE/P:P</f>
        <v>6.336753168376584E-2</v>
      </c>
      <c r="AH13" s="78">
        <f>AE:AE/N:N</f>
        <v>0.89743589743589736</v>
      </c>
      <c r="AI13" s="80">
        <v>0.09</v>
      </c>
      <c r="AJ13" s="80">
        <v>6.7000000000000004E-2</v>
      </c>
      <c r="AK13" s="78">
        <f t="shared" ref="AK13:AK65" si="12">AI13/AJ13</f>
        <v>1.3432835820895521</v>
      </c>
      <c r="AL13" s="78">
        <f t="shared" si="8"/>
        <v>0.8571428571428571</v>
      </c>
      <c r="AM13" s="78">
        <f t="shared" si="6"/>
        <v>0.76923076923076916</v>
      </c>
      <c r="AN13" s="78">
        <f t="shared" si="4"/>
        <v>0.10112359550561797</v>
      </c>
      <c r="AO13" s="78">
        <f t="shared" si="2"/>
        <v>0.55900621118012417</v>
      </c>
      <c r="AP13" s="80">
        <v>0.161</v>
      </c>
      <c r="AQ13" s="80">
        <v>0.112</v>
      </c>
      <c r="AR13" s="78">
        <f>AP13/F13</f>
        <v>9.9505562422744137E-2</v>
      </c>
      <c r="AS13" s="78">
        <f t="shared" si="3"/>
        <v>1.4375</v>
      </c>
      <c r="AT13" s="78">
        <f>AP13/K13</f>
        <v>0.1808988764044944</v>
      </c>
      <c r="AU13" s="80">
        <v>0.104</v>
      </c>
      <c r="AV13" s="80">
        <v>0.11600000000000001</v>
      </c>
      <c r="AW13" s="78">
        <f t="shared" ref="AW13:AW20" si="13">AU13/AV13</f>
        <v>0.89655172413793094</v>
      </c>
      <c r="AX13" s="80">
        <f>AP13/AU13</f>
        <v>1.5480769230769231</v>
      </c>
      <c r="AY13" s="215" t="s">
        <v>75</v>
      </c>
      <c r="AZ13" s="180">
        <v>18</v>
      </c>
      <c r="BA13" s="77"/>
      <c r="BB13" s="77"/>
      <c r="BC13" s="217"/>
    </row>
    <row r="14" spans="2:55" ht="12.75" customHeight="1" x14ac:dyDescent="0.2">
      <c r="B14" s="75"/>
      <c r="C14" s="77"/>
      <c r="D14" s="77"/>
      <c r="E14" s="77"/>
      <c r="F14" s="80">
        <f>1.176+0.442</f>
        <v>1.6179999999999999</v>
      </c>
      <c r="G14" s="80">
        <f>I14+J14+K14+L14+M14+N14+O14</f>
        <v>4.0609999999999999</v>
      </c>
      <c r="H14" s="80">
        <f>G14/F14</f>
        <v>2.5098887515451174</v>
      </c>
      <c r="I14" s="80">
        <v>0.10199999999999999</v>
      </c>
      <c r="J14" s="80">
        <v>5.8999999999999997E-2</v>
      </c>
      <c r="K14" s="80">
        <v>0.87</v>
      </c>
      <c r="L14" s="80">
        <v>0.63</v>
      </c>
      <c r="M14" s="80">
        <v>0.64</v>
      </c>
      <c r="N14" s="80">
        <v>0.122</v>
      </c>
      <c r="O14" s="80">
        <f>0.917+0.467+0.254</f>
        <v>1.6380000000000001</v>
      </c>
      <c r="P14" s="78">
        <f>N:N+O:O</f>
        <v>1.7600000000000002</v>
      </c>
      <c r="Q14" s="80">
        <f>(N14+O14)/K14</f>
        <v>2.0229885057471266</v>
      </c>
      <c r="R14" s="80">
        <f t="shared" si="0"/>
        <v>0.73563218390804597</v>
      </c>
      <c r="S14" s="80">
        <f t="shared" si="1"/>
        <v>0.72413793103448276</v>
      </c>
      <c r="T14" s="80">
        <f>O14/N14</f>
        <v>13.426229508196723</v>
      </c>
      <c r="U14" s="80">
        <v>0.3</v>
      </c>
      <c r="V14" s="78">
        <f t="shared" si="5"/>
        <v>13.536666666666667</v>
      </c>
      <c r="W14" s="80">
        <v>0.60299999999999998</v>
      </c>
      <c r="X14" s="80">
        <v>9.9000000000000005E-2</v>
      </c>
      <c r="Y14" s="78">
        <f t="shared" si="11"/>
        <v>6.0909090909090908</v>
      </c>
      <c r="Z14" s="114" t="s">
        <v>75</v>
      </c>
      <c r="AA14" s="80">
        <v>0.56999999999999995</v>
      </c>
      <c r="AB14" s="78">
        <f t="shared" si="9"/>
        <v>0.35228677379480838</v>
      </c>
      <c r="AC14" s="80">
        <v>1.0620000000000001</v>
      </c>
      <c r="AD14" s="78">
        <f t="shared" si="10"/>
        <v>0.65636588380716943</v>
      </c>
      <c r="AE14" s="80">
        <v>0.1</v>
      </c>
      <c r="AF14" s="78">
        <f>AE:AE/K:K</f>
        <v>0.1149425287356322</v>
      </c>
      <c r="AG14" s="78">
        <f>AE:AE/P:P</f>
        <v>5.6818181818181816E-2</v>
      </c>
      <c r="AH14" s="78">
        <f>AE:AE/N:N</f>
        <v>0.81967213114754101</v>
      </c>
      <c r="AI14" s="80">
        <v>0.09</v>
      </c>
      <c r="AJ14" s="80">
        <v>6.7000000000000004E-2</v>
      </c>
      <c r="AK14" s="78">
        <f t="shared" si="12"/>
        <v>1.3432835820895521</v>
      </c>
      <c r="AL14" s="78">
        <f t="shared" si="8"/>
        <v>0.89999999999999991</v>
      </c>
      <c r="AM14" s="78">
        <f t="shared" si="6"/>
        <v>0.73770491803278693</v>
      </c>
      <c r="AN14" s="78">
        <f t="shared" si="4"/>
        <v>0.10344827586206896</v>
      </c>
      <c r="AO14" s="78">
        <f t="shared" si="2"/>
        <v>0.54545454545454541</v>
      </c>
      <c r="AP14" s="80">
        <v>0.16500000000000001</v>
      </c>
      <c r="AQ14" s="80">
        <v>0.11899999999999999</v>
      </c>
      <c r="AR14" s="78">
        <f>AP14/F14</f>
        <v>0.10197775030902349</v>
      </c>
      <c r="AS14" s="78">
        <f t="shared" si="3"/>
        <v>1.3865546218487397</v>
      </c>
      <c r="AT14" s="78">
        <f>AP14/K14</f>
        <v>0.18965517241379312</v>
      </c>
      <c r="AU14" s="80">
        <v>0.104</v>
      </c>
      <c r="AV14" s="80">
        <v>0.11600000000000001</v>
      </c>
      <c r="AW14" s="78">
        <f t="shared" si="13"/>
        <v>0.89655172413793094</v>
      </c>
      <c r="AX14" s="80">
        <f>AP14/AU14</f>
        <v>1.5865384615384617</v>
      </c>
      <c r="AY14" s="215" t="s">
        <v>75</v>
      </c>
      <c r="AZ14" s="218" t="s">
        <v>75</v>
      </c>
      <c r="BA14" s="77"/>
      <c r="BB14" s="77"/>
      <c r="BC14" s="217"/>
    </row>
    <row r="15" spans="2:55" ht="12.75" customHeight="1" x14ac:dyDescent="0.2">
      <c r="B15" s="83">
        <v>21720</v>
      </c>
      <c r="C15" s="70" t="s">
        <v>261</v>
      </c>
      <c r="D15" s="71" t="s">
        <v>249</v>
      </c>
      <c r="E15" s="71" t="s">
        <v>179</v>
      </c>
      <c r="F15" s="82">
        <v>1.4</v>
      </c>
      <c r="G15" s="110" t="s">
        <v>75</v>
      </c>
      <c r="H15" s="110" t="s">
        <v>75</v>
      </c>
      <c r="I15" s="82">
        <v>0.10199999999999999</v>
      </c>
      <c r="J15" s="82">
        <v>5.2999999999999999E-2</v>
      </c>
      <c r="K15" s="110" t="s">
        <v>75</v>
      </c>
      <c r="L15" s="110" t="s">
        <v>75</v>
      </c>
      <c r="M15" s="110" t="s">
        <v>75</v>
      </c>
      <c r="N15" s="110" t="s">
        <v>75</v>
      </c>
      <c r="O15" s="110" t="s">
        <v>75</v>
      </c>
      <c r="P15" s="73" t="s">
        <v>75</v>
      </c>
      <c r="Q15" s="110" t="s">
        <v>75</v>
      </c>
      <c r="R15" s="110" t="s">
        <v>75</v>
      </c>
      <c r="S15" s="110" t="s">
        <v>75</v>
      </c>
      <c r="T15" s="110" t="s">
        <v>75</v>
      </c>
      <c r="U15" s="82">
        <v>0.3</v>
      </c>
      <c r="V15" s="73" t="s">
        <v>75</v>
      </c>
      <c r="W15" s="82">
        <v>0.56999999999999995</v>
      </c>
      <c r="X15" s="82">
        <v>0.09</v>
      </c>
      <c r="Y15" s="72">
        <f t="shared" si="11"/>
        <v>6.333333333333333</v>
      </c>
      <c r="Z15" s="82">
        <v>0.37</v>
      </c>
      <c r="AA15" s="82">
        <v>0.51</v>
      </c>
      <c r="AB15" s="72">
        <f t="shared" si="9"/>
        <v>0.36428571428571432</v>
      </c>
      <c r="AC15" s="82">
        <v>1.044</v>
      </c>
      <c r="AD15" s="72">
        <f t="shared" si="10"/>
        <v>0.74571428571428577</v>
      </c>
      <c r="AE15" s="82">
        <v>0.113</v>
      </c>
      <c r="AF15" s="73" t="s">
        <v>75</v>
      </c>
      <c r="AG15" s="73" t="s">
        <v>75</v>
      </c>
      <c r="AH15" s="73" t="s">
        <v>75</v>
      </c>
      <c r="AI15" s="82">
        <v>0.1</v>
      </c>
      <c r="AJ15" s="82">
        <v>5.8999999999999997E-2</v>
      </c>
      <c r="AK15" s="72">
        <f t="shared" si="12"/>
        <v>1.6949152542372883</v>
      </c>
      <c r="AL15" s="72">
        <f t="shared" si="8"/>
        <v>0.88495575221238942</v>
      </c>
      <c r="AM15" s="73" t="s">
        <v>75</v>
      </c>
      <c r="AN15" s="73" t="s">
        <v>75</v>
      </c>
      <c r="AO15" s="72">
        <f t="shared" si="2"/>
        <v>0.59880239520958078</v>
      </c>
      <c r="AP15" s="82">
        <v>0.16700000000000001</v>
      </c>
      <c r="AQ15" s="82">
        <v>0.104</v>
      </c>
      <c r="AR15" s="72">
        <f>AP15/F15</f>
        <v>0.1192857142857143</v>
      </c>
      <c r="AS15" s="72">
        <f t="shared" si="3"/>
        <v>1.6057692307692308</v>
      </c>
      <c r="AT15" s="73" t="s">
        <v>75</v>
      </c>
      <c r="AU15" s="82">
        <v>0.109</v>
      </c>
      <c r="AV15" s="82">
        <v>0.108</v>
      </c>
      <c r="AW15" s="72">
        <f t="shared" si="13"/>
        <v>1.0092592592592593</v>
      </c>
      <c r="AX15" s="82">
        <f>AP15/AU15</f>
        <v>1.5321100917431194</v>
      </c>
      <c r="AY15" s="224" t="s">
        <v>75</v>
      </c>
      <c r="AZ15" s="227" t="s">
        <v>75</v>
      </c>
      <c r="BA15" s="71"/>
      <c r="BB15" s="71"/>
      <c r="BC15" s="226"/>
    </row>
    <row r="16" spans="2:55" ht="12.75" customHeight="1" x14ac:dyDescent="0.2">
      <c r="B16" s="69"/>
      <c r="C16" s="71"/>
      <c r="D16" s="71"/>
      <c r="E16" s="71"/>
      <c r="F16" s="82">
        <v>1.4</v>
      </c>
      <c r="G16" s="110" t="s">
        <v>75</v>
      </c>
      <c r="H16" s="110" t="s">
        <v>75</v>
      </c>
      <c r="I16" s="82">
        <v>0.1</v>
      </c>
      <c r="J16" s="110" t="s">
        <v>75</v>
      </c>
      <c r="K16" s="110" t="s">
        <v>75</v>
      </c>
      <c r="L16" s="110" t="s">
        <v>75</v>
      </c>
      <c r="M16" s="110" t="s">
        <v>75</v>
      </c>
      <c r="N16" s="110" t="s">
        <v>75</v>
      </c>
      <c r="O16" s="110" t="s">
        <v>75</v>
      </c>
      <c r="P16" s="73" t="s">
        <v>75</v>
      </c>
      <c r="Q16" s="110" t="s">
        <v>75</v>
      </c>
      <c r="R16" s="110" t="s">
        <v>75</v>
      </c>
      <c r="S16" s="110" t="s">
        <v>75</v>
      </c>
      <c r="T16" s="110" t="s">
        <v>75</v>
      </c>
      <c r="U16" s="82">
        <v>0.3</v>
      </c>
      <c r="V16" s="73" t="s">
        <v>75</v>
      </c>
      <c r="W16" s="82">
        <v>0.61</v>
      </c>
      <c r="X16" s="82">
        <v>0.09</v>
      </c>
      <c r="Y16" s="72">
        <f t="shared" si="11"/>
        <v>6.7777777777777777</v>
      </c>
      <c r="Z16" s="110" t="s">
        <v>75</v>
      </c>
      <c r="AA16" s="82">
        <v>0.52</v>
      </c>
      <c r="AB16" s="72">
        <f t="shared" si="9"/>
        <v>0.37142857142857144</v>
      </c>
      <c r="AC16" s="82">
        <v>1.0620000000000001</v>
      </c>
      <c r="AD16" s="72">
        <f t="shared" si="10"/>
        <v>0.75857142857142867</v>
      </c>
      <c r="AE16" s="82">
        <v>0.104</v>
      </c>
      <c r="AF16" s="73" t="s">
        <v>75</v>
      </c>
      <c r="AG16" s="73" t="s">
        <v>75</v>
      </c>
      <c r="AH16" s="73" t="s">
        <v>75</v>
      </c>
      <c r="AI16" s="82">
        <v>0.1</v>
      </c>
      <c r="AJ16" s="82">
        <v>5.8999999999999997E-2</v>
      </c>
      <c r="AK16" s="72">
        <f t="shared" si="12"/>
        <v>1.6949152542372883</v>
      </c>
      <c r="AL16" s="72">
        <f t="shared" si="8"/>
        <v>0.96153846153846168</v>
      </c>
      <c r="AM16" s="73" t="s">
        <v>75</v>
      </c>
      <c r="AN16" s="73" t="s">
        <v>75</v>
      </c>
      <c r="AO16" s="73" t="s">
        <v>75</v>
      </c>
      <c r="AP16" s="110" t="s">
        <v>75</v>
      </c>
      <c r="AQ16" s="110" t="s">
        <v>75</v>
      </c>
      <c r="AR16" s="73" t="s">
        <v>75</v>
      </c>
      <c r="AS16" s="73" t="s">
        <v>75</v>
      </c>
      <c r="AT16" s="73" t="s">
        <v>75</v>
      </c>
      <c r="AU16" s="82">
        <v>0.109</v>
      </c>
      <c r="AV16" s="82">
        <v>0.108</v>
      </c>
      <c r="AW16" s="72">
        <f t="shared" si="13"/>
        <v>1.0092592592592593</v>
      </c>
      <c r="AX16" s="110" t="s">
        <v>75</v>
      </c>
      <c r="AY16" s="224" t="s">
        <v>75</v>
      </c>
      <c r="AZ16" s="227" t="s">
        <v>75</v>
      </c>
      <c r="BA16" s="71"/>
      <c r="BB16" s="71"/>
      <c r="BC16" s="226"/>
    </row>
    <row r="17" spans="2:55" ht="12.75" customHeight="1" x14ac:dyDescent="0.2">
      <c r="B17" s="86">
        <v>21720</v>
      </c>
      <c r="C17" s="76" t="s">
        <v>261</v>
      </c>
      <c r="D17" s="77" t="s">
        <v>249</v>
      </c>
      <c r="E17" s="77" t="s">
        <v>179</v>
      </c>
      <c r="F17" s="80">
        <v>1.57</v>
      </c>
      <c r="G17" s="80">
        <f>I17+J17+K17+L17+M17+N17+O17</f>
        <v>4.0220000000000002</v>
      </c>
      <c r="H17" s="80">
        <f>G17/F17</f>
        <v>2.561783439490446</v>
      </c>
      <c r="I17" s="80">
        <v>9.1999999999999998E-2</v>
      </c>
      <c r="J17" s="80">
        <v>4.9000000000000002E-2</v>
      </c>
      <c r="K17" s="80">
        <v>0.85</v>
      </c>
      <c r="L17" s="80">
        <v>0.6</v>
      </c>
      <c r="M17" s="80">
        <v>0.66</v>
      </c>
      <c r="N17" s="80">
        <v>0.13400000000000001</v>
      </c>
      <c r="O17" s="80">
        <f>0.738+0.199+0.197+0.189+0.314</f>
        <v>1.6370000000000002</v>
      </c>
      <c r="P17" s="78">
        <f>N:N+O:O</f>
        <v>1.7710000000000004</v>
      </c>
      <c r="Q17" s="80">
        <f>(N17+O17)/K17</f>
        <v>2.0835294117647063</v>
      </c>
      <c r="R17" s="80">
        <f t="shared" si="0"/>
        <v>0.77647058823529413</v>
      </c>
      <c r="S17" s="80">
        <f t="shared" si="1"/>
        <v>0.70588235294117652</v>
      </c>
      <c r="T17" s="80">
        <f>O17/N17</f>
        <v>12.216417910447761</v>
      </c>
      <c r="U17" s="80">
        <v>0.28000000000000003</v>
      </c>
      <c r="V17" s="78">
        <f t="shared" si="5"/>
        <v>14.364285714285714</v>
      </c>
      <c r="W17" s="80">
        <v>0.59</v>
      </c>
      <c r="X17" s="80">
        <v>9.7000000000000003E-2</v>
      </c>
      <c r="Y17" s="78">
        <f t="shared" si="11"/>
        <v>6.0824742268041234</v>
      </c>
      <c r="Z17" s="80">
        <v>0.4</v>
      </c>
      <c r="AA17" s="80">
        <v>0.52</v>
      </c>
      <c r="AB17" s="78">
        <f t="shared" si="9"/>
        <v>0.33121019108280253</v>
      </c>
      <c r="AC17" s="80">
        <v>1.1399999999999999</v>
      </c>
      <c r="AD17" s="78">
        <f t="shared" si="10"/>
        <v>0.72611464968152861</v>
      </c>
      <c r="AE17" s="80">
        <v>9.7000000000000003E-2</v>
      </c>
      <c r="AF17" s="78">
        <f t="shared" ref="AF17:AF23" si="14">AE:AE/K:K</f>
        <v>0.11411764705882353</v>
      </c>
      <c r="AG17" s="78">
        <f>AE:AE/P:P</f>
        <v>5.4771315640880849E-2</v>
      </c>
      <c r="AH17" s="78">
        <f>AE:AE/N:N</f>
        <v>0.72388059701492535</v>
      </c>
      <c r="AI17" s="114" t="s">
        <v>75</v>
      </c>
      <c r="AJ17" s="114" t="s">
        <v>75</v>
      </c>
      <c r="AK17" s="79" t="s">
        <v>75</v>
      </c>
      <c r="AL17" s="79" t="s">
        <v>75</v>
      </c>
      <c r="AM17" s="79" t="s">
        <v>75</v>
      </c>
      <c r="AN17" s="79" t="s">
        <v>75</v>
      </c>
      <c r="AO17" s="79" t="s">
        <v>75</v>
      </c>
      <c r="AP17" s="80">
        <v>0.17</v>
      </c>
      <c r="AQ17" s="80">
        <v>0.104</v>
      </c>
      <c r="AR17" s="78">
        <f t="shared" ref="AR17:AR22" si="15">AP17/F17</f>
        <v>0.10828025477707007</v>
      </c>
      <c r="AS17" s="78">
        <f t="shared" si="3"/>
        <v>1.6346153846153848</v>
      </c>
      <c r="AT17" s="78">
        <f t="shared" ref="AT17:AT22" si="16">AP17/K17</f>
        <v>0.2</v>
      </c>
      <c r="AU17" s="80">
        <v>0.112</v>
      </c>
      <c r="AV17" s="80">
        <v>0.10299999999999999</v>
      </c>
      <c r="AW17" s="78">
        <f t="shared" si="13"/>
        <v>1.0873786407766992</v>
      </c>
      <c r="AX17" s="80">
        <f>AP17/AU17</f>
        <v>1.517857142857143</v>
      </c>
      <c r="AY17" s="215" t="s">
        <v>75</v>
      </c>
      <c r="AZ17" s="180">
        <v>12</v>
      </c>
      <c r="BA17" s="77"/>
      <c r="BB17" s="77"/>
      <c r="BC17" s="217"/>
    </row>
    <row r="18" spans="2:55" ht="12.75" customHeight="1" x14ac:dyDescent="0.2">
      <c r="B18" s="75"/>
      <c r="C18" s="77"/>
      <c r="D18" s="77"/>
      <c r="E18" s="77"/>
      <c r="F18" s="80">
        <v>1.57</v>
      </c>
      <c r="G18" s="114" t="s">
        <v>75</v>
      </c>
      <c r="H18" s="114" t="s">
        <v>75</v>
      </c>
      <c r="I18" s="80">
        <v>9.5000000000000001E-2</v>
      </c>
      <c r="J18" s="80">
        <v>4.5999999999999999E-2</v>
      </c>
      <c r="K18" s="80">
        <v>0.86</v>
      </c>
      <c r="L18" s="114" t="s">
        <v>75</v>
      </c>
      <c r="M18" s="114" t="s">
        <v>75</v>
      </c>
      <c r="N18" s="114" t="s">
        <v>75</v>
      </c>
      <c r="O18" s="114" t="s">
        <v>75</v>
      </c>
      <c r="P18" s="79" t="s">
        <v>75</v>
      </c>
      <c r="Q18" s="114" t="s">
        <v>75</v>
      </c>
      <c r="R18" s="114" t="s">
        <v>75</v>
      </c>
      <c r="S18" s="114" t="s">
        <v>75</v>
      </c>
      <c r="T18" s="114" t="s">
        <v>75</v>
      </c>
      <c r="U18" s="80">
        <v>0.28000000000000003</v>
      </c>
      <c r="V18" s="79" t="s">
        <v>75</v>
      </c>
      <c r="W18" s="80">
        <v>0.56000000000000005</v>
      </c>
      <c r="X18" s="80">
        <v>9.1999999999999998E-2</v>
      </c>
      <c r="Y18" s="78">
        <f t="shared" si="11"/>
        <v>6.0869565217391308</v>
      </c>
      <c r="Z18" s="114" t="s">
        <v>75</v>
      </c>
      <c r="AA18" s="80">
        <v>0.54</v>
      </c>
      <c r="AB18" s="78">
        <f t="shared" si="9"/>
        <v>0.3439490445859873</v>
      </c>
      <c r="AC18" s="80">
        <v>1.1200000000000001</v>
      </c>
      <c r="AD18" s="78">
        <f t="shared" si="10"/>
        <v>0.71337579617834401</v>
      </c>
      <c r="AE18" s="80">
        <v>0.107</v>
      </c>
      <c r="AF18" s="78">
        <f t="shared" si="14"/>
        <v>0.12441860465116279</v>
      </c>
      <c r="AG18" s="79" t="s">
        <v>75</v>
      </c>
      <c r="AH18" s="79" t="s">
        <v>75</v>
      </c>
      <c r="AI18" s="114" t="s">
        <v>75</v>
      </c>
      <c r="AJ18" s="114" t="s">
        <v>75</v>
      </c>
      <c r="AK18" s="79" t="s">
        <v>75</v>
      </c>
      <c r="AL18" s="79" t="s">
        <v>75</v>
      </c>
      <c r="AM18" s="79" t="s">
        <v>75</v>
      </c>
      <c r="AN18" s="79" t="s">
        <v>75</v>
      </c>
      <c r="AO18" s="79" t="s">
        <v>75</v>
      </c>
      <c r="AP18" s="80">
        <v>0.155</v>
      </c>
      <c r="AQ18" s="80">
        <v>0.113</v>
      </c>
      <c r="AR18" s="78">
        <f t="shared" si="15"/>
        <v>9.8726114649681521E-2</v>
      </c>
      <c r="AS18" s="78">
        <f t="shared" si="3"/>
        <v>1.3716814159292035</v>
      </c>
      <c r="AT18" s="78">
        <f t="shared" si="16"/>
        <v>0.1802325581395349</v>
      </c>
      <c r="AU18" s="80">
        <v>0.112</v>
      </c>
      <c r="AV18" s="80">
        <v>0.10299999999999999</v>
      </c>
      <c r="AW18" s="78">
        <f t="shared" si="13"/>
        <v>1.0873786407766992</v>
      </c>
      <c r="AX18" s="80">
        <f>AP18/AU18</f>
        <v>1.3839285714285714</v>
      </c>
      <c r="AY18" s="215" t="s">
        <v>75</v>
      </c>
      <c r="AZ18" s="180">
        <v>13</v>
      </c>
      <c r="BA18" s="77"/>
      <c r="BB18" s="77"/>
      <c r="BC18" s="217"/>
    </row>
    <row r="19" spans="2:55" ht="12.75" customHeight="1" x14ac:dyDescent="0.2">
      <c r="B19" s="83">
        <v>21720</v>
      </c>
      <c r="C19" s="70" t="s">
        <v>261</v>
      </c>
      <c r="D19" s="71" t="s">
        <v>249</v>
      </c>
      <c r="E19" s="71" t="s">
        <v>179</v>
      </c>
      <c r="F19" s="82">
        <v>1.038</v>
      </c>
      <c r="G19" s="110" t="s">
        <v>75</v>
      </c>
      <c r="H19" s="110" t="s">
        <v>75</v>
      </c>
      <c r="I19" s="82">
        <v>8.7999999999999995E-2</v>
      </c>
      <c r="J19" s="82">
        <v>5.2999999999999999E-2</v>
      </c>
      <c r="K19" s="82">
        <v>0.79</v>
      </c>
      <c r="L19" s="82">
        <v>0.52</v>
      </c>
      <c r="M19" s="82">
        <v>0.57999999999999996</v>
      </c>
      <c r="N19" s="82">
        <v>0.1</v>
      </c>
      <c r="O19" s="82">
        <v>1.056</v>
      </c>
      <c r="P19" s="72">
        <f>N:N+O:O</f>
        <v>1.1560000000000001</v>
      </c>
      <c r="Q19" s="82">
        <f>(N19+O19)/K19</f>
        <v>1.4632911392405064</v>
      </c>
      <c r="R19" s="82">
        <f t="shared" si="0"/>
        <v>0.73417721518987333</v>
      </c>
      <c r="S19" s="82">
        <f t="shared" si="1"/>
        <v>0.65822784810126578</v>
      </c>
      <c r="T19" s="82">
        <f>O19/N19</f>
        <v>10.56</v>
      </c>
      <c r="U19" s="82">
        <v>0.25</v>
      </c>
      <c r="V19" s="73" t="s">
        <v>75</v>
      </c>
      <c r="W19" s="82">
        <v>0.45</v>
      </c>
      <c r="X19" s="82">
        <v>8.3000000000000004E-2</v>
      </c>
      <c r="Y19" s="72">
        <f t="shared" si="11"/>
        <v>5.4216867469879517</v>
      </c>
      <c r="Z19" s="82">
        <v>0.34</v>
      </c>
      <c r="AA19" s="82">
        <v>0.41799999999999998</v>
      </c>
      <c r="AB19" s="72">
        <f t="shared" si="9"/>
        <v>0.40269749518304426</v>
      </c>
      <c r="AC19" s="82">
        <v>0.84</v>
      </c>
      <c r="AD19" s="72">
        <f t="shared" si="10"/>
        <v>0.80924855491329473</v>
      </c>
      <c r="AE19" s="82">
        <v>9.2999999999999999E-2</v>
      </c>
      <c r="AF19" s="72">
        <f t="shared" si="14"/>
        <v>0.11772151898734176</v>
      </c>
      <c r="AG19" s="72">
        <f>AE:AE/P:P</f>
        <v>8.0449826989619361E-2</v>
      </c>
      <c r="AH19" s="72">
        <f>AE:AE/N:N</f>
        <v>0.92999999999999994</v>
      </c>
      <c r="AI19" s="82">
        <v>9.4E-2</v>
      </c>
      <c r="AJ19" s="82">
        <v>5.6000000000000001E-2</v>
      </c>
      <c r="AK19" s="72">
        <f t="shared" si="12"/>
        <v>1.6785714285714286</v>
      </c>
      <c r="AL19" s="72">
        <f t="shared" si="8"/>
        <v>1.010752688172043</v>
      </c>
      <c r="AM19" s="72">
        <f t="shared" si="6"/>
        <v>0.94</v>
      </c>
      <c r="AN19" s="72">
        <f t="shared" si="4"/>
        <v>0.11898734177215189</v>
      </c>
      <c r="AO19" s="72">
        <f t="shared" si="2"/>
        <v>0.65277777777777779</v>
      </c>
      <c r="AP19" s="82">
        <v>0.14399999999999999</v>
      </c>
      <c r="AQ19" s="82">
        <v>0.08</v>
      </c>
      <c r="AR19" s="72">
        <f t="shared" si="15"/>
        <v>0.13872832369942195</v>
      </c>
      <c r="AS19" s="72">
        <f t="shared" si="3"/>
        <v>1.7999999999999998</v>
      </c>
      <c r="AT19" s="72">
        <f t="shared" si="16"/>
        <v>0.1822784810126582</v>
      </c>
      <c r="AU19" s="82">
        <v>0.14000000000000001</v>
      </c>
      <c r="AV19" s="82">
        <v>0.107</v>
      </c>
      <c r="AW19" s="72">
        <f t="shared" si="13"/>
        <v>1.3084112149532712</v>
      </c>
      <c r="AX19" s="82">
        <f>AP19/AU19</f>
        <v>1.0285714285714285</v>
      </c>
      <c r="AY19" s="224" t="s">
        <v>75</v>
      </c>
      <c r="AZ19" s="185">
        <v>14</v>
      </c>
      <c r="BA19" s="71"/>
      <c r="BB19" s="71"/>
      <c r="BC19" s="226"/>
    </row>
    <row r="20" spans="2:55" ht="12.75" customHeight="1" x14ac:dyDescent="0.2">
      <c r="B20" s="69"/>
      <c r="C20" s="71"/>
      <c r="D20" s="71"/>
      <c r="E20" s="71"/>
      <c r="F20" s="82">
        <v>1.038</v>
      </c>
      <c r="G20" s="82">
        <f>I20+J20+K20+L20+M20+N20+O20</f>
        <v>3.5049999999999999</v>
      </c>
      <c r="H20" s="82">
        <f>G20/F20</f>
        <v>3.3766859344894025</v>
      </c>
      <c r="I20" s="82">
        <v>9.0999999999999998E-2</v>
      </c>
      <c r="J20" s="82">
        <v>5.5E-2</v>
      </c>
      <c r="K20" s="82">
        <v>0.74</v>
      </c>
      <c r="L20" s="82">
        <v>0.52</v>
      </c>
      <c r="M20" s="82">
        <v>0.56000000000000005</v>
      </c>
      <c r="N20" s="82">
        <v>0.106</v>
      </c>
      <c r="O20" s="82">
        <f>0.289+0.472+0.672</f>
        <v>1.4329999999999998</v>
      </c>
      <c r="P20" s="72">
        <f>N:N+O:O</f>
        <v>1.5389999999999999</v>
      </c>
      <c r="Q20" s="82">
        <f>(N20+O20)/K20</f>
        <v>2.0797297297297295</v>
      </c>
      <c r="R20" s="82">
        <f t="shared" si="0"/>
        <v>0.7567567567567568</v>
      </c>
      <c r="S20" s="82">
        <f t="shared" si="1"/>
        <v>0.70270270270270274</v>
      </c>
      <c r="T20" s="82">
        <f>O20/N20</f>
        <v>13.518867924528301</v>
      </c>
      <c r="U20" s="82">
        <v>0.25</v>
      </c>
      <c r="V20" s="72">
        <f t="shared" si="5"/>
        <v>14.02</v>
      </c>
      <c r="W20" s="82">
        <v>0.49</v>
      </c>
      <c r="X20" s="82">
        <v>8.1000000000000003E-2</v>
      </c>
      <c r="Y20" s="72">
        <f t="shared" si="11"/>
        <v>6.049382716049382</v>
      </c>
      <c r="Z20" s="82">
        <v>0.34</v>
      </c>
      <c r="AA20" s="82">
        <v>0.40500000000000003</v>
      </c>
      <c r="AB20" s="72">
        <f t="shared" si="9"/>
        <v>0.39017341040462428</v>
      </c>
      <c r="AC20" s="82">
        <v>0.87</v>
      </c>
      <c r="AD20" s="72">
        <f t="shared" si="10"/>
        <v>0.83815028901734101</v>
      </c>
      <c r="AE20" s="82">
        <v>9.0999999999999998E-2</v>
      </c>
      <c r="AF20" s="72">
        <f t="shared" si="14"/>
        <v>0.12297297297297297</v>
      </c>
      <c r="AG20" s="72">
        <f>AE:AE/P:P</f>
        <v>5.9129304743339835E-2</v>
      </c>
      <c r="AH20" s="72">
        <f>AE:AE/N:N</f>
        <v>0.85849056603773588</v>
      </c>
      <c r="AI20" s="82">
        <v>9.4E-2</v>
      </c>
      <c r="AJ20" s="82">
        <v>5.6000000000000001E-2</v>
      </c>
      <c r="AK20" s="72">
        <f t="shared" si="12"/>
        <v>1.6785714285714286</v>
      </c>
      <c r="AL20" s="72">
        <f t="shared" si="8"/>
        <v>1.0329670329670331</v>
      </c>
      <c r="AM20" s="72">
        <f t="shared" si="6"/>
        <v>0.8867924528301887</v>
      </c>
      <c r="AN20" s="72">
        <f t="shared" si="4"/>
        <v>0.12702702702702703</v>
      </c>
      <c r="AO20" s="72">
        <f t="shared" si="2"/>
        <v>0.64827586206896559</v>
      </c>
      <c r="AP20" s="82">
        <v>0.14499999999999999</v>
      </c>
      <c r="AQ20" s="82">
        <v>8.1000000000000003E-2</v>
      </c>
      <c r="AR20" s="72">
        <f t="shared" si="15"/>
        <v>0.1396917148362235</v>
      </c>
      <c r="AS20" s="72">
        <f t="shared" si="3"/>
        <v>1.7901234567901232</v>
      </c>
      <c r="AT20" s="72">
        <f t="shared" si="16"/>
        <v>0.19594594594594594</v>
      </c>
      <c r="AU20" s="82">
        <v>0.14000000000000001</v>
      </c>
      <c r="AV20" s="82">
        <v>0.107</v>
      </c>
      <c r="AW20" s="72">
        <f t="shared" si="13"/>
        <v>1.3084112149532712</v>
      </c>
      <c r="AX20" s="82">
        <f>AP20/AU20</f>
        <v>1.0357142857142856</v>
      </c>
      <c r="AY20" s="224" t="s">
        <v>75</v>
      </c>
      <c r="AZ20" s="185">
        <v>15</v>
      </c>
      <c r="BA20" s="71"/>
      <c r="BB20" s="71"/>
      <c r="BC20" s="226"/>
    </row>
    <row r="21" spans="2:55" ht="12.75" customHeight="1" x14ac:dyDescent="0.2">
      <c r="B21" s="86">
        <v>21720</v>
      </c>
      <c r="C21" s="76" t="s">
        <v>261</v>
      </c>
      <c r="D21" s="77" t="s">
        <v>249</v>
      </c>
      <c r="E21" s="77" t="s">
        <v>179</v>
      </c>
      <c r="F21" s="80">
        <f>1.458+0.637</f>
        <v>2.0949999999999998</v>
      </c>
      <c r="G21" s="114" t="s">
        <v>75</v>
      </c>
      <c r="H21" s="114" t="s">
        <v>75</v>
      </c>
      <c r="I21" s="80">
        <v>0.129</v>
      </c>
      <c r="J21" s="80">
        <v>5.7000000000000002E-2</v>
      </c>
      <c r="K21" s="80">
        <v>0.91900000000000004</v>
      </c>
      <c r="L21" s="80">
        <v>0.69699999999999995</v>
      </c>
      <c r="M21" s="114" t="s">
        <v>75</v>
      </c>
      <c r="N21" s="114" t="s">
        <v>75</v>
      </c>
      <c r="O21" s="114" t="s">
        <v>75</v>
      </c>
      <c r="P21" s="79" t="s">
        <v>75</v>
      </c>
      <c r="Q21" s="114" t="s">
        <v>75</v>
      </c>
      <c r="R21" s="114" t="s">
        <v>75</v>
      </c>
      <c r="S21" s="80">
        <f t="shared" si="1"/>
        <v>0.75843307943416749</v>
      </c>
      <c r="T21" s="114" t="s">
        <v>75</v>
      </c>
      <c r="U21" s="80">
        <v>0.309</v>
      </c>
      <c r="V21" s="79" t="s">
        <v>75</v>
      </c>
      <c r="W21" s="80">
        <v>0.67</v>
      </c>
      <c r="X21" s="80">
        <v>0.126</v>
      </c>
      <c r="Y21" s="78">
        <f t="shared" si="11"/>
        <v>5.3174603174603181</v>
      </c>
      <c r="Z21" s="114" t="s">
        <v>75</v>
      </c>
      <c r="AA21" s="80">
        <v>0.65</v>
      </c>
      <c r="AB21" s="78">
        <f t="shared" si="9"/>
        <v>0.31026252983293562</v>
      </c>
      <c r="AC21" s="80">
        <v>1.3280000000000001</v>
      </c>
      <c r="AD21" s="78">
        <f t="shared" si="10"/>
        <v>0.63389021479713614</v>
      </c>
      <c r="AE21" s="80">
        <v>0.1</v>
      </c>
      <c r="AF21" s="78">
        <f t="shared" si="14"/>
        <v>0.1088139281828074</v>
      </c>
      <c r="AG21" s="79" t="s">
        <v>75</v>
      </c>
      <c r="AH21" s="79" t="s">
        <v>75</v>
      </c>
      <c r="AI21" s="80">
        <v>9.9000000000000005E-2</v>
      </c>
      <c r="AJ21" s="80">
        <v>5.8999999999999997E-2</v>
      </c>
      <c r="AK21" s="78">
        <f t="shared" si="12"/>
        <v>1.6779661016949154</v>
      </c>
      <c r="AL21" s="78">
        <f t="shared" si="8"/>
        <v>0.99</v>
      </c>
      <c r="AM21" s="79" t="s">
        <v>75</v>
      </c>
      <c r="AN21" s="78">
        <f t="shared" si="4"/>
        <v>0.10772578890097932</v>
      </c>
      <c r="AO21" s="78">
        <f t="shared" si="2"/>
        <v>0.45412844036697247</v>
      </c>
      <c r="AP21" s="80">
        <v>0.218</v>
      </c>
      <c r="AQ21" s="80">
        <v>0.14799999999999999</v>
      </c>
      <c r="AR21" s="78">
        <f t="shared" si="15"/>
        <v>0.10405727923627686</v>
      </c>
      <c r="AS21" s="78">
        <f t="shared" si="3"/>
        <v>1.472972972972973</v>
      </c>
      <c r="AT21" s="78">
        <f t="shared" si="16"/>
        <v>0.23721436343852012</v>
      </c>
      <c r="AU21" s="114" t="s">
        <v>75</v>
      </c>
      <c r="AV21" s="114" t="s">
        <v>75</v>
      </c>
      <c r="AW21" s="79" t="s">
        <v>75</v>
      </c>
      <c r="AX21" s="114" t="s">
        <v>75</v>
      </c>
      <c r="AY21" s="215" t="s">
        <v>75</v>
      </c>
      <c r="AZ21" s="180">
        <v>13</v>
      </c>
      <c r="BA21" s="77"/>
      <c r="BB21" s="77"/>
      <c r="BC21" s="217"/>
    </row>
    <row r="22" spans="2:55" ht="12.75" customHeight="1" x14ac:dyDescent="0.2">
      <c r="B22" s="75"/>
      <c r="C22" s="77"/>
      <c r="D22" s="77"/>
      <c r="E22" s="77"/>
      <c r="F22" s="80">
        <f>1.458+0.637</f>
        <v>2.0949999999999998</v>
      </c>
      <c r="G22" s="80">
        <f>I22+J22+K22+L22+M22+N22+O22</f>
        <v>4.3039999999999994</v>
      </c>
      <c r="H22" s="80">
        <f>G22/F22</f>
        <v>2.0544152744630071</v>
      </c>
      <c r="I22" s="80">
        <v>0.12</v>
      </c>
      <c r="J22" s="80">
        <v>5.8000000000000003E-2</v>
      </c>
      <c r="K22" s="80">
        <v>1.0429999999999999</v>
      </c>
      <c r="L22" s="80">
        <v>0.70899999999999996</v>
      </c>
      <c r="M22" s="80">
        <v>0.72299999999999998</v>
      </c>
      <c r="N22" s="80">
        <v>0.127</v>
      </c>
      <c r="O22" s="80">
        <f>0.705+0.338+0.355+0.028+0.098</f>
        <v>1.524</v>
      </c>
      <c r="P22" s="78">
        <f>N:N+O:O</f>
        <v>1.651</v>
      </c>
      <c r="Q22" s="80">
        <f>(N22+O22)/K22</f>
        <v>1.5829338446788113</v>
      </c>
      <c r="R22" s="80">
        <f t="shared" si="0"/>
        <v>0.69319271332694155</v>
      </c>
      <c r="S22" s="80">
        <f t="shared" si="1"/>
        <v>0.67976989453499526</v>
      </c>
      <c r="T22" s="80">
        <f>O22/N22</f>
        <v>12</v>
      </c>
      <c r="U22" s="80">
        <v>0.309</v>
      </c>
      <c r="V22" s="78">
        <f t="shared" si="5"/>
        <v>13.928802588996762</v>
      </c>
      <c r="W22" s="80">
        <v>0.72</v>
      </c>
      <c r="X22" s="80">
        <v>0.122</v>
      </c>
      <c r="Y22" s="78">
        <f t="shared" si="11"/>
        <v>5.9016393442622954</v>
      </c>
      <c r="Z22" s="114" t="s">
        <v>75</v>
      </c>
      <c r="AA22" s="80">
        <v>0.64</v>
      </c>
      <c r="AB22" s="78">
        <f t="shared" si="9"/>
        <v>0.30548926014319816</v>
      </c>
      <c r="AC22" s="80">
        <f>0.982+0.319</f>
        <v>1.3009999999999999</v>
      </c>
      <c r="AD22" s="78">
        <f t="shared" si="10"/>
        <v>0.62100238663484486</v>
      </c>
      <c r="AE22" s="80">
        <v>0.1</v>
      </c>
      <c r="AF22" s="78">
        <f t="shared" si="14"/>
        <v>9.5877277085330795E-2</v>
      </c>
      <c r="AG22" s="78">
        <f>AE:AE/P:P</f>
        <v>6.0569351907934589E-2</v>
      </c>
      <c r="AH22" s="78">
        <f>AE:AE/N:N</f>
        <v>0.78740157480314965</v>
      </c>
      <c r="AI22" s="80">
        <v>9.9000000000000005E-2</v>
      </c>
      <c r="AJ22" s="80">
        <v>5.8999999999999997E-2</v>
      </c>
      <c r="AK22" s="78">
        <f t="shared" si="12"/>
        <v>1.6779661016949154</v>
      </c>
      <c r="AL22" s="78">
        <f t="shared" si="8"/>
        <v>0.99</v>
      </c>
      <c r="AM22" s="78">
        <f t="shared" si="6"/>
        <v>0.77952755905511817</v>
      </c>
      <c r="AN22" s="78">
        <f t="shared" si="4"/>
        <v>9.4918504314477486E-2</v>
      </c>
      <c r="AO22" s="78">
        <f t="shared" si="2"/>
        <v>0.45833333333333337</v>
      </c>
      <c r="AP22" s="80">
        <v>0.216</v>
      </c>
      <c r="AQ22" s="80">
        <v>0.14199999999999999</v>
      </c>
      <c r="AR22" s="78">
        <f t="shared" si="15"/>
        <v>0.10310262529832936</v>
      </c>
      <c r="AS22" s="78">
        <f t="shared" si="3"/>
        <v>1.5211267605633805</v>
      </c>
      <c r="AT22" s="78">
        <f t="shared" si="16"/>
        <v>0.2070949185043145</v>
      </c>
      <c r="AU22" s="114" t="s">
        <v>75</v>
      </c>
      <c r="AV22" s="114" t="s">
        <v>75</v>
      </c>
      <c r="AW22" s="79" t="s">
        <v>75</v>
      </c>
      <c r="AX22" s="114" t="s">
        <v>75</v>
      </c>
      <c r="AY22" s="215" t="s">
        <v>75</v>
      </c>
      <c r="AZ22" s="180">
        <v>16</v>
      </c>
      <c r="BA22" s="77"/>
      <c r="BB22" s="77"/>
      <c r="BC22" s="217"/>
    </row>
    <row r="23" spans="2:55" ht="12.75" customHeight="1" x14ac:dyDescent="0.2">
      <c r="B23" s="83">
        <v>21720</v>
      </c>
      <c r="C23" s="70" t="s">
        <v>261</v>
      </c>
      <c r="D23" s="71" t="s">
        <v>249</v>
      </c>
      <c r="E23" s="71" t="s">
        <v>179</v>
      </c>
      <c r="F23" s="82">
        <v>1.7</v>
      </c>
      <c r="G23" s="82">
        <f>I23+J23+K23+L23+M23+N23+O23</f>
        <v>4.7519999999999998</v>
      </c>
      <c r="H23" s="82">
        <f>G23/F23</f>
        <v>2.7952941176470589</v>
      </c>
      <c r="I23" s="82">
        <v>0.9</v>
      </c>
      <c r="J23" s="82">
        <v>5.3999999999999999E-2</v>
      </c>
      <c r="K23" s="82">
        <v>0.95899999999999996</v>
      </c>
      <c r="L23" s="82">
        <v>0.61599999999999999</v>
      </c>
      <c r="M23" s="82">
        <v>0.67500000000000004</v>
      </c>
      <c r="N23" s="82">
        <v>9.8000000000000004E-2</v>
      </c>
      <c r="O23" s="82">
        <f>0.926+0.524</f>
        <v>1.4500000000000002</v>
      </c>
      <c r="P23" s="72">
        <f>N:N+O:O</f>
        <v>1.5480000000000003</v>
      </c>
      <c r="Q23" s="82">
        <f>(N23+O23)/K23</f>
        <v>1.6141814389989575</v>
      </c>
      <c r="R23" s="82">
        <f t="shared" si="0"/>
        <v>0.70385818561001046</v>
      </c>
      <c r="S23" s="82">
        <f t="shared" si="1"/>
        <v>0.64233576642335766</v>
      </c>
      <c r="T23" s="82">
        <f>O23/N23</f>
        <v>14.795918367346941</v>
      </c>
      <c r="U23" s="110" t="s">
        <v>75</v>
      </c>
      <c r="V23" s="73" t="s">
        <v>75</v>
      </c>
      <c r="W23" s="82">
        <v>0.64400000000000002</v>
      </c>
      <c r="X23" s="82">
        <v>0.10199999999999999</v>
      </c>
      <c r="Y23" s="72">
        <f t="shared" si="11"/>
        <v>6.3137254901960791</v>
      </c>
      <c r="Z23" s="82">
        <v>0.38700000000000001</v>
      </c>
      <c r="AA23" s="82">
        <v>0.56000000000000005</v>
      </c>
      <c r="AB23" s="72">
        <f t="shared" si="9"/>
        <v>0.3294117647058824</v>
      </c>
      <c r="AC23" s="82">
        <v>1.06</v>
      </c>
      <c r="AD23" s="72">
        <f t="shared" si="10"/>
        <v>0.62352941176470589</v>
      </c>
      <c r="AE23" s="82">
        <v>0.1</v>
      </c>
      <c r="AF23" s="72">
        <f t="shared" si="14"/>
        <v>0.10427528675703859</v>
      </c>
      <c r="AG23" s="72">
        <f>AE:AE/P:P</f>
        <v>6.4599483204134361E-2</v>
      </c>
      <c r="AH23" s="72">
        <f>AE:AE/N:N</f>
        <v>1.0204081632653061</v>
      </c>
      <c r="AI23" s="110" t="s">
        <v>75</v>
      </c>
      <c r="AJ23" s="82">
        <v>5.2999999999999999E-2</v>
      </c>
      <c r="AK23" s="73" t="s">
        <v>75</v>
      </c>
      <c r="AL23" s="73" t="s">
        <v>75</v>
      </c>
      <c r="AM23" s="73" t="s">
        <v>75</v>
      </c>
      <c r="AN23" s="73" t="s">
        <v>75</v>
      </c>
      <c r="AO23" s="73" t="s">
        <v>75</v>
      </c>
      <c r="AP23" s="110" t="s">
        <v>75</v>
      </c>
      <c r="AQ23" s="110" t="s">
        <v>75</v>
      </c>
      <c r="AR23" s="73" t="s">
        <v>75</v>
      </c>
      <c r="AS23" s="73" t="s">
        <v>75</v>
      </c>
      <c r="AT23" s="73" t="s">
        <v>75</v>
      </c>
      <c r="AU23" s="82">
        <v>0.113</v>
      </c>
      <c r="AV23" s="82">
        <v>9.6000000000000002E-2</v>
      </c>
      <c r="AW23" s="72">
        <f>AU23/AV23</f>
        <v>1.1770833333333333</v>
      </c>
      <c r="AX23" s="110" t="s">
        <v>75</v>
      </c>
      <c r="AY23" s="224" t="s">
        <v>75</v>
      </c>
      <c r="AZ23" s="185">
        <v>15</v>
      </c>
      <c r="BA23" s="71"/>
      <c r="BB23" s="71"/>
      <c r="BC23" s="226"/>
    </row>
    <row r="24" spans="2:55" ht="12.75" customHeight="1" x14ac:dyDescent="0.2">
      <c r="B24" s="69"/>
      <c r="C24" s="71"/>
      <c r="D24" s="71"/>
      <c r="E24" s="71"/>
      <c r="F24" s="82">
        <v>1.7</v>
      </c>
      <c r="G24" s="110" t="s">
        <v>75</v>
      </c>
      <c r="H24" s="110" t="s">
        <v>75</v>
      </c>
      <c r="I24" s="110" t="s">
        <v>75</v>
      </c>
      <c r="J24" s="110" t="s">
        <v>75</v>
      </c>
      <c r="K24" s="110" t="s">
        <v>75</v>
      </c>
      <c r="L24" s="110" t="s">
        <v>75</v>
      </c>
      <c r="M24" s="110" t="s">
        <v>75</v>
      </c>
      <c r="N24" s="110" t="s">
        <v>75</v>
      </c>
      <c r="O24" s="110" t="s">
        <v>75</v>
      </c>
      <c r="P24" s="73" t="s">
        <v>75</v>
      </c>
      <c r="Q24" s="110" t="s">
        <v>75</v>
      </c>
      <c r="R24" s="110" t="s">
        <v>75</v>
      </c>
      <c r="S24" s="110" t="s">
        <v>75</v>
      </c>
      <c r="T24" s="110" t="s">
        <v>75</v>
      </c>
      <c r="U24" s="110" t="s">
        <v>75</v>
      </c>
      <c r="V24" s="73" t="s">
        <v>75</v>
      </c>
      <c r="W24" s="110" t="s">
        <v>75</v>
      </c>
      <c r="X24" s="110" t="s">
        <v>75</v>
      </c>
      <c r="Y24" s="73" t="s">
        <v>75</v>
      </c>
      <c r="Z24" s="110" t="s">
        <v>75</v>
      </c>
      <c r="AA24" s="82">
        <v>0.56000000000000005</v>
      </c>
      <c r="AB24" s="72">
        <f t="shared" si="9"/>
        <v>0.3294117647058824</v>
      </c>
      <c r="AC24" s="82">
        <v>1.0900000000000001</v>
      </c>
      <c r="AD24" s="72">
        <f t="shared" si="10"/>
        <v>0.64117647058823535</v>
      </c>
      <c r="AE24" s="82">
        <v>9.7000000000000003E-2</v>
      </c>
      <c r="AF24" s="73" t="s">
        <v>75</v>
      </c>
      <c r="AG24" s="73" t="s">
        <v>75</v>
      </c>
      <c r="AH24" s="73" t="s">
        <v>75</v>
      </c>
      <c r="AI24" s="110" t="s">
        <v>75</v>
      </c>
      <c r="AJ24" s="82">
        <v>5.2999999999999999E-2</v>
      </c>
      <c r="AK24" s="73" t="s">
        <v>75</v>
      </c>
      <c r="AL24" s="73" t="s">
        <v>75</v>
      </c>
      <c r="AM24" s="73" t="s">
        <v>75</v>
      </c>
      <c r="AN24" s="73" t="s">
        <v>75</v>
      </c>
      <c r="AO24" s="73" t="s">
        <v>75</v>
      </c>
      <c r="AP24" s="110" t="s">
        <v>75</v>
      </c>
      <c r="AQ24" s="110" t="s">
        <v>75</v>
      </c>
      <c r="AR24" s="73" t="s">
        <v>75</v>
      </c>
      <c r="AS24" s="73" t="s">
        <v>75</v>
      </c>
      <c r="AT24" s="73" t="s">
        <v>75</v>
      </c>
      <c r="AU24" s="82">
        <v>0.113</v>
      </c>
      <c r="AV24" s="82">
        <v>9.6000000000000002E-2</v>
      </c>
      <c r="AW24" s="72">
        <f>AU24/AV24</f>
        <v>1.1770833333333333</v>
      </c>
      <c r="AX24" s="110" t="s">
        <v>75</v>
      </c>
      <c r="AY24" s="224" t="s">
        <v>75</v>
      </c>
      <c r="AZ24" s="227" t="s">
        <v>75</v>
      </c>
      <c r="BA24" s="71"/>
      <c r="BB24" s="71"/>
      <c r="BC24" s="226"/>
    </row>
    <row r="25" spans="2:55" ht="12.75" customHeight="1" x14ac:dyDescent="0.2">
      <c r="B25" s="86">
        <v>21720</v>
      </c>
      <c r="C25" s="76" t="s">
        <v>261</v>
      </c>
      <c r="D25" s="77" t="s">
        <v>194</v>
      </c>
      <c r="E25" s="77" t="s">
        <v>179</v>
      </c>
      <c r="F25" s="80">
        <v>1.3939999999999999</v>
      </c>
      <c r="G25" s="80">
        <f t="shared" ref="G25" si="17">I25+J25+K25+L25+M25+N25+O25</f>
        <v>3.4729999999999999</v>
      </c>
      <c r="H25" s="80">
        <f t="shared" ref="H25" si="18">G25/F25</f>
        <v>2.4913916786226689</v>
      </c>
      <c r="I25" s="80">
        <v>0.105</v>
      </c>
      <c r="J25" s="80">
        <v>5.3999999999999999E-2</v>
      </c>
      <c r="K25" s="80">
        <f>0.418+0.45</f>
        <v>0.86799999999999999</v>
      </c>
      <c r="L25" s="80">
        <v>0.56000000000000005</v>
      </c>
      <c r="M25" s="80">
        <v>0.64</v>
      </c>
      <c r="N25" s="80">
        <v>0.112</v>
      </c>
      <c r="O25" s="80">
        <f>0.875+0.259</f>
        <v>1.1339999999999999</v>
      </c>
      <c r="P25" s="78">
        <f>N:N+O:O</f>
        <v>1.246</v>
      </c>
      <c r="Q25" s="80">
        <f>(N25+O25)/K25</f>
        <v>1.435483870967742</v>
      </c>
      <c r="R25" s="80">
        <f t="shared" si="0"/>
        <v>0.73732718894009219</v>
      </c>
      <c r="S25" s="80">
        <f t="shared" si="1"/>
        <v>0.64516129032258074</v>
      </c>
      <c r="T25" s="80">
        <f>O25/N25</f>
        <v>10.124999999999998</v>
      </c>
      <c r="U25" s="80">
        <v>0.27500000000000002</v>
      </c>
      <c r="V25" s="78">
        <f t="shared" si="5"/>
        <v>12.629090909090907</v>
      </c>
      <c r="W25" s="114" t="s">
        <v>75</v>
      </c>
      <c r="X25" s="114" t="s">
        <v>75</v>
      </c>
      <c r="Y25" s="79" t="s">
        <v>75</v>
      </c>
      <c r="Z25" s="114" t="s">
        <v>75</v>
      </c>
      <c r="AA25" s="114" t="s">
        <v>75</v>
      </c>
      <c r="AB25" s="79" t="s">
        <v>75</v>
      </c>
      <c r="AC25" s="114" t="s">
        <v>75</v>
      </c>
      <c r="AD25" s="79" t="s">
        <v>75</v>
      </c>
      <c r="AE25" s="114" t="s">
        <v>75</v>
      </c>
      <c r="AF25" s="79" t="s">
        <v>75</v>
      </c>
      <c r="AG25" s="79" t="s">
        <v>75</v>
      </c>
      <c r="AH25" s="79" t="s">
        <v>75</v>
      </c>
      <c r="AI25" s="80">
        <v>9.2999999999999999E-2</v>
      </c>
      <c r="AJ25" s="80">
        <v>4.7E-2</v>
      </c>
      <c r="AK25" s="78">
        <f t="shared" si="12"/>
        <v>1.9787234042553192</v>
      </c>
      <c r="AL25" s="79" t="s">
        <v>75</v>
      </c>
      <c r="AM25" s="78">
        <f t="shared" si="6"/>
        <v>0.83035714285714279</v>
      </c>
      <c r="AN25" s="78">
        <f t="shared" si="4"/>
        <v>0.10714285714285714</v>
      </c>
      <c r="AO25" s="78">
        <f t="shared" si="2"/>
        <v>0.66428571428571426</v>
      </c>
      <c r="AP25" s="80">
        <v>0.14000000000000001</v>
      </c>
      <c r="AQ25" s="80">
        <v>0.14000000000000001</v>
      </c>
      <c r="AR25" s="78">
        <f>AP25/F25</f>
        <v>0.10043041606886659</v>
      </c>
      <c r="AS25" s="78">
        <f t="shared" si="3"/>
        <v>1</v>
      </c>
      <c r="AT25" s="78">
        <f>AP25/K25</f>
        <v>0.16129032258064518</v>
      </c>
      <c r="AU25" s="80">
        <v>0.09</v>
      </c>
      <c r="AV25" s="80">
        <v>0.115</v>
      </c>
      <c r="AW25" s="78">
        <f>AU25/AV25</f>
        <v>0.78260869565217384</v>
      </c>
      <c r="AX25" s="80">
        <f>AP25/AU25</f>
        <v>1.5555555555555558</v>
      </c>
      <c r="AY25" s="215" t="s">
        <v>75</v>
      </c>
      <c r="AZ25" s="180">
        <v>15</v>
      </c>
      <c r="BA25" s="77"/>
      <c r="BB25" s="77"/>
      <c r="BC25" s="217"/>
    </row>
    <row r="26" spans="2:55" ht="12.75" customHeight="1" x14ac:dyDescent="0.2">
      <c r="B26" s="75"/>
      <c r="C26" s="77"/>
      <c r="D26" s="77"/>
      <c r="E26" s="77"/>
      <c r="F26" s="80">
        <v>1.3939999999999999</v>
      </c>
      <c r="G26" s="114" t="s">
        <v>75</v>
      </c>
      <c r="H26" s="114" t="s">
        <v>75</v>
      </c>
      <c r="I26" s="114" t="s">
        <v>75</v>
      </c>
      <c r="J26" s="114" t="s">
        <v>75</v>
      </c>
      <c r="K26" s="114" t="s">
        <v>75</v>
      </c>
      <c r="L26" s="114" t="s">
        <v>75</v>
      </c>
      <c r="M26" s="114" t="s">
        <v>75</v>
      </c>
      <c r="N26" s="114" t="s">
        <v>75</v>
      </c>
      <c r="O26" s="114" t="s">
        <v>75</v>
      </c>
      <c r="P26" s="79" t="s">
        <v>75</v>
      </c>
      <c r="Q26" s="114" t="s">
        <v>75</v>
      </c>
      <c r="R26" s="114" t="s">
        <v>75</v>
      </c>
      <c r="S26" s="114" t="s">
        <v>75</v>
      </c>
      <c r="T26" s="114" t="s">
        <v>75</v>
      </c>
      <c r="U26" s="80">
        <v>0.27500000000000002</v>
      </c>
      <c r="V26" s="79" t="s">
        <v>75</v>
      </c>
      <c r="W26" s="114" t="s">
        <v>75</v>
      </c>
      <c r="X26" s="114" t="s">
        <v>75</v>
      </c>
      <c r="Y26" s="79" t="s">
        <v>75</v>
      </c>
      <c r="Z26" s="114" t="s">
        <v>75</v>
      </c>
      <c r="AA26" s="114" t="s">
        <v>75</v>
      </c>
      <c r="AB26" s="79" t="s">
        <v>75</v>
      </c>
      <c r="AC26" s="114" t="s">
        <v>75</v>
      </c>
      <c r="AD26" s="79" t="s">
        <v>75</v>
      </c>
      <c r="AE26" s="114" t="s">
        <v>75</v>
      </c>
      <c r="AF26" s="79" t="s">
        <v>75</v>
      </c>
      <c r="AG26" s="79" t="s">
        <v>75</v>
      </c>
      <c r="AH26" s="79" t="s">
        <v>75</v>
      </c>
      <c r="AI26" s="80">
        <v>9.2999999999999999E-2</v>
      </c>
      <c r="AJ26" s="80">
        <v>4.7E-2</v>
      </c>
      <c r="AK26" s="78">
        <f t="shared" si="12"/>
        <v>1.9787234042553192</v>
      </c>
      <c r="AL26" s="79" t="s">
        <v>75</v>
      </c>
      <c r="AM26" s="79" t="s">
        <v>75</v>
      </c>
      <c r="AN26" s="79" t="s">
        <v>75</v>
      </c>
      <c r="AO26" s="78">
        <f t="shared" si="2"/>
        <v>0.6283783783783784</v>
      </c>
      <c r="AP26" s="80">
        <v>0.14799999999999999</v>
      </c>
      <c r="AQ26" s="80">
        <v>0.13400000000000001</v>
      </c>
      <c r="AR26" s="78">
        <f>AP26/F26</f>
        <v>0.10616929698708752</v>
      </c>
      <c r="AS26" s="78">
        <f t="shared" si="3"/>
        <v>1.1044776119402984</v>
      </c>
      <c r="AT26" s="79" t="s">
        <v>75</v>
      </c>
      <c r="AU26" s="80">
        <v>0.09</v>
      </c>
      <c r="AV26" s="80">
        <v>0.115</v>
      </c>
      <c r="AW26" s="78">
        <f>AU26/AV26</f>
        <v>0.78260869565217384</v>
      </c>
      <c r="AX26" s="80">
        <f>AP26/AU26</f>
        <v>1.6444444444444444</v>
      </c>
      <c r="AY26" s="215" t="s">
        <v>75</v>
      </c>
      <c r="AZ26" s="218" t="s">
        <v>75</v>
      </c>
      <c r="BA26" s="77"/>
      <c r="BB26" s="77"/>
      <c r="BC26" s="217"/>
    </row>
    <row r="27" spans="2:55" ht="12.75" customHeight="1" x14ac:dyDescent="0.2">
      <c r="B27" s="83">
        <v>15159</v>
      </c>
      <c r="C27" s="70" t="s">
        <v>261</v>
      </c>
      <c r="D27" s="71" t="s">
        <v>260</v>
      </c>
      <c r="E27" s="71" t="s">
        <v>204</v>
      </c>
      <c r="F27" s="72">
        <f>1.449</f>
        <v>1.4490000000000001</v>
      </c>
      <c r="G27" s="82">
        <f>I27+J27+K27+L27+M27+N27+O27</f>
        <v>4.617</v>
      </c>
      <c r="H27" s="82">
        <f>G27/F27</f>
        <v>3.1863354037267078</v>
      </c>
      <c r="I27" s="72">
        <v>0.123</v>
      </c>
      <c r="J27" s="72">
        <v>5.1999999999999998E-2</v>
      </c>
      <c r="K27" s="72">
        <v>1.006</v>
      </c>
      <c r="L27" s="72">
        <v>0.72199999999999998</v>
      </c>
      <c r="M27" s="72">
        <v>0.74199999999999999</v>
      </c>
      <c r="N27" s="72">
        <v>0.13600000000000001</v>
      </c>
      <c r="O27" s="72">
        <f>1.247+0.589</f>
        <v>1.8360000000000001</v>
      </c>
      <c r="P27" s="72">
        <f>N:N+O:O</f>
        <v>1.972</v>
      </c>
      <c r="Q27" s="82">
        <f>(N27+O27)/K27</f>
        <v>1.9602385685884691</v>
      </c>
      <c r="R27" s="82">
        <f t="shared" si="0"/>
        <v>0.7375745526838966</v>
      </c>
      <c r="S27" s="82">
        <f t="shared" si="1"/>
        <v>0.71769383697813116</v>
      </c>
      <c r="T27" s="82">
        <f>O27/N27</f>
        <v>13.5</v>
      </c>
      <c r="U27" s="73" t="s">
        <v>75</v>
      </c>
      <c r="V27" s="73" t="s">
        <v>75</v>
      </c>
      <c r="W27" s="73" t="s">
        <v>75</v>
      </c>
      <c r="X27" s="73" t="s">
        <v>75</v>
      </c>
      <c r="Y27" s="73" t="s">
        <v>75</v>
      </c>
      <c r="Z27" s="72">
        <v>0.41599999999999998</v>
      </c>
      <c r="AA27" s="72">
        <v>0.57399999999999995</v>
      </c>
      <c r="AB27" s="72">
        <f>AA27/F27</f>
        <v>0.39613526570048302</v>
      </c>
      <c r="AC27" s="72">
        <v>1.2529999999999999</v>
      </c>
      <c r="AD27" s="72">
        <f>AC27/F27</f>
        <v>0.86473429951690806</v>
      </c>
      <c r="AE27" s="72">
        <v>0.113</v>
      </c>
      <c r="AF27" s="72">
        <f>AE:AE/K:K</f>
        <v>0.11232604373757456</v>
      </c>
      <c r="AG27" s="72">
        <f>AE:AE/P:P</f>
        <v>5.7302231237322518E-2</v>
      </c>
      <c r="AH27" s="72">
        <f>AE:AE/N:N</f>
        <v>0.83088235294117641</v>
      </c>
      <c r="AI27" s="72">
        <v>9.1999999999999998E-2</v>
      </c>
      <c r="AJ27" s="72">
        <v>5.7000000000000002E-2</v>
      </c>
      <c r="AK27" s="72">
        <f t="shared" si="12"/>
        <v>1.6140350877192982</v>
      </c>
      <c r="AL27" s="72">
        <f t="shared" si="8"/>
        <v>0.81415929203539816</v>
      </c>
      <c r="AM27" s="72">
        <f t="shared" si="6"/>
        <v>0.67647058823529405</v>
      </c>
      <c r="AN27" s="72">
        <f t="shared" si="4"/>
        <v>9.1451292246520877E-2</v>
      </c>
      <c r="AO27" s="72">
        <f t="shared" si="2"/>
        <v>0.47668393782383417</v>
      </c>
      <c r="AP27" s="72">
        <v>0.193</v>
      </c>
      <c r="AQ27" s="72">
        <v>0.121</v>
      </c>
      <c r="AR27" s="72">
        <f>AP27/F27</f>
        <v>0.13319530710835059</v>
      </c>
      <c r="AS27" s="72">
        <f t="shared" si="3"/>
        <v>1.5950413223140496</v>
      </c>
      <c r="AT27" s="72">
        <f>AP27/K27</f>
        <v>0.19184890656063619</v>
      </c>
      <c r="AU27" s="72">
        <v>0.10199999999999999</v>
      </c>
      <c r="AV27" s="73" t="s">
        <v>75</v>
      </c>
      <c r="AW27" s="73" t="s">
        <v>75</v>
      </c>
      <c r="AX27" s="82">
        <f>AP27/AU27</f>
        <v>1.8921568627450982</v>
      </c>
      <c r="AY27" s="224" t="s">
        <v>75</v>
      </c>
      <c r="AZ27" s="84">
        <v>16</v>
      </c>
      <c r="BA27" s="71"/>
      <c r="BB27" s="71"/>
      <c r="BC27" s="226"/>
    </row>
    <row r="28" spans="2:55" ht="12.75" customHeight="1" x14ac:dyDescent="0.2">
      <c r="B28" s="69"/>
      <c r="C28" s="71"/>
      <c r="D28" s="71"/>
      <c r="E28" s="71"/>
      <c r="F28" s="72">
        <f>1.449</f>
        <v>1.4490000000000001</v>
      </c>
      <c r="G28" s="110" t="s">
        <v>75</v>
      </c>
      <c r="H28" s="110" t="s">
        <v>75</v>
      </c>
      <c r="I28" s="72">
        <v>0.12</v>
      </c>
      <c r="J28" s="72">
        <v>5.2999999999999999E-2</v>
      </c>
      <c r="K28" s="73" t="s">
        <v>75</v>
      </c>
      <c r="L28" s="73" t="s">
        <v>75</v>
      </c>
      <c r="M28" s="73" t="s">
        <v>75</v>
      </c>
      <c r="N28" s="73" t="s">
        <v>75</v>
      </c>
      <c r="O28" s="73" t="s">
        <v>75</v>
      </c>
      <c r="P28" s="73" t="s">
        <v>75</v>
      </c>
      <c r="Q28" s="110" t="s">
        <v>75</v>
      </c>
      <c r="R28" s="110" t="s">
        <v>75</v>
      </c>
      <c r="S28" s="110" t="s">
        <v>75</v>
      </c>
      <c r="T28" s="110" t="s">
        <v>75</v>
      </c>
      <c r="U28" s="73" t="s">
        <v>75</v>
      </c>
      <c r="V28" s="73" t="s">
        <v>75</v>
      </c>
      <c r="W28" s="73" t="s">
        <v>75</v>
      </c>
      <c r="X28" s="73" t="s">
        <v>75</v>
      </c>
      <c r="Y28" s="73" t="s">
        <v>75</v>
      </c>
      <c r="Z28" s="73" t="s">
        <v>75</v>
      </c>
      <c r="AA28" s="73" t="s">
        <v>75</v>
      </c>
      <c r="AB28" s="73" t="s">
        <v>75</v>
      </c>
      <c r="AC28" s="73" t="s">
        <v>75</v>
      </c>
      <c r="AD28" s="73" t="s">
        <v>75</v>
      </c>
      <c r="AE28" s="73" t="s">
        <v>75</v>
      </c>
      <c r="AF28" s="73" t="s">
        <v>75</v>
      </c>
      <c r="AG28" s="73" t="s">
        <v>75</v>
      </c>
      <c r="AH28" s="73" t="s">
        <v>75</v>
      </c>
      <c r="AI28" s="72">
        <v>9.1999999999999998E-2</v>
      </c>
      <c r="AJ28" s="72">
        <v>5.7000000000000002E-2</v>
      </c>
      <c r="AK28" s="72">
        <f t="shared" si="12"/>
        <v>1.6140350877192982</v>
      </c>
      <c r="AL28" s="73" t="s">
        <v>75</v>
      </c>
      <c r="AM28" s="73" t="s">
        <v>75</v>
      </c>
      <c r="AN28" s="73" t="s">
        <v>75</v>
      </c>
      <c r="AO28" s="73" t="s">
        <v>75</v>
      </c>
      <c r="AP28" s="73" t="s">
        <v>75</v>
      </c>
      <c r="AQ28" s="73" t="s">
        <v>75</v>
      </c>
      <c r="AR28" s="73" t="s">
        <v>75</v>
      </c>
      <c r="AS28" s="73" t="s">
        <v>75</v>
      </c>
      <c r="AT28" s="73" t="s">
        <v>75</v>
      </c>
      <c r="AU28" s="72">
        <v>0.10199999999999999</v>
      </c>
      <c r="AV28" s="73" t="s">
        <v>75</v>
      </c>
      <c r="AW28" s="73" t="s">
        <v>75</v>
      </c>
      <c r="AX28" s="110" t="s">
        <v>75</v>
      </c>
      <c r="AY28" s="224" t="s">
        <v>75</v>
      </c>
      <c r="AZ28" s="225" t="s">
        <v>75</v>
      </c>
      <c r="BA28" s="71"/>
      <c r="BB28" s="71"/>
      <c r="BC28" s="226"/>
    </row>
    <row r="29" spans="2:55" ht="12.75" customHeight="1" x14ac:dyDescent="0.2">
      <c r="B29" s="86">
        <v>15159</v>
      </c>
      <c r="C29" s="76" t="s">
        <v>261</v>
      </c>
      <c r="D29" s="77" t="s">
        <v>260</v>
      </c>
      <c r="E29" s="77" t="s">
        <v>204</v>
      </c>
      <c r="F29" s="78">
        <v>1.4570000000000001</v>
      </c>
      <c r="G29" s="80">
        <f>I29+J29+K29+L29+M29+N29+O29</f>
        <v>3.9420000000000002</v>
      </c>
      <c r="H29" s="80">
        <f>G29/F29</f>
        <v>2.7055593685655457</v>
      </c>
      <c r="I29" s="78">
        <v>0.111</v>
      </c>
      <c r="J29" s="78">
        <v>5.2999999999999999E-2</v>
      </c>
      <c r="K29" s="78">
        <v>0.85899999999999999</v>
      </c>
      <c r="L29" s="78">
        <v>0.624</v>
      </c>
      <c r="M29" s="78">
        <v>0.61599999999999999</v>
      </c>
      <c r="N29" s="78">
        <v>0.13300000000000001</v>
      </c>
      <c r="O29" s="78">
        <v>1.546</v>
      </c>
      <c r="P29" s="78">
        <f>N:N+O:O</f>
        <v>1.679</v>
      </c>
      <c r="Q29" s="80">
        <f>(N29+O29)/K29</f>
        <v>1.9545983701979046</v>
      </c>
      <c r="R29" s="80">
        <f t="shared" si="0"/>
        <v>0.71711292200232835</v>
      </c>
      <c r="S29" s="80">
        <f t="shared" si="1"/>
        <v>0.72642607683352733</v>
      </c>
      <c r="T29" s="80">
        <f>O29/N29</f>
        <v>11.624060150375939</v>
      </c>
      <c r="U29" s="78">
        <v>0.27400000000000002</v>
      </c>
      <c r="V29" s="78">
        <f t="shared" si="5"/>
        <v>14.386861313868613</v>
      </c>
      <c r="W29" s="78">
        <v>0.58799999999999997</v>
      </c>
      <c r="X29" s="78">
        <v>7.4999999999999997E-2</v>
      </c>
      <c r="Y29" s="78">
        <f>W:W/X:X</f>
        <v>7.84</v>
      </c>
      <c r="Z29" s="78">
        <v>0.41799999999999998</v>
      </c>
      <c r="AA29" s="78">
        <v>0.51700000000000002</v>
      </c>
      <c r="AB29" s="78">
        <f>AA29/F29</f>
        <v>0.35483870967741937</v>
      </c>
      <c r="AC29" s="78">
        <v>1.044</v>
      </c>
      <c r="AD29" s="78">
        <f t="shared" ref="AD29:AD37" si="19">AC29/F29</f>
        <v>0.71654083733699381</v>
      </c>
      <c r="AE29" s="78">
        <v>9.4E-2</v>
      </c>
      <c r="AF29" s="78">
        <f t="shared" ref="AF29:AF37" si="20">AE:AE/K:K</f>
        <v>0.10942956926658906</v>
      </c>
      <c r="AG29" s="78">
        <f>AE:AE/P:P</f>
        <v>5.598570577724836E-2</v>
      </c>
      <c r="AH29" s="78">
        <f>AE:AE/N:N</f>
        <v>0.70676691729323304</v>
      </c>
      <c r="AI29" s="78">
        <v>8.5999999999999993E-2</v>
      </c>
      <c r="AJ29" s="78">
        <v>5.8000000000000003E-2</v>
      </c>
      <c r="AK29" s="78">
        <f t="shared" si="12"/>
        <v>1.482758620689655</v>
      </c>
      <c r="AL29" s="78">
        <f t="shared" si="8"/>
        <v>0.91489361702127647</v>
      </c>
      <c r="AM29" s="78">
        <f t="shared" si="6"/>
        <v>0.64661654135338342</v>
      </c>
      <c r="AN29" s="78">
        <f t="shared" si="4"/>
        <v>0.10011641443538999</v>
      </c>
      <c r="AO29" s="78">
        <f t="shared" si="2"/>
        <v>0.51190476190476186</v>
      </c>
      <c r="AP29" s="78">
        <v>0.16800000000000001</v>
      </c>
      <c r="AQ29" s="78">
        <v>8.8999999999999996E-2</v>
      </c>
      <c r="AR29" s="78">
        <f>AP29/F29</f>
        <v>0.1153054221002059</v>
      </c>
      <c r="AS29" s="78">
        <f t="shared" si="3"/>
        <v>1.8876404494382024</v>
      </c>
      <c r="AT29" s="78">
        <f>AP29/K29</f>
        <v>0.19557625145518046</v>
      </c>
      <c r="AU29" s="78">
        <v>9.4E-2</v>
      </c>
      <c r="AV29" s="78">
        <v>0.124</v>
      </c>
      <c r="AW29" s="78">
        <f>AU29/AV29</f>
        <v>0.75806451612903225</v>
      </c>
      <c r="AX29" s="80">
        <f>AP29/AU29</f>
        <v>1.7872340425531916</v>
      </c>
      <c r="AY29" s="215" t="s">
        <v>75</v>
      </c>
      <c r="AZ29" s="87">
        <v>16</v>
      </c>
      <c r="BA29" s="77"/>
      <c r="BB29" s="77"/>
      <c r="BC29" s="217"/>
    </row>
    <row r="30" spans="2:55" ht="12.75" customHeight="1" x14ac:dyDescent="0.2">
      <c r="B30" s="75"/>
      <c r="C30" s="77"/>
      <c r="D30" s="77"/>
      <c r="E30" s="77"/>
      <c r="F30" s="78">
        <v>1.4570000000000001</v>
      </c>
      <c r="G30" s="114" t="s">
        <v>75</v>
      </c>
      <c r="H30" s="114" t="s">
        <v>75</v>
      </c>
      <c r="I30" s="78">
        <v>0.104</v>
      </c>
      <c r="J30" s="78">
        <v>5.5E-2</v>
      </c>
      <c r="K30" s="78">
        <v>0.85799999999999998</v>
      </c>
      <c r="L30" s="78">
        <v>0.63300000000000001</v>
      </c>
      <c r="M30" s="79" t="s">
        <v>75</v>
      </c>
      <c r="N30" s="79" t="s">
        <v>75</v>
      </c>
      <c r="O30" s="79" t="s">
        <v>75</v>
      </c>
      <c r="P30" s="79" t="s">
        <v>75</v>
      </c>
      <c r="Q30" s="114" t="s">
        <v>75</v>
      </c>
      <c r="R30" s="114" t="s">
        <v>75</v>
      </c>
      <c r="S30" s="80">
        <f t="shared" si="1"/>
        <v>0.73776223776223782</v>
      </c>
      <c r="T30" s="114" t="s">
        <v>75</v>
      </c>
      <c r="U30" s="78">
        <v>0.27400000000000002</v>
      </c>
      <c r="V30" s="79" t="s">
        <v>75</v>
      </c>
      <c r="W30" s="79" t="s">
        <v>75</v>
      </c>
      <c r="X30" s="79" t="s">
        <v>75</v>
      </c>
      <c r="Y30" s="79" t="s">
        <v>75</v>
      </c>
      <c r="Z30" s="78">
        <v>0.39200000000000002</v>
      </c>
      <c r="AA30" s="78">
        <v>0.52500000000000002</v>
      </c>
      <c r="AB30" s="78">
        <f>AA30/F30</f>
        <v>0.36032944406314343</v>
      </c>
      <c r="AC30" s="78">
        <v>1.093</v>
      </c>
      <c r="AD30" s="78">
        <f t="shared" si="19"/>
        <v>0.75017158544955387</v>
      </c>
      <c r="AE30" s="78">
        <v>0.104</v>
      </c>
      <c r="AF30" s="78">
        <f t="shared" si="20"/>
        <v>0.12121212121212122</v>
      </c>
      <c r="AG30" s="79" t="s">
        <v>75</v>
      </c>
      <c r="AH30" s="79" t="s">
        <v>75</v>
      </c>
      <c r="AI30" s="78">
        <v>8.5999999999999993E-2</v>
      </c>
      <c r="AJ30" s="78">
        <v>5.8000000000000003E-2</v>
      </c>
      <c r="AK30" s="78">
        <f t="shared" si="12"/>
        <v>1.482758620689655</v>
      </c>
      <c r="AL30" s="78">
        <f t="shared" si="8"/>
        <v>0.82692307692307687</v>
      </c>
      <c r="AM30" s="79" t="s">
        <v>75</v>
      </c>
      <c r="AN30" s="78">
        <f t="shared" si="4"/>
        <v>0.10023310023310023</v>
      </c>
      <c r="AO30" s="78">
        <f t="shared" si="2"/>
        <v>0.70491803278688525</v>
      </c>
      <c r="AP30" s="78">
        <v>0.122</v>
      </c>
      <c r="AQ30" s="78">
        <v>6.9000000000000006E-2</v>
      </c>
      <c r="AR30" s="78">
        <f>AP30/F30</f>
        <v>8.3733699382292373E-2</v>
      </c>
      <c r="AS30" s="78">
        <f t="shared" si="3"/>
        <v>1.7681159420289854</v>
      </c>
      <c r="AT30" s="78">
        <f>AP30/K30</f>
        <v>0.14219114219114218</v>
      </c>
      <c r="AU30" s="78">
        <v>9.4E-2</v>
      </c>
      <c r="AV30" s="78">
        <v>0.124</v>
      </c>
      <c r="AW30" s="78">
        <f>AU30/AV30</f>
        <v>0.75806451612903225</v>
      </c>
      <c r="AX30" s="80">
        <f>AP30/AU30</f>
        <v>1.2978723404255319</v>
      </c>
      <c r="AY30" s="215" t="s">
        <v>75</v>
      </c>
      <c r="AZ30" s="216" t="s">
        <v>75</v>
      </c>
      <c r="BA30" s="77"/>
      <c r="BB30" s="77"/>
      <c r="BC30" s="217"/>
    </row>
    <row r="31" spans="2:55" ht="12.75" customHeight="1" x14ac:dyDescent="0.2">
      <c r="B31" s="83">
        <v>15159</v>
      </c>
      <c r="C31" s="70" t="s">
        <v>261</v>
      </c>
      <c r="D31" s="71" t="s">
        <v>260</v>
      </c>
      <c r="E31" s="71" t="s">
        <v>204</v>
      </c>
      <c r="F31" s="72">
        <v>1.516</v>
      </c>
      <c r="G31" s="110" t="s">
        <v>75</v>
      </c>
      <c r="H31" s="110" t="s">
        <v>75</v>
      </c>
      <c r="I31" s="72">
        <v>0.112</v>
      </c>
      <c r="J31" s="72">
        <v>0.06</v>
      </c>
      <c r="K31" s="72">
        <v>0.95699999999999996</v>
      </c>
      <c r="L31" s="72">
        <v>0.72299999999999998</v>
      </c>
      <c r="M31" s="72">
        <v>0.752</v>
      </c>
      <c r="N31" s="72">
        <v>0.13900000000000001</v>
      </c>
      <c r="O31" s="72">
        <v>1.1719999999999999</v>
      </c>
      <c r="P31" s="72">
        <f t="shared" ref="P31:P38" si="21">N:N+O:O</f>
        <v>1.3109999999999999</v>
      </c>
      <c r="Q31" s="82">
        <f t="shared" ref="Q31:Q38" si="22">(N31+O31)/K31</f>
        <v>1.3699059561128526</v>
      </c>
      <c r="R31" s="82">
        <f t="shared" si="0"/>
        <v>0.78578892371995823</v>
      </c>
      <c r="S31" s="82">
        <f t="shared" si="1"/>
        <v>0.75548589341692796</v>
      </c>
      <c r="T31" s="82">
        <f t="shared" ref="T31:T38" si="23">O31/N31</f>
        <v>8.4316546762589919</v>
      </c>
      <c r="U31" s="72">
        <v>0.23499999999999999</v>
      </c>
      <c r="V31" s="73" t="s">
        <v>75</v>
      </c>
      <c r="W31" s="73" t="s">
        <v>75</v>
      </c>
      <c r="X31" s="73" t="s">
        <v>75</v>
      </c>
      <c r="Y31" s="73" t="s">
        <v>75</v>
      </c>
      <c r="Z31" s="72">
        <v>0.39100000000000001</v>
      </c>
      <c r="AA31" s="72">
        <v>0.56599999999999995</v>
      </c>
      <c r="AB31" s="72">
        <f>AA31/F31</f>
        <v>0.37335092348284954</v>
      </c>
      <c r="AC31" s="72">
        <v>1.2</v>
      </c>
      <c r="AD31" s="72">
        <f t="shared" si="19"/>
        <v>0.79155672823218992</v>
      </c>
      <c r="AE31" s="72">
        <v>0.109</v>
      </c>
      <c r="AF31" s="72">
        <f t="shared" si="20"/>
        <v>0.11389759665621735</v>
      </c>
      <c r="AG31" s="72">
        <f t="shared" ref="AG31:AG37" si="24">AE:AE/P:P</f>
        <v>8.3142639206712443E-2</v>
      </c>
      <c r="AH31" s="72">
        <f t="shared" ref="AH31:AH37" si="25">AE:AE/N:N</f>
        <v>0.7841726618705035</v>
      </c>
      <c r="AI31" s="72">
        <v>9.2999999999999999E-2</v>
      </c>
      <c r="AJ31" s="72">
        <v>6.0999999999999999E-2</v>
      </c>
      <c r="AK31" s="72">
        <f t="shared" si="12"/>
        <v>1.5245901639344261</v>
      </c>
      <c r="AL31" s="72">
        <f t="shared" si="8"/>
        <v>0.85321100917431192</v>
      </c>
      <c r="AM31" s="72">
        <f t="shared" si="6"/>
        <v>0.6690647482014388</v>
      </c>
      <c r="AN31" s="72">
        <f t="shared" si="4"/>
        <v>9.7178683385579945E-2</v>
      </c>
      <c r="AO31" s="72">
        <f t="shared" si="2"/>
        <v>0.54705882352941171</v>
      </c>
      <c r="AP31" s="72">
        <v>0.17</v>
      </c>
      <c r="AQ31" s="72">
        <v>0.14499999999999999</v>
      </c>
      <c r="AR31" s="72">
        <f>AP31/F31</f>
        <v>0.11213720316622693</v>
      </c>
      <c r="AS31" s="72">
        <f t="shared" si="3"/>
        <v>1.1724137931034484</v>
      </c>
      <c r="AT31" s="72">
        <f>AP31/K31</f>
        <v>0.17763845350052249</v>
      </c>
      <c r="AU31" s="72">
        <v>0.10100000000000001</v>
      </c>
      <c r="AV31" s="73" t="s">
        <v>75</v>
      </c>
      <c r="AW31" s="73" t="s">
        <v>75</v>
      </c>
      <c r="AX31" s="82">
        <f>AP31/AU31</f>
        <v>1.6831683168316831</v>
      </c>
      <c r="AY31" s="224" t="s">
        <v>75</v>
      </c>
      <c r="AZ31" s="84">
        <v>15</v>
      </c>
      <c r="BA31" s="71"/>
      <c r="BB31" s="71"/>
      <c r="BC31" s="226"/>
    </row>
    <row r="32" spans="2:55" ht="12.75" customHeight="1" x14ac:dyDescent="0.2">
      <c r="B32" s="69"/>
      <c r="C32" s="71"/>
      <c r="D32" s="71"/>
      <c r="E32" s="71"/>
      <c r="F32" s="72">
        <v>1.516</v>
      </c>
      <c r="G32" s="82">
        <f t="shared" ref="G32:G38" si="26">I32+J32+K32+L32+M32+N32+O32</f>
        <v>4.4669999999999996</v>
      </c>
      <c r="H32" s="82">
        <f t="shared" ref="H32:H38" si="27">G32/F32</f>
        <v>2.9465699208443268</v>
      </c>
      <c r="I32" s="72">
        <v>0.10100000000000001</v>
      </c>
      <c r="J32" s="72">
        <v>5.7000000000000002E-2</v>
      </c>
      <c r="K32" s="72">
        <v>0.97199999999999998</v>
      </c>
      <c r="L32" s="72">
        <v>0.69199999999999995</v>
      </c>
      <c r="M32" s="72">
        <v>0.75700000000000001</v>
      </c>
      <c r="N32" s="72">
        <v>0.14199999999999999</v>
      </c>
      <c r="O32" s="72">
        <v>1.746</v>
      </c>
      <c r="P32" s="72">
        <f t="shared" si="21"/>
        <v>1.8879999999999999</v>
      </c>
      <c r="Q32" s="82">
        <f t="shared" si="22"/>
        <v>1.9423868312757202</v>
      </c>
      <c r="R32" s="82">
        <f t="shared" si="0"/>
        <v>0.7788065843621399</v>
      </c>
      <c r="S32" s="82">
        <f t="shared" si="1"/>
        <v>0.7119341563786008</v>
      </c>
      <c r="T32" s="82">
        <f t="shared" si="23"/>
        <v>12.295774647887326</v>
      </c>
      <c r="U32" s="72">
        <v>0.23499999999999999</v>
      </c>
      <c r="V32" s="72">
        <f t="shared" si="5"/>
        <v>19.008510638297871</v>
      </c>
      <c r="W32" s="73" t="s">
        <v>75</v>
      </c>
      <c r="X32" s="73" t="s">
        <v>75</v>
      </c>
      <c r="Y32" s="73" t="s">
        <v>75</v>
      </c>
      <c r="Z32" s="72">
        <v>0.41</v>
      </c>
      <c r="AA32" s="72">
        <v>0.56999999999999995</v>
      </c>
      <c r="AB32" s="72">
        <f>AA32/F32</f>
        <v>0.37598944591029021</v>
      </c>
      <c r="AC32" s="72">
        <v>1.159</v>
      </c>
      <c r="AD32" s="72">
        <f t="shared" si="19"/>
        <v>0.76451187335092352</v>
      </c>
      <c r="AE32" s="72">
        <v>0.107</v>
      </c>
      <c r="AF32" s="72">
        <f t="shared" si="20"/>
        <v>0.11008230452674897</v>
      </c>
      <c r="AG32" s="72">
        <f t="shared" si="24"/>
        <v>5.6673728813559324E-2</v>
      </c>
      <c r="AH32" s="72">
        <f t="shared" si="25"/>
        <v>0.75352112676056349</v>
      </c>
      <c r="AI32" s="72">
        <v>9.2999999999999999E-2</v>
      </c>
      <c r="AJ32" s="72">
        <v>6.0999999999999999E-2</v>
      </c>
      <c r="AK32" s="72">
        <f t="shared" si="12"/>
        <v>1.5245901639344261</v>
      </c>
      <c r="AL32" s="72">
        <f t="shared" si="8"/>
        <v>0.86915887850467288</v>
      </c>
      <c r="AM32" s="72">
        <f t="shared" si="6"/>
        <v>0.65492957746478875</v>
      </c>
      <c r="AN32" s="72">
        <f t="shared" si="4"/>
        <v>9.5679012345679021E-2</v>
      </c>
      <c r="AO32" s="72">
        <f t="shared" si="2"/>
        <v>0.54705882352941171</v>
      </c>
      <c r="AP32" s="72">
        <v>0.17</v>
      </c>
      <c r="AQ32" s="72">
        <v>0.12</v>
      </c>
      <c r="AR32" s="72">
        <f>AP32/F32</f>
        <v>0.11213720316622693</v>
      </c>
      <c r="AS32" s="72">
        <f t="shared" si="3"/>
        <v>1.4166666666666667</v>
      </c>
      <c r="AT32" s="72">
        <f>AP32/K32</f>
        <v>0.17489711934156379</v>
      </c>
      <c r="AU32" s="72">
        <v>0.10100000000000001</v>
      </c>
      <c r="AV32" s="73" t="s">
        <v>75</v>
      </c>
      <c r="AW32" s="73" t="s">
        <v>75</v>
      </c>
      <c r="AX32" s="82">
        <f>AP32/AU32</f>
        <v>1.6831683168316831</v>
      </c>
      <c r="AY32" s="224" t="s">
        <v>75</v>
      </c>
      <c r="AZ32" s="84">
        <v>16</v>
      </c>
      <c r="BA32" s="71"/>
      <c r="BB32" s="71"/>
      <c r="BC32" s="226"/>
    </row>
    <row r="33" spans="2:55" ht="12.75" customHeight="1" x14ac:dyDescent="0.2">
      <c r="B33" s="86">
        <v>15159</v>
      </c>
      <c r="C33" s="76" t="s">
        <v>261</v>
      </c>
      <c r="D33" s="77" t="s">
        <v>260</v>
      </c>
      <c r="E33" s="77" t="s">
        <v>204</v>
      </c>
      <c r="F33" s="78">
        <f>1.003+0.599</f>
        <v>1.6019999999999999</v>
      </c>
      <c r="G33" s="80">
        <f t="shared" si="26"/>
        <v>4.3710000000000004</v>
      </c>
      <c r="H33" s="80">
        <f t="shared" si="27"/>
        <v>2.7284644194756558</v>
      </c>
      <c r="I33" s="78">
        <v>0.10299999999999999</v>
      </c>
      <c r="J33" s="78">
        <v>5.6000000000000001E-2</v>
      </c>
      <c r="K33" s="78">
        <v>0.91400000000000003</v>
      </c>
      <c r="L33" s="78">
        <v>0.66700000000000004</v>
      </c>
      <c r="M33" s="78">
        <v>0.68200000000000005</v>
      </c>
      <c r="N33" s="78">
        <v>0.128</v>
      </c>
      <c r="O33" s="78">
        <f>1.029+0.792</f>
        <v>1.821</v>
      </c>
      <c r="P33" s="78">
        <f t="shared" si="21"/>
        <v>1.9489999999999998</v>
      </c>
      <c r="Q33" s="80">
        <f t="shared" si="22"/>
        <v>2.1323851203501092</v>
      </c>
      <c r="R33" s="80">
        <f t="shared" si="0"/>
        <v>0.74617067833698036</v>
      </c>
      <c r="S33" s="80">
        <f t="shared" si="1"/>
        <v>0.72975929978118159</v>
      </c>
      <c r="T33" s="80">
        <f t="shared" si="23"/>
        <v>14.2265625</v>
      </c>
      <c r="U33" s="78">
        <v>0.20300000000000001</v>
      </c>
      <c r="V33" s="78">
        <f t="shared" si="5"/>
        <v>21.532019704433498</v>
      </c>
      <c r="W33" s="78">
        <v>0.63400000000000001</v>
      </c>
      <c r="X33" s="78">
        <v>8.1000000000000003E-2</v>
      </c>
      <c r="Y33" s="78">
        <f>W:W/X:X</f>
        <v>7.8271604938271606</v>
      </c>
      <c r="Z33" s="78">
        <v>0.42199999999999999</v>
      </c>
      <c r="AA33" s="78">
        <v>0.59799999999999998</v>
      </c>
      <c r="AB33" s="78">
        <f>AA33/F33</f>
        <v>0.37328339575530589</v>
      </c>
      <c r="AC33" s="78">
        <v>1.1819999999999999</v>
      </c>
      <c r="AD33" s="78">
        <f t="shared" si="19"/>
        <v>0.73782771535580527</v>
      </c>
      <c r="AE33" s="78">
        <v>9.9000000000000005E-2</v>
      </c>
      <c r="AF33" s="78">
        <f t="shared" si="20"/>
        <v>0.10831509846827134</v>
      </c>
      <c r="AG33" s="78">
        <f t="shared" si="24"/>
        <v>5.0795279630579789E-2</v>
      </c>
      <c r="AH33" s="78">
        <f t="shared" si="25"/>
        <v>0.7734375</v>
      </c>
      <c r="AI33" s="78">
        <v>9.7000000000000003E-2</v>
      </c>
      <c r="AJ33" s="78">
        <v>5.7000000000000002E-2</v>
      </c>
      <c r="AK33" s="78">
        <f t="shared" si="12"/>
        <v>1.7017543859649122</v>
      </c>
      <c r="AL33" s="78">
        <f t="shared" si="8"/>
        <v>0.97979797979797978</v>
      </c>
      <c r="AM33" s="78">
        <f t="shared" si="6"/>
        <v>0.7578125</v>
      </c>
      <c r="AN33" s="78">
        <f t="shared" si="4"/>
        <v>0.1061269146608315</v>
      </c>
      <c r="AO33" s="78">
        <f t="shared" si="2"/>
        <v>0.53591160220994483</v>
      </c>
      <c r="AP33" s="78">
        <v>0.18099999999999999</v>
      </c>
      <c r="AQ33" s="78">
        <v>0.106</v>
      </c>
      <c r="AR33" s="78">
        <f>AP33/F33</f>
        <v>0.11298377028714109</v>
      </c>
      <c r="AS33" s="78">
        <f t="shared" si="3"/>
        <v>1.7075471698113207</v>
      </c>
      <c r="AT33" s="78">
        <f>AP33/K33</f>
        <v>0.19803063457330414</v>
      </c>
      <c r="AU33" s="78">
        <v>0.104</v>
      </c>
      <c r="AV33" s="79" t="s">
        <v>75</v>
      </c>
      <c r="AW33" s="79" t="s">
        <v>75</v>
      </c>
      <c r="AX33" s="80">
        <f>AP33/AU33</f>
        <v>1.7403846153846154</v>
      </c>
      <c r="AY33" s="215" t="s">
        <v>75</v>
      </c>
      <c r="AZ33" s="216" t="s">
        <v>75</v>
      </c>
      <c r="BA33" s="77"/>
      <c r="BB33" s="77"/>
      <c r="BC33" s="217"/>
    </row>
    <row r="34" spans="2:55" ht="12.75" customHeight="1" x14ac:dyDescent="0.2">
      <c r="B34" s="75"/>
      <c r="C34" s="77"/>
      <c r="D34" s="77"/>
      <c r="E34" s="77"/>
      <c r="F34" s="78">
        <f>1.003+0.599</f>
        <v>1.6019999999999999</v>
      </c>
      <c r="G34" s="80">
        <f t="shared" si="26"/>
        <v>4.1120000000000001</v>
      </c>
      <c r="H34" s="80">
        <f t="shared" si="27"/>
        <v>2.5667915106117354</v>
      </c>
      <c r="I34" s="78">
        <v>0.109</v>
      </c>
      <c r="J34" s="78">
        <v>5.8999999999999997E-2</v>
      </c>
      <c r="K34" s="78">
        <v>0.88300000000000001</v>
      </c>
      <c r="L34" s="78">
        <v>0.69099999999999995</v>
      </c>
      <c r="M34" s="78">
        <v>0.65700000000000003</v>
      </c>
      <c r="N34" s="78">
        <v>0.11700000000000001</v>
      </c>
      <c r="O34" s="78">
        <f>0.584+1.012</f>
        <v>1.5960000000000001</v>
      </c>
      <c r="P34" s="78">
        <f t="shared" si="21"/>
        <v>1.7130000000000001</v>
      </c>
      <c r="Q34" s="80">
        <f t="shared" si="22"/>
        <v>1.939977349943375</v>
      </c>
      <c r="R34" s="80">
        <f t="shared" si="0"/>
        <v>0.74405436013590032</v>
      </c>
      <c r="S34" s="80">
        <f t="shared" si="1"/>
        <v>0.78255945639864088</v>
      </c>
      <c r="T34" s="80">
        <f t="shared" si="23"/>
        <v>13.641025641025641</v>
      </c>
      <c r="U34" s="78">
        <v>0.20300000000000001</v>
      </c>
      <c r="V34" s="78">
        <f t="shared" si="5"/>
        <v>20.256157635467979</v>
      </c>
      <c r="W34" s="78">
        <v>0.64700000000000002</v>
      </c>
      <c r="X34" s="78">
        <v>7.0000000000000007E-2</v>
      </c>
      <c r="Y34" s="78">
        <f>W:W/X:X</f>
        <v>9.242857142857142</v>
      </c>
      <c r="Z34" s="79" t="s">
        <v>75</v>
      </c>
      <c r="AA34" s="79" t="s">
        <v>75</v>
      </c>
      <c r="AB34" s="79" t="s">
        <v>75</v>
      </c>
      <c r="AC34" s="78">
        <v>1.2210000000000001</v>
      </c>
      <c r="AD34" s="78">
        <f t="shared" si="19"/>
        <v>0.76217228464419484</v>
      </c>
      <c r="AE34" s="78">
        <v>0.105</v>
      </c>
      <c r="AF34" s="78">
        <f t="shared" si="20"/>
        <v>0.11891279728199319</v>
      </c>
      <c r="AG34" s="78">
        <f t="shared" si="24"/>
        <v>6.1295971978984232E-2</v>
      </c>
      <c r="AH34" s="78">
        <f t="shared" si="25"/>
        <v>0.89743589743589736</v>
      </c>
      <c r="AI34" s="78">
        <v>9.7000000000000003E-2</v>
      </c>
      <c r="AJ34" s="78">
        <v>5.7000000000000002E-2</v>
      </c>
      <c r="AK34" s="78">
        <f t="shared" si="12"/>
        <v>1.7017543859649122</v>
      </c>
      <c r="AL34" s="78">
        <f t="shared" si="8"/>
        <v>0.92380952380952386</v>
      </c>
      <c r="AM34" s="78">
        <f t="shared" si="6"/>
        <v>0.829059829059829</v>
      </c>
      <c r="AN34" s="78">
        <f t="shared" si="4"/>
        <v>0.10985277463193659</v>
      </c>
      <c r="AO34" s="79" t="s">
        <v>75</v>
      </c>
      <c r="AP34" s="79" t="s">
        <v>75</v>
      </c>
      <c r="AQ34" s="79" t="s">
        <v>75</v>
      </c>
      <c r="AR34" s="79" t="s">
        <v>75</v>
      </c>
      <c r="AS34" s="79" t="s">
        <v>75</v>
      </c>
      <c r="AT34" s="79" t="s">
        <v>75</v>
      </c>
      <c r="AU34" s="78">
        <v>0.104</v>
      </c>
      <c r="AV34" s="79" t="s">
        <v>75</v>
      </c>
      <c r="AW34" s="79" t="s">
        <v>75</v>
      </c>
      <c r="AX34" s="114" t="s">
        <v>75</v>
      </c>
      <c r="AY34" s="215" t="s">
        <v>75</v>
      </c>
      <c r="AZ34" s="216" t="s">
        <v>75</v>
      </c>
      <c r="BA34" s="77"/>
      <c r="BB34" s="77"/>
      <c r="BC34" s="217"/>
    </row>
    <row r="35" spans="2:55" ht="12.75" customHeight="1" x14ac:dyDescent="0.2">
      <c r="B35" s="83">
        <v>15159</v>
      </c>
      <c r="C35" s="70" t="s">
        <v>261</v>
      </c>
      <c r="D35" s="71" t="s">
        <v>260</v>
      </c>
      <c r="E35" s="71" t="s">
        <v>204</v>
      </c>
      <c r="F35" s="72">
        <v>1.7410000000000001</v>
      </c>
      <c r="G35" s="82">
        <f t="shared" si="26"/>
        <v>4.3689999999999998</v>
      </c>
      <c r="H35" s="82">
        <f t="shared" si="27"/>
        <v>2.5094773118897185</v>
      </c>
      <c r="I35" s="72">
        <v>9.9000000000000005E-2</v>
      </c>
      <c r="J35" s="72">
        <v>5.0999999999999997E-2</v>
      </c>
      <c r="K35" s="72">
        <v>0.96199999999999997</v>
      </c>
      <c r="L35" s="72">
        <v>0.72699999999999998</v>
      </c>
      <c r="M35" s="72">
        <v>0.77700000000000002</v>
      </c>
      <c r="N35" s="72">
        <v>0.122</v>
      </c>
      <c r="O35" s="72">
        <f>1.365+0.266</f>
        <v>1.631</v>
      </c>
      <c r="P35" s="72">
        <f t="shared" si="21"/>
        <v>1.7530000000000001</v>
      </c>
      <c r="Q35" s="82">
        <f t="shared" si="22"/>
        <v>1.8222453222453223</v>
      </c>
      <c r="R35" s="82">
        <f t="shared" si="0"/>
        <v>0.80769230769230771</v>
      </c>
      <c r="S35" s="82">
        <f t="shared" si="1"/>
        <v>0.75571725571725568</v>
      </c>
      <c r="T35" s="82">
        <f t="shared" si="23"/>
        <v>13.368852459016393</v>
      </c>
      <c r="U35" s="72">
        <v>0.29399999999999998</v>
      </c>
      <c r="V35" s="72">
        <f t="shared" si="5"/>
        <v>14.860544217687075</v>
      </c>
      <c r="W35" s="73" t="s">
        <v>75</v>
      </c>
      <c r="X35" s="73" t="s">
        <v>75</v>
      </c>
      <c r="Y35" s="73" t="s">
        <v>75</v>
      </c>
      <c r="Z35" s="72">
        <v>0.41099999999999998</v>
      </c>
      <c r="AA35" s="72">
        <v>0.61</v>
      </c>
      <c r="AB35" s="72">
        <f>AA35/F35</f>
        <v>0.35037334865020103</v>
      </c>
      <c r="AC35" s="72">
        <v>1.3380000000000001</v>
      </c>
      <c r="AD35" s="72">
        <f t="shared" si="19"/>
        <v>0.76852383687535897</v>
      </c>
      <c r="AE35" s="72">
        <v>0.09</v>
      </c>
      <c r="AF35" s="72">
        <f t="shared" si="20"/>
        <v>9.355509355509356E-2</v>
      </c>
      <c r="AG35" s="72">
        <f t="shared" si="24"/>
        <v>5.1340559041642891E-2</v>
      </c>
      <c r="AH35" s="72">
        <f t="shared" si="25"/>
        <v>0.73770491803278693</v>
      </c>
      <c r="AI35" s="73" t="s">
        <v>75</v>
      </c>
      <c r="AJ35" s="73" t="s">
        <v>75</v>
      </c>
      <c r="AK35" s="73" t="s">
        <v>75</v>
      </c>
      <c r="AL35" s="73" t="s">
        <v>75</v>
      </c>
      <c r="AM35" s="73" t="s">
        <v>75</v>
      </c>
      <c r="AN35" s="73" t="s">
        <v>75</v>
      </c>
      <c r="AO35" s="73" t="s">
        <v>75</v>
      </c>
      <c r="AP35" s="72">
        <v>0.189</v>
      </c>
      <c r="AQ35" s="72">
        <v>0.104</v>
      </c>
      <c r="AR35" s="72">
        <f t="shared" ref="AR35:AR66" si="28">AP35/F35</f>
        <v>0.10855829982768524</v>
      </c>
      <c r="AS35" s="72">
        <f t="shared" si="3"/>
        <v>1.8173076923076925</v>
      </c>
      <c r="AT35" s="72">
        <f t="shared" ref="AT35:AT53" si="29">AP35/K35</f>
        <v>0.19646569646569648</v>
      </c>
      <c r="AU35" s="72">
        <v>9.2999999999999999E-2</v>
      </c>
      <c r="AV35" s="72">
        <v>0.13100000000000001</v>
      </c>
      <c r="AW35" s="72">
        <f>AU35/AV35</f>
        <v>0.70992366412213737</v>
      </c>
      <c r="AX35" s="82">
        <f>AP35/AU35</f>
        <v>2.032258064516129</v>
      </c>
      <c r="AY35" s="224" t="s">
        <v>75</v>
      </c>
      <c r="AZ35" s="84">
        <v>17</v>
      </c>
      <c r="BA35" s="71"/>
      <c r="BB35" s="71"/>
      <c r="BC35" s="226"/>
    </row>
    <row r="36" spans="2:55" ht="12.75" customHeight="1" x14ac:dyDescent="0.2">
      <c r="B36" s="69"/>
      <c r="C36" s="71"/>
      <c r="D36" s="71"/>
      <c r="E36" s="71"/>
      <c r="F36" s="72">
        <v>1.7410000000000001</v>
      </c>
      <c r="G36" s="82">
        <f t="shared" si="26"/>
        <v>4.5360000000000005</v>
      </c>
      <c r="H36" s="82">
        <f t="shared" si="27"/>
        <v>2.6053991958644458</v>
      </c>
      <c r="I36" s="72">
        <v>0.11600000000000001</v>
      </c>
      <c r="J36" s="72">
        <v>5.6000000000000001E-2</v>
      </c>
      <c r="K36" s="72">
        <v>0.98499999999999999</v>
      </c>
      <c r="L36" s="72">
        <v>0.68200000000000005</v>
      </c>
      <c r="M36" s="72">
        <v>0.76</v>
      </c>
      <c r="N36" s="72">
        <v>0.13300000000000001</v>
      </c>
      <c r="O36" s="72">
        <v>1.804</v>
      </c>
      <c r="P36" s="72">
        <f t="shared" si="21"/>
        <v>1.9370000000000001</v>
      </c>
      <c r="Q36" s="82">
        <f t="shared" si="22"/>
        <v>1.9664974619289342</v>
      </c>
      <c r="R36" s="82">
        <f t="shared" si="0"/>
        <v>0.77157360406091369</v>
      </c>
      <c r="S36" s="82">
        <f t="shared" si="1"/>
        <v>0.69238578680203056</v>
      </c>
      <c r="T36" s="82">
        <f t="shared" si="23"/>
        <v>13.563909774436089</v>
      </c>
      <c r="U36" s="72">
        <v>0.29399999999999998</v>
      </c>
      <c r="V36" s="72">
        <f t="shared" si="5"/>
        <v>15.428571428571431</v>
      </c>
      <c r="W36" s="73" t="s">
        <v>75</v>
      </c>
      <c r="X36" s="73" t="s">
        <v>75</v>
      </c>
      <c r="Y36" s="73" t="s">
        <v>75</v>
      </c>
      <c r="Z36" s="72">
        <v>0.41299999999999998</v>
      </c>
      <c r="AA36" s="72">
        <v>0.59499999999999997</v>
      </c>
      <c r="AB36" s="72">
        <f>AA36/F36</f>
        <v>0.34175761056863868</v>
      </c>
      <c r="AC36" s="72">
        <v>1.294</v>
      </c>
      <c r="AD36" s="72">
        <f t="shared" si="19"/>
        <v>0.74325100516944287</v>
      </c>
      <c r="AE36" s="72">
        <v>0.115</v>
      </c>
      <c r="AF36" s="72">
        <f t="shared" si="20"/>
        <v>0.116751269035533</v>
      </c>
      <c r="AG36" s="72">
        <f t="shared" si="24"/>
        <v>5.9370160041300982E-2</v>
      </c>
      <c r="AH36" s="72">
        <f t="shared" si="25"/>
        <v>0.86466165413533835</v>
      </c>
      <c r="AI36" s="73" t="s">
        <v>75</v>
      </c>
      <c r="AJ36" s="73" t="s">
        <v>75</v>
      </c>
      <c r="AK36" s="73" t="s">
        <v>75</v>
      </c>
      <c r="AL36" s="73" t="s">
        <v>75</v>
      </c>
      <c r="AM36" s="73" t="s">
        <v>75</v>
      </c>
      <c r="AN36" s="73" t="s">
        <v>75</v>
      </c>
      <c r="AO36" s="73" t="s">
        <v>75</v>
      </c>
      <c r="AP36" s="72">
        <v>0.19800000000000001</v>
      </c>
      <c r="AQ36" s="72">
        <v>9.5000000000000001E-2</v>
      </c>
      <c r="AR36" s="72">
        <f t="shared" si="28"/>
        <v>0.11372774267662263</v>
      </c>
      <c r="AS36" s="72">
        <f t="shared" si="3"/>
        <v>2.0842105263157897</v>
      </c>
      <c r="AT36" s="72">
        <f t="shared" si="29"/>
        <v>0.20101522842639596</v>
      </c>
      <c r="AU36" s="72">
        <v>9.2999999999999999E-2</v>
      </c>
      <c r="AV36" s="72">
        <v>0.13100000000000001</v>
      </c>
      <c r="AW36" s="72">
        <f>AU36/AV36</f>
        <v>0.70992366412213737</v>
      </c>
      <c r="AX36" s="82">
        <f>AP36/AU36</f>
        <v>2.1290322580645165</v>
      </c>
      <c r="AY36" s="224" t="s">
        <v>75</v>
      </c>
      <c r="AZ36" s="225" t="s">
        <v>75</v>
      </c>
      <c r="BA36" s="71"/>
      <c r="BB36" s="71"/>
      <c r="BC36" s="226"/>
    </row>
    <row r="37" spans="2:55" ht="12.75" customHeight="1" x14ac:dyDescent="0.2">
      <c r="B37" s="86">
        <v>15159</v>
      </c>
      <c r="C37" s="76" t="s">
        <v>261</v>
      </c>
      <c r="D37" s="77" t="s">
        <v>260</v>
      </c>
      <c r="E37" s="77" t="s">
        <v>204</v>
      </c>
      <c r="F37" s="78">
        <v>1.4670000000000001</v>
      </c>
      <c r="G37" s="80">
        <f t="shared" si="26"/>
        <v>4.4710000000000001</v>
      </c>
      <c r="H37" s="80">
        <f t="shared" si="27"/>
        <v>3.0477164280845259</v>
      </c>
      <c r="I37" s="78">
        <v>0.10199999999999999</v>
      </c>
      <c r="J37" s="78">
        <v>4.7E-2</v>
      </c>
      <c r="K37" s="78">
        <v>0.92600000000000005</v>
      </c>
      <c r="L37" s="78">
        <v>0.68300000000000005</v>
      </c>
      <c r="M37" s="78">
        <v>0.72399999999999998</v>
      </c>
      <c r="N37" s="78">
        <v>0.158</v>
      </c>
      <c r="O37" s="78">
        <f>0.765+1.066</f>
        <v>1.831</v>
      </c>
      <c r="P37" s="78">
        <f t="shared" si="21"/>
        <v>1.9889999999999999</v>
      </c>
      <c r="Q37" s="80">
        <f t="shared" si="22"/>
        <v>2.1479481641468681</v>
      </c>
      <c r="R37" s="80">
        <f t="shared" si="0"/>
        <v>0.78185745140388763</v>
      </c>
      <c r="S37" s="80">
        <f t="shared" si="1"/>
        <v>0.73758099352051842</v>
      </c>
      <c r="T37" s="80">
        <f t="shared" si="23"/>
        <v>11.588607594936709</v>
      </c>
      <c r="U37" s="78">
        <v>0.29399999999999998</v>
      </c>
      <c r="V37" s="78">
        <f t="shared" si="5"/>
        <v>15.20748299319728</v>
      </c>
      <c r="W37" s="78">
        <v>0.62</v>
      </c>
      <c r="X37" s="78">
        <v>0.08</v>
      </c>
      <c r="Y37" s="78">
        <f>W:W/X:X</f>
        <v>7.75</v>
      </c>
      <c r="Z37" s="78">
        <v>0.39</v>
      </c>
      <c r="AA37" s="78">
        <v>0.54</v>
      </c>
      <c r="AB37" s="78">
        <f>AA37/F37</f>
        <v>0.36809815950920244</v>
      </c>
      <c r="AC37" s="78">
        <v>1.1659999999999999</v>
      </c>
      <c r="AD37" s="78">
        <f t="shared" si="19"/>
        <v>0.79481935923653702</v>
      </c>
      <c r="AE37" s="78">
        <v>0.10100000000000001</v>
      </c>
      <c r="AF37" s="78">
        <f t="shared" si="20"/>
        <v>0.10907127429805616</v>
      </c>
      <c r="AG37" s="78">
        <f t="shared" si="24"/>
        <v>5.0779286073403727E-2</v>
      </c>
      <c r="AH37" s="78">
        <f t="shared" si="25"/>
        <v>0.639240506329114</v>
      </c>
      <c r="AI37" s="79" t="s">
        <v>75</v>
      </c>
      <c r="AJ37" s="79" t="s">
        <v>75</v>
      </c>
      <c r="AK37" s="79" t="s">
        <v>75</v>
      </c>
      <c r="AL37" s="79" t="s">
        <v>75</v>
      </c>
      <c r="AM37" s="79" t="s">
        <v>75</v>
      </c>
      <c r="AN37" s="79" t="s">
        <v>75</v>
      </c>
      <c r="AO37" s="79" t="s">
        <v>75</v>
      </c>
      <c r="AP37" s="78">
        <v>0.18099999999999999</v>
      </c>
      <c r="AQ37" s="78">
        <v>0.107</v>
      </c>
      <c r="AR37" s="78">
        <f t="shared" si="28"/>
        <v>0.12338104976141785</v>
      </c>
      <c r="AS37" s="78">
        <f t="shared" si="3"/>
        <v>1.691588785046729</v>
      </c>
      <c r="AT37" s="78">
        <f t="shared" si="29"/>
        <v>0.19546436285097191</v>
      </c>
      <c r="AU37" s="78">
        <v>9.6000000000000002E-2</v>
      </c>
      <c r="AV37" s="79" t="s">
        <v>75</v>
      </c>
      <c r="AW37" s="79" t="s">
        <v>75</v>
      </c>
      <c r="AX37" s="114" t="s">
        <v>75</v>
      </c>
      <c r="AY37" s="215" t="s">
        <v>75</v>
      </c>
      <c r="AZ37" s="87">
        <v>16</v>
      </c>
      <c r="BA37" s="77"/>
      <c r="BB37" s="77"/>
      <c r="BC37" s="217"/>
    </row>
    <row r="38" spans="2:55" ht="12.75" customHeight="1" x14ac:dyDescent="0.2">
      <c r="B38" s="75"/>
      <c r="C38" s="77"/>
      <c r="D38" s="77"/>
      <c r="E38" s="77"/>
      <c r="F38" s="78">
        <v>1.4670000000000001</v>
      </c>
      <c r="G38" s="80">
        <f t="shared" si="26"/>
        <v>4.4550000000000001</v>
      </c>
      <c r="H38" s="80">
        <f t="shared" si="27"/>
        <v>3.03680981595092</v>
      </c>
      <c r="I38" s="78">
        <v>0.10299999999999999</v>
      </c>
      <c r="J38" s="78">
        <v>0.05</v>
      </c>
      <c r="K38" s="78">
        <v>0.96699999999999997</v>
      </c>
      <c r="L38" s="78">
        <v>0.66600000000000004</v>
      </c>
      <c r="M38" s="78">
        <v>0.72499999999999998</v>
      </c>
      <c r="N38" s="78">
        <v>0.14599999999999999</v>
      </c>
      <c r="O38" s="78">
        <v>1.798</v>
      </c>
      <c r="P38" s="78">
        <f t="shared" si="21"/>
        <v>1.944</v>
      </c>
      <c r="Q38" s="80">
        <f t="shared" si="22"/>
        <v>2.0103412616339194</v>
      </c>
      <c r="R38" s="80">
        <f t="shared" si="0"/>
        <v>0.74974146845915202</v>
      </c>
      <c r="S38" s="80">
        <f t="shared" si="1"/>
        <v>0.68872802481902795</v>
      </c>
      <c r="T38" s="80">
        <f t="shared" si="23"/>
        <v>12.315068493150687</v>
      </c>
      <c r="U38" s="78">
        <v>0.29399999999999998</v>
      </c>
      <c r="V38" s="78">
        <f t="shared" si="5"/>
        <v>15.153061224489797</v>
      </c>
      <c r="W38" s="79" t="s">
        <v>75</v>
      </c>
      <c r="X38" s="79" t="s">
        <v>75</v>
      </c>
      <c r="Y38" s="79" t="s">
        <v>75</v>
      </c>
      <c r="Z38" s="78">
        <v>0.39300000000000002</v>
      </c>
      <c r="AA38" s="79" t="s">
        <v>75</v>
      </c>
      <c r="AB38" s="79" t="s">
        <v>75</v>
      </c>
      <c r="AC38" s="79" t="s">
        <v>75</v>
      </c>
      <c r="AD38" s="79" t="s">
        <v>75</v>
      </c>
      <c r="AE38" s="79" t="s">
        <v>75</v>
      </c>
      <c r="AF38" s="79" t="s">
        <v>75</v>
      </c>
      <c r="AG38" s="79" t="s">
        <v>75</v>
      </c>
      <c r="AH38" s="79" t="s">
        <v>75</v>
      </c>
      <c r="AI38" s="79" t="s">
        <v>75</v>
      </c>
      <c r="AJ38" s="79" t="s">
        <v>75</v>
      </c>
      <c r="AK38" s="79" t="s">
        <v>75</v>
      </c>
      <c r="AL38" s="79" t="s">
        <v>75</v>
      </c>
      <c r="AM38" s="79" t="s">
        <v>75</v>
      </c>
      <c r="AN38" s="79" t="s">
        <v>75</v>
      </c>
      <c r="AO38" s="79" t="s">
        <v>75</v>
      </c>
      <c r="AP38" s="78">
        <v>0.17399999999999999</v>
      </c>
      <c r="AQ38" s="78">
        <v>9.0999999999999998E-2</v>
      </c>
      <c r="AR38" s="78">
        <f t="shared" si="28"/>
        <v>0.11860940695296522</v>
      </c>
      <c r="AS38" s="78">
        <f t="shared" si="3"/>
        <v>1.912087912087912</v>
      </c>
      <c r="AT38" s="78">
        <f t="shared" si="29"/>
        <v>0.17993795243019647</v>
      </c>
      <c r="AU38" s="78">
        <v>9.6000000000000002E-2</v>
      </c>
      <c r="AV38" s="79" t="s">
        <v>75</v>
      </c>
      <c r="AW38" s="79" t="s">
        <v>75</v>
      </c>
      <c r="AX38" s="114" t="s">
        <v>75</v>
      </c>
      <c r="AY38" s="215" t="s">
        <v>75</v>
      </c>
      <c r="AZ38" s="216" t="s">
        <v>75</v>
      </c>
      <c r="BA38" s="77"/>
      <c r="BB38" s="77"/>
      <c r="BC38" s="217"/>
    </row>
    <row r="39" spans="2:55" ht="12.75" customHeight="1" x14ac:dyDescent="0.2">
      <c r="B39" s="83">
        <v>21720</v>
      </c>
      <c r="C39" s="70" t="s">
        <v>261</v>
      </c>
      <c r="D39" s="71" t="s">
        <v>250</v>
      </c>
      <c r="E39" s="71" t="s">
        <v>179</v>
      </c>
      <c r="F39" s="72">
        <f>1.09+0.45</f>
        <v>1.54</v>
      </c>
      <c r="G39" s="110" t="s">
        <v>75</v>
      </c>
      <c r="H39" s="110" t="s">
        <v>75</v>
      </c>
      <c r="I39" s="72">
        <v>0.09</v>
      </c>
      <c r="J39" s="72">
        <v>0.05</v>
      </c>
      <c r="K39" s="72">
        <v>0.92</v>
      </c>
      <c r="L39" s="72">
        <v>0.61</v>
      </c>
      <c r="M39" s="73" t="s">
        <v>75</v>
      </c>
      <c r="N39" s="73" t="s">
        <v>75</v>
      </c>
      <c r="O39" s="73" t="s">
        <v>75</v>
      </c>
      <c r="P39" s="73" t="s">
        <v>75</v>
      </c>
      <c r="Q39" s="110" t="s">
        <v>75</v>
      </c>
      <c r="R39" s="110" t="s">
        <v>75</v>
      </c>
      <c r="S39" s="82">
        <f t="shared" si="1"/>
        <v>0.66304347826086951</v>
      </c>
      <c r="T39" s="110" t="s">
        <v>75</v>
      </c>
      <c r="U39" s="73" t="s">
        <v>75</v>
      </c>
      <c r="V39" s="73" t="s">
        <v>75</v>
      </c>
      <c r="W39" s="72">
        <v>0.59</v>
      </c>
      <c r="X39" s="72">
        <v>0.1</v>
      </c>
      <c r="Y39" s="72">
        <f t="shared" ref="Y39:Y57" si="30">W:W/X:X</f>
        <v>5.8999999999999995</v>
      </c>
      <c r="Z39" s="72">
        <v>0.37</v>
      </c>
      <c r="AA39" s="72">
        <v>0.51</v>
      </c>
      <c r="AB39" s="72">
        <f>AA39/F39</f>
        <v>0.33116883116883117</v>
      </c>
      <c r="AC39" s="72">
        <v>1.08</v>
      </c>
      <c r="AD39" s="72">
        <f>AC39/F39</f>
        <v>0.70129870129870131</v>
      </c>
      <c r="AE39" s="72">
        <v>0.1</v>
      </c>
      <c r="AF39" s="72">
        <f>AE:AE/K:K</f>
        <v>0.10869565217391304</v>
      </c>
      <c r="AG39" s="73" t="s">
        <v>75</v>
      </c>
      <c r="AH39" s="73" t="s">
        <v>75</v>
      </c>
      <c r="AI39" s="72">
        <v>0.09</v>
      </c>
      <c r="AJ39" s="72">
        <v>0.05</v>
      </c>
      <c r="AK39" s="72">
        <f t="shared" si="12"/>
        <v>1.7999999999999998</v>
      </c>
      <c r="AL39" s="72">
        <f t="shared" si="8"/>
        <v>0.89999999999999991</v>
      </c>
      <c r="AM39" s="73" t="s">
        <v>75</v>
      </c>
      <c r="AN39" s="72">
        <f t="shared" si="4"/>
        <v>9.7826086956521729E-2</v>
      </c>
      <c r="AO39" s="72">
        <f t="shared" si="2"/>
        <v>0.5625</v>
      </c>
      <c r="AP39" s="72">
        <v>0.16</v>
      </c>
      <c r="AQ39" s="72">
        <v>0.13</v>
      </c>
      <c r="AR39" s="72">
        <f t="shared" si="28"/>
        <v>0.10389610389610389</v>
      </c>
      <c r="AS39" s="72">
        <f t="shared" si="3"/>
        <v>1.2307692307692308</v>
      </c>
      <c r="AT39" s="72">
        <f t="shared" si="29"/>
        <v>0.17391304347826086</v>
      </c>
      <c r="AU39" s="73" t="s">
        <v>75</v>
      </c>
      <c r="AV39" s="73" t="s">
        <v>75</v>
      </c>
      <c r="AW39" s="73" t="s">
        <v>75</v>
      </c>
      <c r="AX39" s="110" t="s">
        <v>75</v>
      </c>
      <c r="AY39" s="224" t="s">
        <v>75</v>
      </c>
      <c r="AZ39" s="84">
        <v>14</v>
      </c>
      <c r="BA39" s="71"/>
      <c r="BB39" s="71"/>
      <c r="BC39" s="226"/>
    </row>
    <row r="40" spans="2:55" ht="12.75" customHeight="1" x14ac:dyDescent="0.2">
      <c r="B40" s="69"/>
      <c r="C40" s="71"/>
      <c r="D40" s="71"/>
      <c r="E40" s="71"/>
      <c r="F40" s="72">
        <f>1.09+0.45</f>
        <v>1.54</v>
      </c>
      <c r="G40" s="110" t="s">
        <v>75</v>
      </c>
      <c r="H40" s="110" t="s">
        <v>75</v>
      </c>
      <c r="I40" s="72">
        <v>0.1</v>
      </c>
      <c r="J40" s="72">
        <v>0.05</v>
      </c>
      <c r="K40" s="72">
        <v>0.88</v>
      </c>
      <c r="L40" s="72">
        <v>0.61</v>
      </c>
      <c r="M40" s="72">
        <v>0.65</v>
      </c>
      <c r="N40" s="72">
        <v>0.12</v>
      </c>
      <c r="O40" s="73" t="s">
        <v>75</v>
      </c>
      <c r="P40" s="73" t="s">
        <v>75</v>
      </c>
      <c r="Q40" s="110" t="s">
        <v>75</v>
      </c>
      <c r="R40" s="82">
        <f t="shared" si="0"/>
        <v>0.73863636363636365</v>
      </c>
      <c r="S40" s="82">
        <f t="shared" si="1"/>
        <v>0.69318181818181812</v>
      </c>
      <c r="T40" s="110" t="s">
        <v>75</v>
      </c>
      <c r="U40" s="73" t="s">
        <v>75</v>
      </c>
      <c r="V40" s="73" t="s">
        <v>75</v>
      </c>
      <c r="W40" s="72">
        <v>0.57999999999999996</v>
      </c>
      <c r="X40" s="72">
        <v>0.1</v>
      </c>
      <c r="Y40" s="72">
        <f t="shared" si="30"/>
        <v>5.7999999999999989</v>
      </c>
      <c r="Z40" s="73" t="s">
        <v>75</v>
      </c>
      <c r="AA40" s="72">
        <v>0.49</v>
      </c>
      <c r="AB40" s="72">
        <f>AA40/F40</f>
        <v>0.31818181818181818</v>
      </c>
      <c r="AC40" s="72">
        <v>1.1200000000000001</v>
      </c>
      <c r="AD40" s="72">
        <f>AC40/F40</f>
        <v>0.72727272727272729</v>
      </c>
      <c r="AE40" s="73" t="s">
        <v>75</v>
      </c>
      <c r="AF40" s="73" t="s">
        <v>75</v>
      </c>
      <c r="AG40" s="73" t="s">
        <v>75</v>
      </c>
      <c r="AH40" s="73" t="s">
        <v>75</v>
      </c>
      <c r="AI40" s="72">
        <v>0.09</v>
      </c>
      <c r="AJ40" s="72">
        <v>0.05</v>
      </c>
      <c r="AK40" s="72">
        <f t="shared" ref="AK40" si="31">AI40/AJ40</f>
        <v>1.7999999999999998</v>
      </c>
      <c r="AL40" s="73" t="s">
        <v>75</v>
      </c>
      <c r="AM40" s="72">
        <f t="shared" si="6"/>
        <v>0.75</v>
      </c>
      <c r="AN40" s="72">
        <f t="shared" si="4"/>
        <v>0.10227272727272727</v>
      </c>
      <c r="AO40" s="72">
        <f t="shared" ref="AO40" si="32">AI40/AP40</f>
        <v>0.5625</v>
      </c>
      <c r="AP40" s="72">
        <v>0.16</v>
      </c>
      <c r="AQ40" s="72">
        <v>0.12</v>
      </c>
      <c r="AR40" s="72">
        <f t="shared" si="28"/>
        <v>0.10389610389610389</v>
      </c>
      <c r="AS40" s="72">
        <f t="shared" si="3"/>
        <v>1.3333333333333335</v>
      </c>
      <c r="AT40" s="72">
        <f t="shared" si="29"/>
        <v>0.18181818181818182</v>
      </c>
      <c r="AU40" s="73" t="s">
        <v>75</v>
      </c>
      <c r="AV40" s="73" t="s">
        <v>75</v>
      </c>
      <c r="AW40" s="73" t="s">
        <v>75</v>
      </c>
      <c r="AX40" s="110" t="s">
        <v>75</v>
      </c>
      <c r="AY40" s="224" t="s">
        <v>75</v>
      </c>
      <c r="AZ40" s="84">
        <v>16</v>
      </c>
      <c r="BA40" s="71"/>
      <c r="BB40" s="71"/>
      <c r="BC40" s="226"/>
    </row>
    <row r="41" spans="2:55" ht="12.75" customHeight="1" x14ac:dyDescent="0.2">
      <c r="B41" s="86">
        <v>21720</v>
      </c>
      <c r="C41" s="76" t="s">
        <v>261</v>
      </c>
      <c r="D41" s="77" t="s">
        <v>250</v>
      </c>
      <c r="E41" s="77" t="s">
        <v>179</v>
      </c>
      <c r="F41" s="78">
        <f>0.45+1.29</f>
        <v>1.74</v>
      </c>
      <c r="G41" s="80">
        <f>I41+J41+K41+L41+M41+N41+O41</f>
        <v>4.09</v>
      </c>
      <c r="H41" s="80">
        <f>G41/F41</f>
        <v>2.3505747126436782</v>
      </c>
      <c r="I41" s="78">
        <v>0.11</v>
      </c>
      <c r="J41" s="78">
        <v>0.05</v>
      </c>
      <c r="K41" s="78">
        <v>0.88</v>
      </c>
      <c r="L41" s="78">
        <v>0.57999999999999996</v>
      </c>
      <c r="M41" s="78">
        <v>0.67</v>
      </c>
      <c r="N41" s="78">
        <v>0.13</v>
      </c>
      <c r="O41" s="78">
        <f>0.98+0.69</f>
        <v>1.67</v>
      </c>
      <c r="P41" s="78">
        <f>N:N+O:O</f>
        <v>1.7999999999999998</v>
      </c>
      <c r="Q41" s="80">
        <f>(N41+O41)/K41</f>
        <v>2.0454545454545454</v>
      </c>
      <c r="R41" s="80">
        <f t="shared" si="0"/>
        <v>0.76136363636363635</v>
      </c>
      <c r="S41" s="80">
        <f t="shared" si="1"/>
        <v>0.65909090909090906</v>
      </c>
      <c r="T41" s="80">
        <f>O41/N41</f>
        <v>12.846153846153845</v>
      </c>
      <c r="U41" s="78">
        <v>0.27</v>
      </c>
      <c r="V41" s="78">
        <f t="shared" si="5"/>
        <v>15.148148148148147</v>
      </c>
      <c r="W41" s="78">
        <v>0.64</v>
      </c>
      <c r="X41" s="78">
        <v>0.11</v>
      </c>
      <c r="Y41" s="78">
        <f t="shared" si="30"/>
        <v>5.8181818181818183</v>
      </c>
      <c r="Z41" s="78">
        <v>0.37</v>
      </c>
      <c r="AA41" s="78">
        <v>0.52</v>
      </c>
      <c r="AB41" s="78">
        <f>AA41/F41</f>
        <v>0.2988505747126437</v>
      </c>
      <c r="AC41" s="78">
        <v>1.1100000000000001</v>
      </c>
      <c r="AD41" s="78">
        <f>AC41/F41</f>
        <v>0.63793103448275867</v>
      </c>
      <c r="AE41" s="78">
        <v>0.09</v>
      </c>
      <c r="AF41" s="78">
        <f>AE:AE/K:K</f>
        <v>0.10227272727272727</v>
      </c>
      <c r="AG41" s="78">
        <f>AE:AE/P:P</f>
        <v>0.05</v>
      </c>
      <c r="AH41" s="78">
        <f>AE:AE/N:N</f>
        <v>0.69230769230769229</v>
      </c>
      <c r="AI41" s="78">
        <v>0.09</v>
      </c>
      <c r="AJ41" s="78">
        <v>0.05</v>
      </c>
      <c r="AK41" s="78">
        <f t="shared" si="12"/>
        <v>1.7999999999999998</v>
      </c>
      <c r="AL41" s="78">
        <f t="shared" si="8"/>
        <v>1</v>
      </c>
      <c r="AM41" s="78">
        <f t="shared" si="6"/>
        <v>0.69230769230769229</v>
      </c>
      <c r="AN41" s="78">
        <f t="shared" si="4"/>
        <v>0.10227272727272727</v>
      </c>
      <c r="AO41" s="78">
        <f t="shared" si="2"/>
        <v>0.5</v>
      </c>
      <c r="AP41" s="78">
        <v>0.18</v>
      </c>
      <c r="AQ41" s="78">
        <v>0.11</v>
      </c>
      <c r="AR41" s="78">
        <f t="shared" si="28"/>
        <v>0.10344827586206896</v>
      </c>
      <c r="AS41" s="78">
        <f t="shared" si="3"/>
        <v>1.6363636363636362</v>
      </c>
      <c r="AT41" s="78">
        <f t="shared" si="29"/>
        <v>0.20454545454545453</v>
      </c>
      <c r="AU41" s="78">
        <v>0.09</v>
      </c>
      <c r="AV41" s="78">
        <v>0.1</v>
      </c>
      <c r="AW41" s="78">
        <f>AU41/AV41</f>
        <v>0.89999999999999991</v>
      </c>
      <c r="AX41" s="80">
        <f>AP41/AU41</f>
        <v>2</v>
      </c>
      <c r="AY41" s="215" t="s">
        <v>75</v>
      </c>
      <c r="AZ41" s="87">
        <v>15</v>
      </c>
      <c r="BA41" s="77"/>
      <c r="BB41" s="77"/>
      <c r="BC41" s="217"/>
    </row>
    <row r="42" spans="2:55" ht="12.75" customHeight="1" x14ac:dyDescent="0.2">
      <c r="B42" s="75"/>
      <c r="C42" s="77"/>
      <c r="D42" s="77"/>
      <c r="E42" s="77"/>
      <c r="F42" s="78">
        <f>0.45+1.29</f>
        <v>1.74</v>
      </c>
      <c r="G42" s="80">
        <f>I42+J42+K42+L42+M42+N42+O42</f>
        <v>3.8200000000000003</v>
      </c>
      <c r="H42" s="80">
        <f>G42/F42</f>
        <v>2.195402298850575</v>
      </c>
      <c r="I42" s="78">
        <v>0.09</v>
      </c>
      <c r="J42" s="78">
        <v>0.05</v>
      </c>
      <c r="K42" s="78">
        <v>0.87</v>
      </c>
      <c r="L42" s="78">
        <v>0.6</v>
      </c>
      <c r="M42" s="78">
        <v>0.68</v>
      </c>
      <c r="N42" s="78">
        <v>0.12</v>
      </c>
      <c r="O42" s="78">
        <v>1.41</v>
      </c>
      <c r="P42" s="78">
        <f>N:N+O:O</f>
        <v>1.5299999999999998</v>
      </c>
      <c r="Q42" s="80">
        <f>(N42+O42)/K42</f>
        <v>1.7586206896551722</v>
      </c>
      <c r="R42" s="80">
        <f t="shared" si="0"/>
        <v>0.7816091954022989</v>
      </c>
      <c r="S42" s="80">
        <f t="shared" si="1"/>
        <v>0.68965517241379304</v>
      </c>
      <c r="T42" s="80">
        <f>O42/N42</f>
        <v>11.75</v>
      </c>
      <c r="U42" s="78">
        <v>0.27</v>
      </c>
      <c r="V42" s="78">
        <f t="shared" si="5"/>
        <v>14.148148148148149</v>
      </c>
      <c r="W42" s="78">
        <v>0.65</v>
      </c>
      <c r="X42" s="78">
        <v>0.1</v>
      </c>
      <c r="Y42" s="78">
        <f t="shared" si="30"/>
        <v>6.5</v>
      </c>
      <c r="Z42" s="79" t="s">
        <v>75</v>
      </c>
      <c r="AA42" s="79" t="s">
        <v>75</v>
      </c>
      <c r="AB42" s="79" t="s">
        <v>75</v>
      </c>
      <c r="AC42" s="79" t="s">
        <v>75</v>
      </c>
      <c r="AD42" s="79" t="s">
        <v>75</v>
      </c>
      <c r="AE42" s="79" t="s">
        <v>75</v>
      </c>
      <c r="AF42" s="79" t="s">
        <v>75</v>
      </c>
      <c r="AG42" s="79" t="s">
        <v>75</v>
      </c>
      <c r="AH42" s="79" t="s">
        <v>75</v>
      </c>
      <c r="AI42" s="78">
        <v>0.09</v>
      </c>
      <c r="AJ42" s="78">
        <v>0.05</v>
      </c>
      <c r="AK42" s="78">
        <f t="shared" ref="AK42" si="33">AI42/AJ42</f>
        <v>1.7999999999999998</v>
      </c>
      <c r="AL42" s="79" t="s">
        <v>75</v>
      </c>
      <c r="AM42" s="78">
        <f t="shared" si="6"/>
        <v>0.75</v>
      </c>
      <c r="AN42" s="78">
        <f t="shared" si="4"/>
        <v>0.10344827586206896</v>
      </c>
      <c r="AO42" s="78">
        <f t="shared" ref="AO42" si="34">AI42/AP42</f>
        <v>0.5</v>
      </c>
      <c r="AP42" s="78">
        <v>0.18</v>
      </c>
      <c r="AQ42" s="78">
        <v>0.11</v>
      </c>
      <c r="AR42" s="78">
        <f t="shared" si="28"/>
        <v>0.10344827586206896</v>
      </c>
      <c r="AS42" s="78">
        <f t="shared" si="3"/>
        <v>1.6363636363636362</v>
      </c>
      <c r="AT42" s="78">
        <f t="shared" si="29"/>
        <v>0.20689655172413793</v>
      </c>
      <c r="AU42" s="78">
        <v>0.09</v>
      </c>
      <c r="AV42" s="78">
        <v>0.1</v>
      </c>
      <c r="AW42" s="78">
        <f>AU42/AV42</f>
        <v>0.89999999999999991</v>
      </c>
      <c r="AX42" s="80">
        <f>AP42/AU42</f>
        <v>2</v>
      </c>
      <c r="AY42" s="215" t="s">
        <v>75</v>
      </c>
      <c r="AZ42" s="87">
        <v>16</v>
      </c>
      <c r="BA42" s="77"/>
      <c r="BB42" s="77"/>
      <c r="BC42" s="217"/>
    </row>
    <row r="43" spans="2:55" ht="12.75" customHeight="1" x14ac:dyDescent="0.2">
      <c r="B43" s="83">
        <v>21720</v>
      </c>
      <c r="C43" s="70" t="s">
        <v>261</v>
      </c>
      <c r="D43" s="71" t="s">
        <v>250</v>
      </c>
      <c r="E43" s="71" t="s">
        <v>179</v>
      </c>
      <c r="F43" s="72">
        <v>1.4</v>
      </c>
      <c r="G43" s="82">
        <f>I43+J43+K43+L43+M43+N43+O43</f>
        <v>3.6900000000000004</v>
      </c>
      <c r="H43" s="82">
        <f>G43/F43</f>
        <v>2.6357142857142861</v>
      </c>
      <c r="I43" s="72">
        <v>0.11</v>
      </c>
      <c r="J43" s="72">
        <v>0.05</v>
      </c>
      <c r="K43" s="72">
        <v>0.88</v>
      </c>
      <c r="L43" s="72">
        <v>0.67</v>
      </c>
      <c r="M43" s="72">
        <v>0.68</v>
      </c>
      <c r="N43" s="72">
        <v>0.12</v>
      </c>
      <c r="O43" s="72">
        <f>0.1+0.17+0.16+0.1+0.15+0.13+0.37</f>
        <v>1.1800000000000002</v>
      </c>
      <c r="P43" s="72">
        <f>N:N+O:O</f>
        <v>1.3000000000000003</v>
      </c>
      <c r="Q43" s="82">
        <f>(N43+O43)/K43</f>
        <v>1.4772727272727275</v>
      </c>
      <c r="R43" s="82">
        <f t="shared" si="0"/>
        <v>0.77272727272727282</v>
      </c>
      <c r="S43" s="82">
        <f t="shared" si="1"/>
        <v>0.76136363636363635</v>
      </c>
      <c r="T43" s="82">
        <f>O43/N43</f>
        <v>9.8333333333333357</v>
      </c>
      <c r="U43" s="72">
        <v>0.22</v>
      </c>
      <c r="V43" s="72">
        <f t="shared" si="5"/>
        <v>16.772727272727273</v>
      </c>
      <c r="W43" s="72">
        <v>0.59</v>
      </c>
      <c r="X43" s="72">
        <v>0.1</v>
      </c>
      <c r="Y43" s="72">
        <f t="shared" si="30"/>
        <v>5.8999999999999995</v>
      </c>
      <c r="Z43" s="72">
        <v>0.36</v>
      </c>
      <c r="AA43" s="72">
        <v>0.53</v>
      </c>
      <c r="AB43" s="72">
        <f>AA43/F43</f>
        <v>0.37857142857142861</v>
      </c>
      <c r="AC43" s="72">
        <v>1.1299999999999999</v>
      </c>
      <c r="AD43" s="72">
        <f>AC43/F43</f>
        <v>0.80714285714285716</v>
      </c>
      <c r="AE43" s="72">
        <v>0.09</v>
      </c>
      <c r="AF43" s="72">
        <f>AE:AE/K:K</f>
        <v>0.10227272727272727</v>
      </c>
      <c r="AG43" s="72">
        <f>AE:AE/P:P</f>
        <v>6.9230769230769221E-2</v>
      </c>
      <c r="AH43" s="72">
        <f>AE:AE/N:N</f>
        <v>0.75</v>
      </c>
      <c r="AI43" s="72">
        <v>0.09</v>
      </c>
      <c r="AJ43" s="72">
        <v>0.05</v>
      </c>
      <c r="AK43" s="72">
        <f t="shared" si="12"/>
        <v>1.7999999999999998</v>
      </c>
      <c r="AL43" s="72">
        <f t="shared" si="8"/>
        <v>1</v>
      </c>
      <c r="AM43" s="72">
        <f t="shared" si="6"/>
        <v>0.75</v>
      </c>
      <c r="AN43" s="72">
        <f t="shared" si="4"/>
        <v>0.10227272727272727</v>
      </c>
      <c r="AO43" s="72">
        <f t="shared" si="2"/>
        <v>0.5625</v>
      </c>
      <c r="AP43" s="72">
        <v>0.16</v>
      </c>
      <c r="AQ43" s="72">
        <v>0.12</v>
      </c>
      <c r="AR43" s="72">
        <f t="shared" si="28"/>
        <v>0.1142857142857143</v>
      </c>
      <c r="AS43" s="72">
        <f t="shared" si="3"/>
        <v>1.3333333333333335</v>
      </c>
      <c r="AT43" s="72">
        <f t="shared" si="29"/>
        <v>0.18181818181818182</v>
      </c>
      <c r="AU43" s="72">
        <v>0.1</v>
      </c>
      <c r="AV43" s="72">
        <v>0.08</v>
      </c>
      <c r="AW43" s="72">
        <f>AU43/AV43</f>
        <v>1.25</v>
      </c>
      <c r="AX43" s="82">
        <f>AP43/AU43</f>
        <v>1.5999999999999999</v>
      </c>
      <c r="AY43" s="224" t="s">
        <v>75</v>
      </c>
      <c r="AZ43" s="84">
        <v>15</v>
      </c>
      <c r="BA43" s="71"/>
      <c r="BB43" s="71"/>
      <c r="BC43" s="226"/>
    </row>
    <row r="44" spans="2:55" ht="12.75" customHeight="1" x14ac:dyDescent="0.2">
      <c r="B44" s="69"/>
      <c r="C44" s="71"/>
      <c r="D44" s="71"/>
      <c r="E44" s="71"/>
      <c r="F44" s="72">
        <v>1.4</v>
      </c>
      <c r="G44" s="110" t="s">
        <v>75</v>
      </c>
      <c r="H44" s="110" t="s">
        <v>75</v>
      </c>
      <c r="I44" s="72">
        <v>0.11</v>
      </c>
      <c r="J44" s="72">
        <v>0.05</v>
      </c>
      <c r="K44" s="72">
        <v>0.89</v>
      </c>
      <c r="L44" s="72">
        <v>0.63</v>
      </c>
      <c r="M44" s="72">
        <v>0.69</v>
      </c>
      <c r="N44" s="72">
        <v>0.11</v>
      </c>
      <c r="O44" s="73" t="s">
        <v>75</v>
      </c>
      <c r="P44" s="73" t="s">
        <v>75</v>
      </c>
      <c r="Q44" s="110" t="s">
        <v>75</v>
      </c>
      <c r="R44" s="82">
        <f t="shared" si="0"/>
        <v>0.77528089887640439</v>
      </c>
      <c r="S44" s="82">
        <f t="shared" si="1"/>
        <v>0.7078651685393258</v>
      </c>
      <c r="T44" s="110" t="s">
        <v>75</v>
      </c>
      <c r="U44" s="72">
        <v>0.22</v>
      </c>
      <c r="V44" s="73" t="s">
        <v>75</v>
      </c>
      <c r="W44" s="72">
        <v>0.56999999999999995</v>
      </c>
      <c r="X44" s="72">
        <v>0.09</v>
      </c>
      <c r="Y44" s="72">
        <f t="shared" si="30"/>
        <v>6.333333333333333</v>
      </c>
      <c r="Z44" s="73" t="s">
        <v>75</v>
      </c>
      <c r="AA44" s="72">
        <v>0.53</v>
      </c>
      <c r="AB44" s="72">
        <f>AA44/F44</f>
        <v>0.37857142857142861</v>
      </c>
      <c r="AC44" s="72">
        <v>1.1299999999999999</v>
      </c>
      <c r="AD44" s="72">
        <f>AC44/F44</f>
        <v>0.80714285714285716</v>
      </c>
      <c r="AE44" s="72">
        <v>0.09</v>
      </c>
      <c r="AF44" s="72">
        <f>AE:AE/K:K</f>
        <v>0.10112359550561797</v>
      </c>
      <c r="AG44" s="73" t="s">
        <v>75</v>
      </c>
      <c r="AH44" s="72">
        <f>AE:AE/N:N</f>
        <v>0.81818181818181812</v>
      </c>
      <c r="AI44" s="72">
        <v>0.09</v>
      </c>
      <c r="AJ44" s="72">
        <v>0.05</v>
      </c>
      <c r="AK44" s="72">
        <f t="shared" ref="AK44" si="35">AI44/AJ44</f>
        <v>1.7999999999999998</v>
      </c>
      <c r="AL44" s="72">
        <f t="shared" si="8"/>
        <v>1</v>
      </c>
      <c r="AM44" s="72">
        <f t="shared" si="6"/>
        <v>0.81818181818181812</v>
      </c>
      <c r="AN44" s="72">
        <f t="shared" si="4"/>
        <v>0.10112359550561797</v>
      </c>
      <c r="AO44" s="72">
        <f t="shared" ref="AO44" si="36">AI44/AP44</f>
        <v>0.5625</v>
      </c>
      <c r="AP44" s="72">
        <v>0.16</v>
      </c>
      <c r="AQ44" s="72">
        <v>0.1</v>
      </c>
      <c r="AR44" s="72">
        <f t="shared" si="28"/>
        <v>0.1142857142857143</v>
      </c>
      <c r="AS44" s="72">
        <f t="shared" si="3"/>
        <v>1.5999999999999999</v>
      </c>
      <c r="AT44" s="72">
        <f t="shared" si="29"/>
        <v>0.1797752808988764</v>
      </c>
      <c r="AU44" s="72">
        <v>0.1</v>
      </c>
      <c r="AV44" s="72">
        <v>0.08</v>
      </c>
      <c r="AW44" s="72">
        <f>AU44/AV44</f>
        <v>1.25</v>
      </c>
      <c r="AX44" s="82">
        <f>AP44/AU44</f>
        <v>1.5999999999999999</v>
      </c>
      <c r="AY44" s="224" t="s">
        <v>75</v>
      </c>
      <c r="AZ44" s="225" t="s">
        <v>75</v>
      </c>
      <c r="BA44" s="71"/>
      <c r="BB44" s="71"/>
      <c r="BC44" s="226"/>
    </row>
    <row r="45" spans="2:55" ht="12.75" customHeight="1" x14ac:dyDescent="0.2">
      <c r="B45" s="86">
        <v>21720</v>
      </c>
      <c r="C45" s="76" t="s">
        <v>261</v>
      </c>
      <c r="D45" s="77" t="s">
        <v>251</v>
      </c>
      <c r="E45" s="77" t="s">
        <v>177</v>
      </c>
      <c r="F45" s="78">
        <f>1.3+0.43</f>
        <v>1.73</v>
      </c>
      <c r="G45" s="80">
        <f>I45+J45+K45+L45+M45+N45+O45</f>
        <v>3.851</v>
      </c>
      <c r="H45" s="80">
        <f>G45/F45</f>
        <v>2.2260115606936415</v>
      </c>
      <c r="I45" s="78">
        <v>0.11</v>
      </c>
      <c r="J45" s="78">
        <v>0.06</v>
      </c>
      <c r="K45" s="78">
        <v>0.88</v>
      </c>
      <c r="L45" s="78">
        <v>0.66</v>
      </c>
      <c r="M45" s="78">
        <v>0.73</v>
      </c>
      <c r="N45" s="78">
        <v>0.13</v>
      </c>
      <c r="O45" s="78">
        <f>0.186+0.21+0.365+0.52</f>
        <v>1.2810000000000001</v>
      </c>
      <c r="P45" s="78">
        <f>N:N+O:O</f>
        <v>1.411</v>
      </c>
      <c r="Q45" s="80">
        <f>(N45+O45)/K45</f>
        <v>1.603409090909091</v>
      </c>
      <c r="R45" s="80">
        <f t="shared" si="0"/>
        <v>0.82954545454545447</v>
      </c>
      <c r="S45" s="80">
        <f t="shared" si="1"/>
        <v>0.75</v>
      </c>
      <c r="T45" s="80">
        <f>O45/N45</f>
        <v>9.8538461538461544</v>
      </c>
      <c r="U45" s="79" t="s">
        <v>75</v>
      </c>
      <c r="V45" s="79" t="s">
        <v>75</v>
      </c>
      <c r="W45" s="78">
        <v>0.65</v>
      </c>
      <c r="X45" s="78">
        <v>0.11</v>
      </c>
      <c r="Y45" s="78">
        <f t="shared" si="30"/>
        <v>5.9090909090909092</v>
      </c>
      <c r="Z45" s="79" t="s">
        <v>75</v>
      </c>
      <c r="AA45" s="78">
        <v>0.56999999999999995</v>
      </c>
      <c r="AB45" s="78">
        <f>AA45/F45</f>
        <v>0.32947976878612717</v>
      </c>
      <c r="AC45" s="78">
        <v>1.1200000000000001</v>
      </c>
      <c r="AD45" s="78">
        <f>AC45/F45</f>
        <v>0.64739884393063596</v>
      </c>
      <c r="AE45" s="78">
        <v>0.1</v>
      </c>
      <c r="AF45" s="78">
        <f>AE:AE/K:K</f>
        <v>0.11363636363636365</v>
      </c>
      <c r="AG45" s="78">
        <f>AE:AE/P:P</f>
        <v>7.087172218284904E-2</v>
      </c>
      <c r="AH45" s="78">
        <f>AE:AE/N:N</f>
        <v>0.76923076923076927</v>
      </c>
      <c r="AI45" s="78">
        <v>0.1</v>
      </c>
      <c r="AJ45" s="78">
        <v>0.06</v>
      </c>
      <c r="AK45" s="78">
        <f t="shared" si="12"/>
        <v>1.6666666666666667</v>
      </c>
      <c r="AL45" s="78">
        <f t="shared" si="8"/>
        <v>1</v>
      </c>
      <c r="AM45" s="78">
        <f t="shared" si="6"/>
        <v>0.76923076923076927</v>
      </c>
      <c r="AN45" s="78">
        <f t="shared" si="4"/>
        <v>0.11363636363636365</v>
      </c>
      <c r="AO45" s="78">
        <f t="shared" si="2"/>
        <v>0.625</v>
      </c>
      <c r="AP45" s="78">
        <v>0.16</v>
      </c>
      <c r="AQ45" s="78">
        <v>0.16</v>
      </c>
      <c r="AR45" s="78">
        <f t="shared" si="28"/>
        <v>9.2485549132947986E-2</v>
      </c>
      <c r="AS45" s="78">
        <f t="shared" si="3"/>
        <v>1</v>
      </c>
      <c r="AT45" s="78">
        <f t="shared" si="29"/>
        <v>0.18181818181818182</v>
      </c>
      <c r="AU45" s="79" t="s">
        <v>75</v>
      </c>
      <c r="AV45" s="79" t="s">
        <v>75</v>
      </c>
      <c r="AW45" s="79" t="s">
        <v>75</v>
      </c>
      <c r="AX45" s="114" t="s">
        <v>75</v>
      </c>
      <c r="AY45" s="215" t="s">
        <v>75</v>
      </c>
      <c r="AZ45" s="216" t="s">
        <v>75</v>
      </c>
      <c r="BA45" s="77"/>
      <c r="BB45" s="77"/>
      <c r="BC45" s="217"/>
    </row>
    <row r="46" spans="2:55" ht="12.75" customHeight="1" x14ac:dyDescent="0.2">
      <c r="B46" s="75"/>
      <c r="C46" s="77"/>
      <c r="D46" s="77"/>
      <c r="E46" s="77"/>
      <c r="F46" s="78">
        <f>1.3+0.43</f>
        <v>1.73</v>
      </c>
      <c r="G46" s="114" t="s">
        <v>75</v>
      </c>
      <c r="H46" s="114" t="s">
        <v>75</v>
      </c>
      <c r="I46" s="78">
        <v>0.11</v>
      </c>
      <c r="J46" s="78">
        <v>0.06</v>
      </c>
      <c r="K46" s="78">
        <v>0.91</v>
      </c>
      <c r="L46" s="78">
        <v>0.65</v>
      </c>
      <c r="M46" s="78">
        <v>0.73</v>
      </c>
      <c r="N46" s="78">
        <v>0.13</v>
      </c>
      <c r="O46" s="79" t="s">
        <v>75</v>
      </c>
      <c r="P46" s="79" t="s">
        <v>75</v>
      </c>
      <c r="Q46" s="114" t="s">
        <v>75</v>
      </c>
      <c r="R46" s="80">
        <f t="shared" si="0"/>
        <v>0.80219780219780212</v>
      </c>
      <c r="S46" s="80">
        <f t="shared" si="1"/>
        <v>0.7142857142857143</v>
      </c>
      <c r="T46" s="114" t="s">
        <v>75</v>
      </c>
      <c r="U46" s="79" t="s">
        <v>75</v>
      </c>
      <c r="V46" s="79" t="s">
        <v>75</v>
      </c>
      <c r="W46" s="78">
        <v>0.65</v>
      </c>
      <c r="X46" s="78">
        <v>0.1</v>
      </c>
      <c r="Y46" s="78">
        <f t="shared" si="30"/>
        <v>6.5</v>
      </c>
      <c r="Z46" s="79" t="s">
        <v>75</v>
      </c>
      <c r="AA46" s="78">
        <v>0.56999999999999995</v>
      </c>
      <c r="AB46" s="78">
        <f>AA46/F46</f>
        <v>0.32947976878612717</v>
      </c>
      <c r="AC46" s="79" t="s">
        <v>75</v>
      </c>
      <c r="AD46" s="79" t="s">
        <v>75</v>
      </c>
      <c r="AE46" s="79" t="s">
        <v>75</v>
      </c>
      <c r="AF46" s="79" t="s">
        <v>75</v>
      </c>
      <c r="AG46" s="79" t="s">
        <v>75</v>
      </c>
      <c r="AH46" s="79" t="s">
        <v>75</v>
      </c>
      <c r="AI46" s="78">
        <v>0.1</v>
      </c>
      <c r="AJ46" s="78">
        <v>0.06</v>
      </c>
      <c r="AK46" s="78">
        <f t="shared" ref="AK46" si="37">AI46/AJ46</f>
        <v>1.6666666666666667</v>
      </c>
      <c r="AL46" s="79" t="s">
        <v>75</v>
      </c>
      <c r="AM46" s="78">
        <f t="shared" si="6"/>
        <v>0.76923076923076927</v>
      </c>
      <c r="AN46" s="78">
        <f t="shared" si="4"/>
        <v>0.10989010989010989</v>
      </c>
      <c r="AO46" s="78">
        <f t="shared" ref="AO46" si="38">AI46/AP46</f>
        <v>0.57142857142857151</v>
      </c>
      <c r="AP46" s="78">
        <v>0.17499999999999999</v>
      </c>
      <c r="AQ46" s="78">
        <v>0.16700000000000001</v>
      </c>
      <c r="AR46" s="78">
        <f t="shared" si="28"/>
        <v>0.10115606936416184</v>
      </c>
      <c r="AS46" s="78">
        <f t="shared" si="3"/>
        <v>1.0479041916167664</v>
      </c>
      <c r="AT46" s="78">
        <f t="shared" si="29"/>
        <v>0.19230769230769229</v>
      </c>
      <c r="AU46" s="79" t="s">
        <v>75</v>
      </c>
      <c r="AV46" s="79" t="s">
        <v>75</v>
      </c>
      <c r="AW46" s="79" t="s">
        <v>75</v>
      </c>
      <c r="AX46" s="114" t="s">
        <v>75</v>
      </c>
      <c r="AY46" s="215" t="s">
        <v>75</v>
      </c>
      <c r="AZ46" s="216" t="s">
        <v>75</v>
      </c>
      <c r="BA46" s="77"/>
      <c r="BB46" s="77"/>
      <c r="BC46" s="217"/>
    </row>
    <row r="47" spans="2:55" ht="12.75" customHeight="1" x14ac:dyDescent="0.2">
      <c r="B47" s="83">
        <v>21720</v>
      </c>
      <c r="C47" s="70" t="s">
        <v>261</v>
      </c>
      <c r="D47" s="71" t="s">
        <v>251</v>
      </c>
      <c r="E47" s="71" t="s">
        <v>177</v>
      </c>
      <c r="F47" s="72">
        <v>1.83</v>
      </c>
      <c r="G47" s="110" t="s">
        <v>75</v>
      </c>
      <c r="H47" s="110" t="s">
        <v>75</v>
      </c>
      <c r="I47" s="72">
        <v>0.1</v>
      </c>
      <c r="J47" s="72">
        <v>0.05</v>
      </c>
      <c r="K47" s="72">
        <v>0.84</v>
      </c>
      <c r="L47" s="72">
        <v>0.66</v>
      </c>
      <c r="M47" s="72">
        <v>0.65</v>
      </c>
      <c r="N47" s="72">
        <v>0.13</v>
      </c>
      <c r="O47" s="73" t="s">
        <v>75</v>
      </c>
      <c r="P47" s="73" t="s">
        <v>75</v>
      </c>
      <c r="Q47" s="110" t="s">
        <v>75</v>
      </c>
      <c r="R47" s="82">
        <f t="shared" si="0"/>
        <v>0.77380952380952384</v>
      </c>
      <c r="S47" s="82">
        <f t="shared" si="1"/>
        <v>0.78571428571428581</v>
      </c>
      <c r="T47" s="110" t="s">
        <v>75</v>
      </c>
      <c r="U47" s="72">
        <v>0.3</v>
      </c>
      <c r="V47" s="73" t="s">
        <v>75</v>
      </c>
      <c r="W47" s="72">
        <v>0.62</v>
      </c>
      <c r="X47" s="72">
        <v>0.1</v>
      </c>
      <c r="Y47" s="72">
        <f t="shared" si="30"/>
        <v>6.1999999999999993</v>
      </c>
      <c r="Z47" s="72">
        <v>0.41</v>
      </c>
      <c r="AA47" s="72">
        <v>0.56000000000000005</v>
      </c>
      <c r="AB47" s="72">
        <f>AA47/F47</f>
        <v>0.30601092896174864</v>
      </c>
      <c r="AC47" s="72">
        <v>1.1000000000000001</v>
      </c>
      <c r="AD47" s="72">
        <f>AC47/F47</f>
        <v>0.60109289617486339</v>
      </c>
      <c r="AE47" s="72">
        <v>0.1</v>
      </c>
      <c r="AF47" s="72">
        <f>AE:AE/K:K</f>
        <v>0.11904761904761905</v>
      </c>
      <c r="AG47" s="73" t="s">
        <v>75</v>
      </c>
      <c r="AH47" s="72">
        <f>AE:AE/N:N</f>
        <v>0.76923076923076927</v>
      </c>
      <c r="AI47" s="73" t="s">
        <v>75</v>
      </c>
      <c r="AJ47" s="73" t="s">
        <v>75</v>
      </c>
      <c r="AK47" s="73" t="s">
        <v>75</v>
      </c>
      <c r="AL47" s="73" t="s">
        <v>75</v>
      </c>
      <c r="AM47" s="73" t="s">
        <v>75</v>
      </c>
      <c r="AN47" s="73" t="s">
        <v>75</v>
      </c>
      <c r="AO47" s="73" t="s">
        <v>75</v>
      </c>
      <c r="AP47" s="72">
        <v>0.16</v>
      </c>
      <c r="AQ47" s="72">
        <v>0.11</v>
      </c>
      <c r="AR47" s="72">
        <f t="shared" si="28"/>
        <v>8.7431693989071038E-2</v>
      </c>
      <c r="AS47" s="72">
        <f t="shared" si="3"/>
        <v>1.4545454545454546</v>
      </c>
      <c r="AT47" s="72">
        <f t="shared" si="29"/>
        <v>0.19047619047619049</v>
      </c>
      <c r="AU47" s="72">
        <v>0.11</v>
      </c>
      <c r="AV47" s="72">
        <v>0.12</v>
      </c>
      <c r="AW47" s="72">
        <f t="shared" ref="AW47:AW62" si="39">AU47/AV47</f>
        <v>0.91666666666666674</v>
      </c>
      <c r="AX47" s="82">
        <f t="shared" ref="AX47:AX62" si="40">AP47/AU47</f>
        <v>1.4545454545454546</v>
      </c>
      <c r="AY47" s="224" t="s">
        <v>75</v>
      </c>
      <c r="AZ47" s="84">
        <v>16</v>
      </c>
      <c r="BA47" s="71"/>
      <c r="BB47" s="71"/>
      <c r="BC47" s="226"/>
    </row>
    <row r="48" spans="2:55" ht="12.75" customHeight="1" x14ac:dyDescent="0.2">
      <c r="B48" s="69"/>
      <c r="C48" s="71"/>
      <c r="D48" s="71"/>
      <c r="E48" s="71"/>
      <c r="F48" s="72">
        <v>1.83</v>
      </c>
      <c r="G48" s="110" t="s">
        <v>75</v>
      </c>
      <c r="H48" s="110" t="s">
        <v>75</v>
      </c>
      <c r="I48" s="72">
        <v>0.11</v>
      </c>
      <c r="J48" s="72">
        <v>0.05</v>
      </c>
      <c r="K48" s="72">
        <v>0.89</v>
      </c>
      <c r="L48" s="73" t="s">
        <v>75</v>
      </c>
      <c r="M48" s="73" t="s">
        <v>75</v>
      </c>
      <c r="N48" s="73" t="s">
        <v>75</v>
      </c>
      <c r="O48" s="73" t="s">
        <v>75</v>
      </c>
      <c r="P48" s="73" t="s">
        <v>75</v>
      </c>
      <c r="Q48" s="110" t="s">
        <v>75</v>
      </c>
      <c r="R48" s="110" t="s">
        <v>75</v>
      </c>
      <c r="S48" s="110" t="s">
        <v>75</v>
      </c>
      <c r="T48" s="110" t="s">
        <v>75</v>
      </c>
      <c r="U48" s="72">
        <v>0.3</v>
      </c>
      <c r="V48" s="73" t="s">
        <v>75</v>
      </c>
      <c r="W48" s="72">
        <v>0.6</v>
      </c>
      <c r="X48" s="72">
        <v>0.1</v>
      </c>
      <c r="Y48" s="72">
        <f t="shared" si="30"/>
        <v>5.9999999999999991</v>
      </c>
      <c r="Z48" s="72">
        <v>0.4</v>
      </c>
      <c r="AA48" s="73" t="s">
        <v>75</v>
      </c>
      <c r="AB48" s="73" t="s">
        <v>75</v>
      </c>
      <c r="AC48" s="73" t="s">
        <v>75</v>
      </c>
      <c r="AD48" s="73" t="s">
        <v>75</v>
      </c>
      <c r="AE48" s="73" t="s">
        <v>75</v>
      </c>
      <c r="AF48" s="73" t="s">
        <v>75</v>
      </c>
      <c r="AG48" s="73" t="s">
        <v>75</v>
      </c>
      <c r="AH48" s="73" t="s">
        <v>75</v>
      </c>
      <c r="AI48" s="73" t="s">
        <v>75</v>
      </c>
      <c r="AJ48" s="73" t="s">
        <v>75</v>
      </c>
      <c r="AK48" s="73" t="s">
        <v>75</v>
      </c>
      <c r="AL48" s="73" t="s">
        <v>75</v>
      </c>
      <c r="AM48" s="73" t="s">
        <v>75</v>
      </c>
      <c r="AN48" s="73" t="s">
        <v>75</v>
      </c>
      <c r="AO48" s="73" t="s">
        <v>75</v>
      </c>
      <c r="AP48" s="72">
        <v>0.15</v>
      </c>
      <c r="AQ48" s="72">
        <v>0.12</v>
      </c>
      <c r="AR48" s="72">
        <f t="shared" si="28"/>
        <v>8.1967213114754092E-2</v>
      </c>
      <c r="AS48" s="72">
        <f t="shared" si="3"/>
        <v>1.25</v>
      </c>
      <c r="AT48" s="72">
        <f t="shared" si="29"/>
        <v>0.16853932584269662</v>
      </c>
      <c r="AU48" s="72">
        <v>0.11</v>
      </c>
      <c r="AV48" s="72">
        <v>0.12</v>
      </c>
      <c r="AW48" s="72">
        <f t="shared" si="39"/>
        <v>0.91666666666666674</v>
      </c>
      <c r="AX48" s="82">
        <f t="shared" si="40"/>
        <v>1.3636363636363635</v>
      </c>
      <c r="AY48" s="224" t="s">
        <v>75</v>
      </c>
      <c r="AZ48" s="84">
        <v>14</v>
      </c>
      <c r="BA48" s="71"/>
      <c r="BB48" s="71"/>
      <c r="BC48" s="226"/>
    </row>
    <row r="49" spans="2:55" ht="12.75" customHeight="1" x14ac:dyDescent="0.2">
      <c r="B49" s="86">
        <v>21720</v>
      </c>
      <c r="C49" s="76" t="s">
        <v>261</v>
      </c>
      <c r="D49" s="77" t="s">
        <v>251</v>
      </c>
      <c r="E49" s="77" t="s">
        <v>177</v>
      </c>
      <c r="F49" s="78">
        <v>1.7</v>
      </c>
      <c r="G49" s="80">
        <f>I49+J49+K49+L49+M49+N49+O49</f>
        <v>3.7300000000000004</v>
      </c>
      <c r="H49" s="80">
        <f>G49/F49</f>
        <v>2.1941176470588237</v>
      </c>
      <c r="I49" s="78">
        <v>0.1</v>
      </c>
      <c r="J49" s="78">
        <v>0.05</v>
      </c>
      <c r="K49" s="78">
        <v>0.93</v>
      </c>
      <c r="L49" s="78">
        <v>0.6</v>
      </c>
      <c r="M49" s="78">
        <v>0.62</v>
      </c>
      <c r="N49" s="78">
        <v>0.12</v>
      </c>
      <c r="O49" s="78">
        <v>1.31</v>
      </c>
      <c r="P49" s="78">
        <f>N:N+O:O</f>
        <v>1.4300000000000002</v>
      </c>
      <c r="Q49" s="80">
        <f>(N49+O49)/K49</f>
        <v>1.5376344086021507</v>
      </c>
      <c r="R49" s="80">
        <f t="shared" si="0"/>
        <v>0.66666666666666663</v>
      </c>
      <c r="S49" s="80">
        <f t="shared" si="1"/>
        <v>0.64516129032258063</v>
      </c>
      <c r="T49" s="80">
        <f>O49/N49</f>
        <v>10.916666666666668</v>
      </c>
      <c r="U49" s="78">
        <v>0.3</v>
      </c>
      <c r="V49" s="78">
        <f t="shared" si="5"/>
        <v>12.433333333333335</v>
      </c>
      <c r="W49" s="78">
        <v>0.57999999999999996</v>
      </c>
      <c r="X49" s="78">
        <v>0.1</v>
      </c>
      <c r="Y49" s="78">
        <f t="shared" si="30"/>
        <v>5.7999999999999989</v>
      </c>
      <c r="Z49" s="78">
        <v>0.35</v>
      </c>
      <c r="AA49" s="78">
        <v>0.5</v>
      </c>
      <c r="AB49" s="78">
        <f t="shared" ref="AB49:AB55" si="41">AA49/F49</f>
        <v>0.29411764705882354</v>
      </c>
      <c r="AC49" s="78">
        <v>1.1000000000000001</v>
      </c>
      <c r="AD49" s="78">
        <f t="shared" ref="AD49:AD55" si="42">AC49/F49</f>
        <v>0.6470588235294118</v>
      </c>
      <c r="AE49" s="78">
        <v>0.1</v>
      </c>
      <c r="AF49" s="78">
        <f>AE:AE/K:K</f>
        <v>0.10752688172043011</v>
      </c>
      <c r="AG49" s="78">
        <f>AE:AE/P:P</f>
        <v>6.9930069930069921E-2</v>
      </c>
      <c r="AH49" s="78">
        <f>AE:AE/N:N</f>
        <v>0.83333333333333337</v>
      </c>
      <c r="AI49" s="78">
        <v>0.09</v>
      </c>
      <c r="AJ49" s="78">
        <v>0.06</v>
      </c>
      <c r="AK49" s="78">
        <f t="shared" si="12"/>
        <v>1.5</v>
      </c>
      <c r="AL49" s="78">
        <f t="shared" si="8"/>
        <v>0.89999999999999991</v>
      </c>
      <c r="AM49" s="78">
        <f t="shared" si="6"/>
        <v>0.75</v>
      </c>
      <c r="AN49" s="78">
        <f t="shared" si="4"/>
        <v>9.6774193548387094E-2</v>
      </c>
      <c r="AO49" s="78">
        <f t="shared" si="2"/>
        <v>0.5625</v>
      </c>
      <c r="AP49" s="78">
        <v>0.16</v>
      </c>
      <c r="AQ49" s="78">
        <v>0.1</v>
      </c>
      <c r="AR49" s="78">
        <f t="shared" si="28"/>
        <v>9.4117647058823528E-2</v>
      </c>
      <c r="AS49" s="78">
        <f t="shared" si="3"/>
        <v>1.5999999999999999</v>
      </c>
      <c r="AT49" s="78">
        <f t="shared" si="29"/>
        <v>0.17204301075268816</v>
      </c>
      <c r="AU49" s="78">
        <v>0.09</v>
      </c>
      <c r="AV49" s="78">
        <v>0.1</v>
      </c>
      <c r="AW49" s="78">
        <f t="shared" si="39"/>
        <v>0.89999999999999991</v>
      </c>
      <c r="AX49" s="80">
        <f t="shared" si="40"/>
        <v>1.7777777777777779</v>
      </c>
      <c r="AY49" s="215" t="s">
        <v>75</v>
      </c>
      <c r="AZ49" s="216" t="s">
        <v>75</v>
      </c>
      <c r="BA49" s="77"/>
      <c r="BB49" s="77"/>
      <c r="BC49" s="217"/>
    </row>
    <row r="50" spans="2:55" ht="12.75" customHeight="1" x14ac:dyDescent="0.2">
      <c r="B50" s="75"/>
      <c r="C50" s="77"/>
      <c r="D50" s="77"/>
      <c r="E50" s="77"/>
      <c r="F50" s="78">
        <v>1.7</v>
      </c>
      <c r="G50" s="80">
        <f>I50+J50+K50+L50+M50+N50+O50</f>
        <v>4.0229999999999997</v>
      </c>
      <c r="H50" s="80">
        <f>G50/F50</f>
        <v>2.3664705882352939</v>
      </c>
      <c r="I50" s="78">
        <v>0.11</v>
      </c>
      <c r="J50" s="78">
        <v>0.05</v>
      </c>
      <c r="K50" s="78">
        <v>0.89</v>
      </c>
      <c r="L50" s="78">
        <v>0.57999999999999996</v>
      </c>
      <c r="M50" s="78">
        <v>0.62</v>
      </c>
      <c r="N50" s="78">
        <v>0.11</v>
      </c>
      <c r="O50" s="78">
        <f>0.473+1.19</f>
        <v>1.6629999999999998</v>
      </c>
      <c r="P50" s="78">
        <f>N:N+O:O</f>
        <v>1.7729999999999999</v>
      </c>
      <c r="Q50" s="80">
        <f>(N50+O50)/K50</f>
        <v>1.9921348314606739</v>
      </c>
      <c r="R50" s="80">
        <f t="shared" si="0"/>
        <v>0.6966292134831461</v>
      </c>
      <c r="S50" s="80">
        <f t="shared" si="1"/>
        <v>0.65168539325842689</v>
      </c>
      <c r="T50" s="80">
        <f>O50/N50</f>
        <v>15.118181818181817</v>
      </c>
      <c r="U50" s="78">
        <v>0.3</v>
      </c>
      <c r="V50" s="78">
        <f t="shared" si="5"/>
        <v>13.41</v>
      </c>
      <c r="W50" s="78">
        <v>0.56999999999999995</v>
      </c>
      <c r="X50" s="78">
        <v>0.1</v>
      </c>
      <c r="Y50" s="78">
        <f t="shared" si="30"/>
        <v>5.6999999999999993</v>
      </c>
      <c r="Z50" s="79" t="s">
        <v>75</v>
      </c>
      <c r="AA50" s="78">
        <v>0.47</v>
      </c>
      <c r="AB50" s="78">
        <f t="shared" si="41"/>
        <v>0.27647058823529413</v>
      </c>
      <c r="AC50" s="78">
        <v>1.1000000000000001</v>
      </c>
      <c r="AD50" s="78">
        <f t="shared" si="42"/>
        <v>0.6470588235294118</v>
      </c>
      <c r="AE50" s="78">
        <v>0.1</v>
      </c>
      <c r="AF50" s="78">
        <f>AE:AE/K:K</f>
        <v>0.11235955056179776</v>
      </c>
      <c r="AG50" s="78">
        <f>AE:AE/P:P</f>
        <v>5.6401579244218847E-2</v>
      </c>
      <c r="AH50" s="78">
        <f>AE:AE/N:N</f>
        <v>0.90909090909090917</v>
      </c>
      <c r="AI50" s="78">
        <v>0.09</v>
      </c>
      <c r="AJ50" s="78">
        <v>0.06</v>
      </c>
      <c r="AK50" s="78">
        <f t="shared" ref="AK50" si="43">AI50/AJ50</f>
        <v>1.5</v>
      </c>
      <c r="AL50" s="78">
        <f t="shared" si="8"/>
        <v>0.89999999999999991</v>
      </c>
      <c r="AM50" s="78">
        <f t="shared" si="6"/>
        <v>0.81818181818181812</v>
      </c>
      <c r="AN50" s="78">
        <f t="shared" si="4"/>
        <v>0.10112359550561797</v>
      </c>
      <c r="AO50" s="78">
        <f t="shared" ref="AO50" si="44">AI50/AP50</f>
        <v>0.5625</v>
      </c>
      <c r="AP50" s="78">
        <v>0.16</v>
      </c>
      <c r="AQ50" s="78">
        <v>0.1</v>
      </c>
      <c r="AR50" s="78">
        <f t="shared" si="28"/>
        <v>9.4117647058823528E-2</v>
      </c>
      <c r="AS50" s="78">
        <f t="shared" si="3"/>
        <v>1.5999999999999999</v>
      </c>
      <c r="AT50" s="78">
        <f t="shared" si="29"/>
        <v>0.1797752808988764</v>
      </c>
      <c r="AU50" s="78">
        <v>0.09</v>
      </c>
      <c r="AV50" s="78">
        <v>0.1</v>
      </c>
      <c r="AW50" s="78">
        <f t="shared" si="39"/>
        <v>0.89999999999999991</v>
      </c>
      <c r="AX50" s="80">
        <f t="shared" si="40"/>
        <v>1.7777777777777779</v>
      </c>
      <c r="AY50" s="215" t="s">
        <v>75</v>
      </c>
      <c r="AZ50" s="87">
        <v>15</v>
      </c>
      <c r="BA50" s="77"/>
      <c r="BB50" s="77"/>
      <c r="BC50" s="217"/>
    </row>
    <row r="51" spans="2:55" ht="12.75" customHeight="1" x14ac:dyDescent="0.2">
      <c r="B51" s="83">
        <v>23916</v>
      </c>
      <c r="C51" s="70" t="s">
        <v>261</v>
      </c>
      <c r="D51" s="71" t="s">
        <v>252</v>
      </c>
      <c r="E51" s="71" t="s">
        <v>205</v>
      </c>
      <c r="F51" s="72">
        <f>1.9+0.22</f>
        <v>2.12</v>
      </c>
      <c r="G51" s="110" t="s">
        <v>75</v>
      </c>
      <c r="H51" s="110" t="s">
        <v>75</v>
      </c>
      <c r="I51" s="72">
        <v>0.12</v>
      </c>
      <c r="J51" s="72">
        <v>0.05</v>
      </c>
      <c r="K51" s="72">
        <v>0.94</v>
      </c>
      <c r="L51" s="72">
        <v>0.64</v>
      </c>
      <c r="M51" s="73" t="s">
        <v>75</v>
      </c>
      <c r="N51" s="73" t="s">
        <v>75</v>
      </c>
      <c r="O51" s="73" t="s">
        <v>75</v>
      </c>
      <c r="P51" s="73" t="s">
        <v>75</v>
      </c>
      <c r="Q51" s="110" t="s">
        <v>75</v>
      </c>
      <c r="R51" s="110" t="s">
        <v>75</v>
      </c>
      <c r="S51" s="82">
        <f t="shared" si="1"/>
        <v>0.68085106382978733</v>
      </c>
      <c r="T51" s="110" t="s">
        <v>75</v>
      </c>
      <c r="U51" s="72">
        <v>0.32</v>
      </c>
      <c r="V51" s="73" t="s">
        <v>75</v>
      </c>
      <c r="W51" s="72">
        <v>0.66</v>
      </c>
      <c r="X51" s="72">
        <v>0.1</v>
      </c>
      <c r="Y51" s="72">
        <f t="shared" si="30"/>
        <v>6.6</v>
      </c>
      <c r="Z51" s="72">
        <v>0.43</v>
      </c>
      <c r="AA51" s="72">
        <v>0.6</v>
      </c>
      <c r="AB51" s="72">
        <f t="shared" si="41"/>
        <v>0.28301886792452829</v>
      </c>
      <c r="AC51" s="72">
        <v>1.2</v>
      </c>
      <c r="AD51" s="72">
        <f t="shared" si="42"/>
        <v>0.56603773584905659</v>
      </c>
      <c r="AE51" s="72">
        <v>0.1</v>
      </c>
      <c r="AF51" s="72">
        <f>AE:AE/K:K</f>
        <v>0.10638297872340427</v>
      </c>
      <c r="AG51" s="73" t="s">
        <v>75</v>
      </c>
      <c r="AH51" s="73" t="s">
        <v>75</v>
      </c>
      <c r="AI51" s="72">
        <v>0.1</v>
      </c>
      <c r="AJ51" s="72">
        <v>7.0000000000000007E-2</v>
      </c>
      <c r="AK51" s="72">
        <f t="shared" si="12"/>
        <v>1.4285714285714286</v>
      </c>
      <c r="AL51" s="72">
        <f t="shared" si="8"/>
        <v>1</v>
      </c>
      <c r="AM51" s="73" t="s">
        <v>75</v>
      </c>
      <c r="AN51" s="72">
        <f t="shared" si="4"/>
        <v>0.10638297872340427</v>
      </c>
      <c r="AO51" s="72">
        <f t="shared" si="2"/>
        <v>0.52631578947368418</v>
      </c>
      <c r="AP51" s="72">
        <v>0.19</v>
      </c>
      <c r="AQ51" s="72">
        <v>0.11</v>
      </c>
      <c r="AR51" s="72">
        <f t="shared" si="28"/>
        <v>8.9622641509433956E-2</v>
      </c>
      <c r="AS51" s="72">
        <f t="shared" si="3"/>
        <v>1.7272727272727273</v>
      </c>
      <c r="AT51" s="72">
        <f t="shared" si="29"/>
        <v>0.2021276595744681</v>
      </c>
      <c r="AU51" s="72">
        <v>0.08</v>
      </c>
      <c r="AV51" s="72">
        <v>0.13</v>
      </c>
      <c r="AW51" s="72">
        <f t="shared" si="39"/>
        <v>0.61538461538461542</v>
      </c>
      <c r="AX51" s="82">
        <f t="shared" si="40"/>
        <v>2.375</v>
      </c>
      <c r="AY51" s="224" t="s">
        <v>75</v>
      </c>
      <c r="AZ51" s="84">
        <v>15</v>
      </c>
      <c r="BA51" s="71"/>
      <c r="BB51" s="71"/>
      <c r="BC51" s="226"/>
    </row>
    <row r="52" spans="2:55" ht="12.75" customHeight="1" x14ac:dyDescent="0.2">
      <c r="B52" s="69"/>
      <c r="C52" s="71"/>
      <c r="D52" s="71"/>
      <c r="E52" s="71"/>
      <c r="F52" s="72">
        <f>1.9+0.22</f>
        <v>2.12</v>
      </c>
      <c r="G52" s="110" t="s">
        <v>75</v>
      </c>
      <c r="H52" s="110" t="s">
        <v>75</v>
      </c>
      <c r="I52" s="72">
        <v>0.11</v>
      </c>
      <c r="J52" s="72">
        <v>0.05</v>
      </c>
      <c r="K52" s="72">
        <v>0.93</v>
      </c>
      <c r="L52" s="73" t="s">
        <v>75</v>
      </c>
      <c r="M52" s="73" t="s">
        <v>75</v>
      </c>
      <c r="N52" s="73" t="s">
        <v>75</v>
      </c>
      <c r="O52" s="73" t="s">
        <v>75</v>
      </c>
      <c r="P52" s="73" t="s">
        <v>75</v>
      </c>
      <c r="Q52" s="110" t="s">
        <v>75</v>
      </c>
      <c r="R52" s="110" t="s">
        <v>75</v>
      </c>
      <c r="S52" s="110" t="s">
        <v>75</v>
      </c>
      <c r="T52" s="110" t="s">
        <v>75</v>
      </c>
      <c r="U52" s="72">
        <v>0.32</v>
      </c>
      <c r="V52" s="73" t="s">
        <v>75</v>
      </c>
      <c r="W52" s="72">
        <v>0.67</v>
      </c>
      <c r="X52" s="72">
        <v>0.1</v>
      </c>
      <c r="Y52" s="72">
        <f t="shared" si="30"/>
        <v>6.7</v>
      </c>
      <c r="Z52" s="72">
        <v>0.43</v>
      </c>
      <c r="AA52" s="72">
        <v>0.61</v>
      </c>
      <c r="AB52" s="72">
        <f t="shared" si="41"/>
        <v>0.28773584905660377</v>
      </c>
      <c r="AC52" s="72">
        <v>1.2</v>
      </c>
      <c r="AD52" s="72">
        <f t="shared" si="42"/>
        <v>0.56603773584905659</v>
      </c>
      <c r="AE52" s="72">
        <v>0.11</v>
      </c>
      <c r="AF52" s="72">
        <f>AE:AE/K:K</f>
        <v>0.11827956989247311</v>
      </c>
      <c r="AG52" s="73" t="s">
        <v>75</v>
      </c>
      <c r="AH52" s="73" t="s">
        <v>75</v>
      </c>
      <c r="AI52" s="72">
        <v>0.1</v>
      </c>
      <c r="AJ52" s="72">
        <v>7.0000000000000007E-2</v>
      </c>
      <c r="AK52" s="72">
        <f t="shared" ref="AK52" si="45">AI52/AJ52</f>
        <v>1.4285714285714286</v>
      </c>
      <c r="AL52" s="72">
        <f t="shared" si="8"/>
        <v>0.90909090909090917</v>
      </c>
      <c r="AM52" s="73" t="s">
        <v>75</v>
      </c>
      <c r="AN52" s="72">
        <f t="shared" si="4"/>
        <v>0.10752688172043011</v>
      </c>
      <c r="AO52" s="72">
        <f t="shared" ref="AO52" si="46">AI52/AP52</f>
        <v>0.55555555555555558</v>
      </c>
      <c r="AP52" s="72">
        <v>0.18</v>
      </c>
      <c r="AQ52" s="72">
        <v>0.14000000000000001</v>
      </c>
      <c r="AR52" s="72">
        <f t="shared" si="28"/>
        <v>8.4905660377358486E-2</v>
      </c>
      <c r="AS52" s="72">
        <f t="shared" si="3"/>
        <v>1.2857142857142856</v>
      </c>
      <c r="AT52" s="72">
        <f t="shared" si="29"/>
        <v>0.19354838709677419</v>
      </c>
      <c r="AU52" s="72">
        <v>0.08</v>
      </c>
      <c r="AV52" s="72">
        <v>0.13</v>
      </c>
      <c r="AW52" s="72">
        <f t="shared" si="39"/>
        <v>0.61538461538461542</v>
      </c>
      <c r="AX52" s="82">
        <f t="shared" si="40"/>
        <v>2.25</v>
      </c>
      <c r="AY52" s="224" t="s">
        <v>75</v>
      </c>
      <c r="AZ52" s="84">
        <v>18</v>
      </c>
      <c r="BA52" s="71"/>
      <c r="BB52" s="71"/>
      <c r="BC52" s="226"/>
    </row>
    <row r="53" spans="2:55" ht="12.75" customHeight="1" x14ac:dyDescent="0.2">
      <c r="B53" s="86">
        <v>23916</v>
      </c>
      <c r="C53" s="76" t="s">
        <v>261</v>
      </c>
      <c r="D53" s="77" t="s">
        <v>252</v>
      </c>
      <c r="E53" s="77" t="s">
        <v>205</v>
      </c>
      <c r="F53" s="78">
        <v>1.6</v>
      </c>
      <c r="G53" s="114" t="s">
        <v>75</v>
      </c>
      <c r="H53" s="114" t="s">
        <v>75</v>
      </c>
      <c r="I53" s="78">
        <v>0.09</v>
      </c>
      <c r="J53" s="78">
        <v>0.05</v>
      </c>
      <c r="K53" s="78">
        <v>0.87</v>
      </c>
      <c r="L53" s="79" t="s">
        <v>75</v>
      </c>
      <c r="M53" s="79" t="s">
        <v>75</v>
      </c>
      <c r="N53" s="79" t="s">
        <v>75</v>
      </c>
      <c r="O53" s="79" t="s">
        <v>75</v>
      </c>
      <c r="P53" s="79" t="s">
        <v>75</v>
      </c>
      <c r="Q53" s="114" t="s">
        <v>75</v>
      </c>
      <c r="R53" s="114" t="s">
        <v>75</v>
      </c>
      <c r="S53" s="114" t="s">
        <v>75</v>
      </c>
      <c r="T53" s="114" t="s">
        <v>75</v>
      </c>
      <c r="U53" s="78">
        <v>0.27</v>
      </c>
      <c r="V53" s="79" t="s">
        <v>75</v>
      </c>
      <c r="W53" s="78">
        <v>0.6</v>
      </c>
      <c r="X53" s="78">
        <v>0.09</v>
      </c>
      <c r="Y53" s="78">
        <f t="shared" si="30"/>
        <v>6.666666666666667</v>
      </c>
      <c r="Z53" s="78">
        <v>0.34</v>
      </c>
      <c r="AA53" s="78">
        <v>0.49</v>
      </c>
      <c r="AB53" s="78">
        <f t="shared" si="41"/>
        <v>0.30624999999999997</v>
      </c>
      <c r="AC53" s="78">
        <v>1.1000000000000001</v>
      </c>
      <c r="AD53" s="78">
        <f t="shared" si="42"/>
        <v>0.6875</v>
      </c>
      <c r="AE53" s="78">
        <v>0.1</v>
      </c>
      <c r="AF53" s="78">
        <f>AE:AE/K:K</f>
        <v>0.1149425287356322</v>
      </c>
      <c r="AG53" s="79" t="s">
        <v>75</v>
      </c>
      <c r="AH53" s="79" t="s">
        <v>75</v>
      </c>
      <c r="AI53" s="78">
        <v>0.09</v>
      </c>
      <c r="AJ53" s="78">
        <v>0.06</v>
      </c>
      <c r="AK53" s="78">
        <f t="shared" si="12"/>
        <v>1.5</v>
      </c>
      <c r="AL53" s="78">
        <f t="shared" si="8"/>
        <v>0.89999999999999991</v>
      </c>
      <c r="AM53" s="79" t="s">
        <v>75</v>
      </c>
      <c r="AN53" s="78">
        <f t="shared" si="4"/>
        <v>0.10344827586206896</v>
      </c>
      <c r="AO53" s="78">
        <f t="shared" si="2"/>
        <v>0.5625</v>
      </c>
      <c r="AP53" s="78">
        <v>0.16</v>
      </c>
      <c r="AQ53" s="78">
        <v>0.1</v>
      </c>
      <c r="AR53" s="78">
        <f t="shared" si="28"/>
        <v>9.9999999999999992E-2</v>
      </c>
      <c r="AS53" s="78">
        <f t="shared" si="3"/>
        <v>1.5999999999999999</v>
      </c>
      <c r="AT53" s="78">
        <f t="shared" si="29"/>
        <v>0.18390804597701149</v>
      </c>
      <c r="AU53" s="78">
        <v>0.1</v>
      </c>
      <c r="AV53" s="78">
        <v>0.11</v>
      </c>
      <c r="AW53" s="78">
        <f t="shared" si="39"/>
        <v>0.90909090909090917</v>
      </c>
      <c r="AX53" s="80">
        <f t="shared" si="40"/>
        <v>1.5999999999999999</v>
      </c>
      <c r="AY53" s="215" t="s">
        <v>75</v>
      </c>
      <c r="AZ53" s="87">
        <v>17</v>
      </c>
      <c r="BA53" s="77"/>
      <c r="BB53" s="77"/>
      <c r="BC53" s="217"/>
    </row>
    <row r="54" spans="2:55" ht="12.75" customHeight="1" x14ac:dyDescent="0.2">
      <c r="B54" s="75"/>
      <c r="C54" s="77"/>
      <c r="D54" s="77"/>
      <c r="E54" s="77"/>
      <c r="F54" s="78">
        <v>1.6</v>
      </c>
      <c r="G54" s="114" t="s">
        <v>75</v>
      </c>
      <c r="H54" s="114" t="s">
        <v>75</v>
      </c>
      <c r="I54" s="78">
        <v>0.09</v>
      </c>
      <c r="J54" s="78">
        <v>0.05</v>
      </c>
      <c r="K54" s="79" t="s">
        <v>75</v>
      </c>
      <c r="L54" s="79" t="s">
        <v>75</v>
      </c>
      <c r="M54" s="79" t="s">
        <v>75</v>
      </c>
      <c r="N54" s="79" t="s">
        <v>75</v>
      </c>
      <c r="O54" s="79" t="s">
        <v>75</v>
      </c>
      <c r="P54" s="79" t="s">
        <v>75</v>
      </c>
      <c r="Q54" s="114" t="s">
        <v>75</v>
      </c>
      <c r="R54" s="114" t="s">
        <v>75</v>
      </c>
      <c r="S54" s="114" t="s">
        <v>75</v>
      </c>
      <c r="T54" s="114" t="s">
        <v>75</v>
      </c>
      <c r="U54" s="78">
        <v>0.27</v>
      </c>
      <c r="V54" s="79" t="s">
        <v>75</v>
      </c>
      <c r="W54" s="78">
        <v>0.56000000000000005</v>
      </c>
      <c r="X54" s="78">
        <v>0.09</v>
      </c>
      <c r="Y54" s="78">
        <f t="shared" si="30"/>
        <v>6.2222222222222232</v>
      </c>
      <c r="Z54" s="79" t="s">
        <v>75</v>
      </c>
      <c r="AA54" s="78">
        <v>0.49</v>
      </c>
      <c r="AB54" s="78">
        <f t="shared" si="41"/>
        <v>0.30624999999999997</v>
      </c>
      <c r="AC54" s="78">
        <v>1.1000000000000001</v>
      </c>
      <c r="AD54" s="78">
        <f t="shared" si="42"/>
        <v>0.6875</v>
      </c>
      <c r="AE54" s="78">
        <v>0.1</v>
      </c>
      <c r="AF54" s="79" t="s">
        <v>75</v>
      </c>
      <c r="AG54" s="79" t="s">
        <v>75</v>
      </c>
      <c r="AH54" s="79" t="s">
        <v>75</v>
      </c>
      <c r="AI54" s="78">
        <v>0.09</v>
      </c>
      <c r="AJ54" s="78">
        <v>0.06</v>
      </c>
      <c r="AK54" s="78">
        <f t="shared" ref="AK54" si="47">AI54/AJ54</f>
        <v>1.5</v>
      </c>
      <c r="AL54" s="78">
        <f t="shared" si="8"/>
        <v>0.89999999999999991</v>
      </c>
      <c r="AM54" s="79" t="s">
        <v>75</v>
      </c>
      <c r="AN54" s="79" t="s">
        <v>75</v>
      </c>
      <c r="AO54" s="78">
        <f t="shared" ref="AO54" si="48">AI54/AP54</f>
        <v>0.6</v>
      </c>
      <c r="AP54" s="78">
        <v>0.15</v>
      </c>
      <c r="AQ54" s="78">
        <v>0.13</v>
      </c>
      <c r="AR54" s="78">
        <f t="shared" si="28"/>
        <v>9.3749999999999986E-2</v>
      </c>
      <c r="AS54" s="78">
        <f t="shared" si="3"/>
        <v>1.1538461538461537</v>
      </c>
      <c r="AT54" s="79" t="s">
        <v>75</v>
      </c>
      <c r="AU54" s="78">
        <v>0.1</v>
      </c>
      <c r="AV54" s="78">
        <v>0.11</v>
      </c>
      <c r="AW54" s="78">
        <f t="shared" si="39"/>
        <v>0.90909090909090917</v>
      </c>
      <c r="AX54" s="80">
        <f t="shared" si="40"/>
        <v>1.4999999999999998</v>
      </c>
      <c r="AY54" s="215" t="s">
        <v>75</v>
      </c>
      <c r="AZ54" s="216" t="s">
        <v>75</v>
      </c>
      <c r="BA54" s="77"/>
      <c r="BB54" s="77"/>
      <c r="BC54" s="217"/>
    </row>
    <row r="55" spans="2:55" ht="12.75" customHeight="1" x14ac:dyDescent="0.2">
      <c r="B55" s="83">
        <v>23916</v>
      </c>
      <c r="C55" s="70" t="s">
        <v>261</v>
      </c>
      <c r="D55" s="71" t="s">
        <v>252</v>
      </c>
      <c r="E55" s="71" t="s">
        <v>205</v>
      </c>
      <c r="F55" s="72">
        <v>1.73</v>
      </c>
      <c r="G55" s="110" t="s">
        <v>75</v>
      </c>
      <c r="H55" s="110" t="s">
        <v>75</v>
      </c>
      <c r="I55" s="72">
        <v>0.09</v>
      </c>
      <c r="J55" s="72">
        <v>0.05</v>
      </c>
      <c r="K55" s="72">
        <v>0.91</v>
      </c>
      <c r="L55" s="72">
        <v>0.6</v>
      </c>
      <c r="M55" s="72">
        <v>0.64</v>
      </c>
      <c r="N55" s="72">
        <v>0.13</v>
      </c>
      <c r="O55" s="73" t="s">
        <v>75</v>
      </c>
      <c r="P55" s="73" t="s">
        <v>75</v>
      </c>
      <c r="Q55" s="110" t="s">
        <v>75</v>
      </c>
      <c r="R55" s="82">
        <f t="shared" si="0"/>
        <v>0.70329670329670324</v>
      </c>
      <c r="S55" s="82">
        <f t="shared" si="1"/>
        <v>0.65934065934065933</v>
      </c>
      <c r="T55" s="110" t="s">
        <v>75</v>
      </c>
      <c r="U55" s="72">
        <v>0.28999999999999998</v>
      </c>
      <c r="V55" s="73" t="s">
        <v>75</v>
      </c>
      <c r="W55" s="72">
        <v>0.61</v>
      </c>
      <c r="X55" s="72">
        <v>0.09</v>
      </c>
      <c r="Y55" s="72">
        <f t="shared" si="30"/>
        <v>6.7777777777777777</v>
      </c>
      <c r="Z55" s="72">
        <v>0.38</v>
      </c>
      <c r="AA55" s="72">
        <v>0.54</v>
      </c>
      <c r="AB55" s="72">
        <f t="shared" si="41"/>
        <v>0.31213872832369943</v>
      </c>
      <c r="AC55" s="72">
        <v>1.1000000000000001</v>
      </c>
      <c r="AD55" s="72">
        <f t="shared" si="42"/>
        <v>0.63583815028901736</v>
      </c>
      <c r="AE55" s="72">
        <v>0.09</v>
      </c>
      <c r="AF55" s="72">
        <f>AE:AE/K:K</f>
        <v>9.8901098901098897E-2</v>
      </c>
      <c r="AG55" s="73" t="s">
        <v>75</v>
      </c>
      <c r="AH55" s="72">
        <f>AE:AE/N:N</f>
        <v>0.69230769230769229</v>
      </c>
      <c r="AI55" s="72">
        <v>0.09</v>
      </c>
      <c r="AJ55" s="72">
        <v>0.06</v>
      </c>
      <c r="AK55" s="72">
        <f t="shared" si="12"/>
        <v>1.5</v>
      </c>
      <c r="AL55" s="72">
        <f t="shared" si="8"/>
        <v>1</v>
      </c>
      <c r="AM55" s="72">
        <f t="shared" si="6"/>
        <v>0.69230769230769229</v>
      </c>
      <c r="AN55" s="72">
        <f t="shared" si="4"/>
        <v>9.8901098901098897E-2</v>
      </c>
      <c r="AO55" s="72">
        <f t="shared" si="2"/>
        <v>0.47368421052631576</v>
      </c>
      <c r="AP55" s="72">
        <v>0.19</v>
      </c>
      <c r="AQ55" s="72">
        <v>0.13</v>
      </c>
      <c r="AR55" s="72">
        <f t="shared" si="28"/>
        <v>0.10982658959537572</v>
      </c>
      <c r="AS55" s="72">
        <f t="shared" si="3"/>
        <v>1.4615384615384615</v>
      </c>
      <c r="AT55" s="72">
        <f>AP55/K55</f>
        <v>0.2087912087912088</v>
      </c>
      <c r="AU55" s="72">
        <v>0.11</v>
      </c>
      <c r="AV55" s="72">
        <v>0.12</v>
      </c>
      <c r="AW55" s="72">
        <f t="shared" si="39"/>
        <v>0.91666666666666674</v>
      </c>
      <c r="AX55" s="82">
        <f t="shared" si="40"/>
        <v>1.7272727272727273</v>
      </c>
      <c r="AY55" s="224" t="s">
        <v>75</v>
      </c>
      <c r="AZ55" s="84">
        <v>17</v>
      </c>
      <c r="BA55" s="71"/>
      <c r="BB55" s="71"/>
      <c r="BC55" s="226"/>
    </row>
    <row r="56" spans="2:55" ht="12.75" customHeight="1" x14ac:dyDescent="0.2">
      <c r="B56" s="69"/>
      <c r="C56" s="71"/>
      <c r="D56" s="71"/>
      <c r="E56" s="71"/>
      <c r="F56" s="72">
        <v>1.73</v>
      </c>
      <c r="G56" s="110" t="s">
        <v>75</v>
      </c>
      <c r="H56" s="110" t="s">
        <v>75</v>
      </c>
      <c r="I56" s="72">
        <v>0.09</v>
      </c>
      <c r="J56" s="72">
        <v>0.05</v>
      </c>
      <c r="K56" s="73" t="s">
        <v>75</v>
      </c>
      <c r="L56" s="73" t="s">
        <v>75</v>
      </c>
      <c r="M56" s="73" t="s">
        <v>75</v>
      </c>
      <c r="N56" s="73" t="s">
        <v>75</v>
      </c>
      <c r="O56" s="73" t="s">
        <v>75</v>
      </c>
      <c r="P56" s="73" t="s">
        <v>75</v>
      </c>
      <c r="Q56" s="110" t="s">
        <v>75</v>
      </c>
      <c r="R56" s="110" t="s">
        <v>75</v>
      </c>
      <c r="S56" s="110" t="s">
        <v>75</v>
      </c>
      <c r="T56" s="110" t="s">
        <v>75</v>
      </c>
      <c r="U56" s="72">
        <v>0.28999999999999998</v>
      </c>
      <c r="V56" s="73" t="s">
        <v>75</v>
      </c>
      <c r="W56" s="72">
        <v>0.61</v>
      </c>
      <c r="X56" s="72">
        <v>0.1</v>
      </c>
      <c r="Y56" s="72">
        <f t="shared" si="30"/>
        <v>6.1</v>
      </c>
      <c r="Z56" s="72">
        <v>0.36</v>
      </c>
      <c r="AA56" s="73" t="s">
        <v>75</v>
      </c>
      <c r="AB56" s="73" t="s">
        <v>75</v>
      </c>
      <c r="AC56" s="73" t="s">
        <v>75</v>
      </c>
      <c r="AD56" s="73" t="s">
        <v>75</v>
      </c>
      <c r="AE56" s="73" t="s">
        <v>75</v>
      </c>
      <c r="AF56" s="73" t="s">
        <v>75</v>
      </c>
      <c r="AG56" s="73" t="s">
        <v>75</v>
      </c>
      <c r="AH56" s="73" t="s">
        <v>75</v>
      </c>
      <c r="AI56" s="72">
        <v>0.09</v>
      </c>
      <c r="AJ56" s="72">
        <v>0.06</v>
      </c>
      <c r="AK56" s="72">
        <f t="shared" ref="AK56" si="49">AI56/AJ56</f>
        <v>1.5</v>
      </c>
      <c r="AL56" s="73" t="s">
        <v>75</v>
      </c>
      <c r="AM56" s="73" t="s">
        <v>75</v>
      </c>
      <c r="AN56" s="73" t="s">
        <v>75</v>
      </c>
      <c r="AO56" s="72">
        <f t="shared" ref="AO56" si="50">AI56/AP56</f>
        <v>0.47368421052631576</v>
      </c>
      <c r="AP56" s="72">
        <v>0.19</v>
      </c>
      <c r="AQ56" s="72">
        <v>0.15</v>
      </c>
      <c r="AR56" s="72">
        <f t="shared" si="28"/>
        <v>0.10982658959537572</v>
      </c>
      <c r="AS56" s="72">
        <f t="shared" si="3"/>
        <v>1.2666666666666668</v>
      </c>
      <c r="AT56" s="73" t="s">
        <v>75</v>
      </c>
      <c r="AU56" s="72">
        <v>0.11</v>
      </c>
      <c r="AV56" s="72">
        <v>0.12</v>
      </c>
      <c r="AW56" s="72">
        <f t="shared" si="39"/>
        <v>0.91666666666666674</v>
      </c>
      <c r="AX56" s="82">
        <f t="shared" si="40"/>
        <v>1.7272727272727273</v>
      </c>
      <c r="AY56" s="224" t="s">
        <v>75</v>
      </c>
      <c r="AZ56" s="225" t="s">
        <v>75</v>
      </c>
      <c r="BA56" s="71"/>
      <c r="BB56" s="71"/>
      <c r="BC56" s="226"/>
    </row>
    <row r="57" spans="2:55" ht="12.75" customHeight="1" x14ac:dyDescent="0.2">
      <c r="B57" s="86">
        <v>23916</v>
      </c>
      <c r="C57" s="76" t="s">
        <v>261</v>
      </c>
      <c r="D57" s="77" t="s">
        <v>252</v>
      </c>
      <c r="E57" s="77" t="s">
        <v>205</v>
      </c>
      <c r="F57" s="78">
        <v>1.64</v>
      </c>
      <c r="G57" s="114" t="s">
        <v>75</v>
      </c>
      <c r="H57" s="114" t="s">
        <v>75</v>
      </c>
      <c r="I57" s="78">
        <v>0.1</v>
      </c>
      <c r="J57" s="78">
        <v>0.05</v>
      </c>
      <c r="K57" s="79" t="s">
        <v>75</v>
      </c>
      <c r="L57" s="79" t="s">
        <v>75</v>
      </c>
      <c r="M57" s="79" t="s">
        <v>75</v>
      </c>
      <c r="N57" s="79" t="s">
        <v>75</v>
      </c>
      <c r="O57" s="79" t="s">
        <v>75</v>
      </c>
      <c r="P57" s="79" t="s">
        <v>75</v>
      </c>
      <c r="Q57" s="114" t="s">
        <v>75</v>
      </c>
      <c r="R57" s="114" t="s">
        <v>75</v>
      </c>
      <c r="S57" s="114" t="s">
        <v>75</v>
      </c>
      <c r="T57" s="114" t="s">
        <v>75</v>
      </c>
      <c r="U57" s="78">
        <v>0.31</v>
      </c>
      <c r="V57" s="79" t="s">
        <v>75</v>
      </c>
      <c r="W57" s="78">
        <v>0.6</v>
      </c>
      <c r="X57" s="78">
        <v>0.1</v>
      </c>
      <c r="Y57" s="78">
        <f t="shared" si="30"/>
        <v>5.9999999999999991</v>
      </c>
      <c r="Z57" s="78">
        <v>0.39</v>
      </c>
      <c r="AA57" s="78">
        <v>0.54</v>
      </c>
      <c r="AB57" s="78">
        <f>AA57/F57</f>
        <v>0.32926829268292684</v>
      </c>
      <c r="AC57" s="79" t="s">
        <v>75</v>
      </c>
      <c r="AD57" s="79" t="s">
        <v>75</v>
      </c>
      <c r="AE57" s="79" t="s">
        <v>75</v>
      </c>
      <c r="AF57" s="79" t="s">
        <v>75</v>
      </c>
      <c r="AG57" s="79" t="s">
        <v>75</v>
      </c>
      <c r="AH57" s="79" t="s">
        <v>75</v>
      </c>
      <c r="AI57" s="78">
        <v>0.1</v>
      </c>
      <c r="AJ57" s="78">
        <v>0.06</v>
      </c>
      <c r="AK57" s="78">
        <f t="shared" si="12"/>
        <v>1.6666666666666667</v>
      </c>
      <c r="AL57" s="79" t="s">
        <v>75</v>
      </c>
      <c r="AM57" s="79" t="s">
        <v>75</v>
      </c>
      <c r="AN57" s="79" t="s">
        <v>75</v>
      </c>
      <c r="AO57" s="78">
        <f t="shared" si="2"/>
        <v>0.58823529411764708</v>
      </c>
      <c r="AP57" s="78">
        <v>0.17</v>
      </c>
      <c r="AQ57" s="78">
        <v>0.13</v>
      </c>
      <c r="AR57" s="78">
        <f t="shared" si="28"/>
        <v>0.10365853658536586</v>
      </c>
      <c r="AS57" s="78">
        <f t="shared" si="3"/>
        <v>1.3076923076923077</v>
      </c>
      <c r="AT57" s="79" t="s">
        <v>75</v>
      </c>
      <c r="AU57" s="78">
        <v>0.09</v>
      </c>
      <c r="AV57" s="78">
        <v>0.12</v>
      </c>
      <c r="AW57" s="78">
        <f t="shared" si="39"/>
        <v>0.75</v>
      </c>
      <c r="AX57" s="80">
        <f t="shared" si="40"/>
        <v>1.8888888888888891</v>
      </c>
      <c r="AY57" s="215" t="s">
        <v>75</v>
      </c>
      <c r="AZ57" s="87">
        <v>15</v>
      </c>
      <c r="BA57" s="77"/>
      <c r="BB57" s="77"/>
      <c r="BC57" s="217"/>
    </row>
    <row r="58" spans="2:55" ht="12.75" customHeight="1" x14ac:dyDescent="0.2">
      <c r="B58" s="75"/>
      <c r="C58" s="77"/>
      <c r="D58" s="77"/>
      <c r="E58" s="77"/>
      <c r="F58" s="78">
        <v>1.64</v>
      </c>
      <c r="G58" s="114" t="s">
        <v>75</v>
      </c>
      <c r="H58" s="114" t="s">
        <v>75</v>
      </c>
      <c r="I58" s="78">
        <v>0.11</v>
      </c>
      <c r="J58" s="78">
        <v>0.05</v>
      </c>
      <c r="K58" s="78">
        <v>0.88</v>
      </c>
      <c r="L58" s="78">
        <v>0.62</v>
      </c>
      <c r="M58" s="79" t="s">
        <v>75</v>
      </c>
      <c r="N58" s="79" t="s">
        <v>75</v>
      </c>
      <c r="O58" s="79" t="s">
        <v>75</v>
      </c>
      <c r="P58" s="79" t="s">
        <v>75</v>
      </c>
      <c r="Q58" s="114" t="s">
        <v>75</v>
      </c>
      <c r="R58" s="114" t="s">
        <v>75</v>
      </c>
      <c r="S58" s="80">
        <f t="shared" si="1"/>
        <v>0.70454545454545459</v>
      </c>
      <c r="T58" s="114" t="s">
        <v>75</v>
      </c>
      <c r="U58" s="78">
        <v>0.31</v>
      </c>
      <c r="V58" s="79" t="s">
        <v>75</v>
      </c>
      <c r="W58" s="79" t="s">
        <v>75</v>
      </c>
      <c r="X58" s="79" t="s">
        <v>75</v>
      </c>
      <c r="Y58" s="79" t="s">
        <v>75</v>
      </c>
      <c r="Z58" s="78">
        <v>0.38</v>
      </c>
      <c r="AA58" s="78">
        <v>0.55000000000000004</v>
      </c>
      <c r="AB58" s="78">
        <f>AA58/F58</f>
        <v>0.33536585365853661</v>
      </c>
      <c r="AC58" s="79" t="s">
        <v>75</v>
      </c>
      <c r="AD58" s="79" t="s">
        <v>75</v>
      </c>
      <c r="AE58" s="79" t="s">
        <v>75</v>
      </c>
      <c r="AF58" s="79" t="s">
        <v>75</v>
      </c>
      <c r="AG58" s="79" t="s">
        <v>75</v>
      </c>
      <c r="AH58" s="79" t="s">
        <v>75</v>
      </c>
      <c r="AI58" s="78">
        <v>0.1</v>
      </c>
      <c r="AJ58" s="78">
        <v>0.06</v>
      </c>
      <c r="AK58" s="78">
        <f t="shared" ref="AK58" si="51">AI58/AJ58</f>
        <v>1.6666666666666667</v>
      </c>
      <c r="AL58" s="79" t="s">
        <v>75</v>
      </c>
      <c r="AM58" s="79" t="s">
        <v>75</v>
      </c>
      <c r="AN58" s="78">
        <f t="shared" si="4"/>
        <v>0.11363636363636365</v>
      </c>
      <c r="AO58" s="78">
        <f t="shared" ref="AO58" si="52">AI58/AP58</f>
        <v>0.58823529411764708</v>
      </c>
      <c r="AP58" s="78">
        <v>0.17</v>
      </c>
      <c r="AQ58" s="78">
        <v>0.14000000000000001</v>
      </c>
      <c r="AR58" s="78">
        <f t="shared" si="28"/>
        <v>0.10365853658536586</v>
      </c>
      <c r="AS58" s="78">
        <f t="shared" si="3"/>
        <v>1.2142857142857142</v>
      </c>
      <c r="AT58" s="78">
        <f>AP58/K58</f>
        <v>0.1931818181818182</v>
      </c>
      <c r="AU58" s="78">
        <v>0.09</v>
      </c>
      <c r="AV58" s="78">
        <v>0.12</v>
      </c>
      <c r="AW58" s="78">
        <f t="shared" si="39"/>
        <v>0.75</v>
      </c>
      <c r="AX58" s="80">
        <f t="shared" si="40"/>
        <v>1.8888888888888891</v>
      </c>
      <c r="AY58" s="215" t="s">
        <v>75</v>
      </c>
      <c r="AZ58" s="216" t="s">
        <v>75</v>
      </c>
      <c r="BA58" s="77"/>
      <c r="BB58" s="77"/>
      <c r="BC58" s="217"/>
    </row>
    <row r="59" spans="2:55" ht="12.75" customHeight="1" x14ac:dyDescent="0.2">
      <c r="B59" s="83">
        <v>23916</v>
      </c>
      <c r="C59" s="70" t="s">
        <v>261</v>
      </c>
      <c r="D59" s="71" t="s">
        <v>253</v>
      </c>
      <c r="E59" s="71" t="s">
        <v>205</v>
      </c>
      <c r="F59" s="72">
        <v>1.69</v>
      </c>
      <c r="G59" s="110" t="s">
        <v>75</v>
      </c>
      <c r="H59" s="110" t="s">
        <v>75</v>
      </c>
      <c r="I59" s="72">
        <v>0.1</v>
      </c>
      <c r="J59" s="72">
        <v>0.05</v>
      </c>
      <c r="K59" s="72">
        <v>0.88</v>
      </c>
      <c r="L59" s="72">
        <v>0.66</v>
      </c>
      <c r="M59" s="73" t="s">
        <v>75</v>
      </c>
      <c r="N59" s="73" t="s">
        <v>75</v>
      </c>
      <c r="O59" s="73" t="s">
        <v>75</v>
      </c>
      <c r="P59" s="73" t="s">
        <v>75</v>
      </c>
      <c r="Q59" s="110" t="s">
        <v>75</v>
      </c>
      <c r="R59" s="110" t="s">
        <v>75</v>
      </c>
      <c r="S59" s="82">
        <f t="shared" si="1"/>
        <v>0.75</v>
      </c>
      <c r="T59" s="110" t="s">
        <v>75</v>
      </c>
      <c r="U59" s="72">
        <v>0.28000000000000003</v>
      </c>
      <c r="V59" s="73" t="s">
        <v>75</v>
      </c>
      <c r="W59" s="72">
        <v>0.6</v>
      </c>
      <c r="X59" s="72">
        <v>0.08</v>
      </c>
      <c r="Y59" s="72">
        <f>W:W/X:X</f>
        <v>7.5</v>
      </c>
      <c r="Z59" s="72">
        <v>0.04</v>
      </c>
      <c r="AA59" s="72">
        <v>0.56999999999999995</v>
      </c>
      <c r="AB59" s="72">
        <f>AA59/F59</f>
        <v>0.33727810650887574</v>
      </c>
      <c r="AC59" s="72">
        <v>1.1000000000000001</v>
      </c>
      <c r="AD59" s="72">
        <f>AC59/F59</f>
        <v>0.65088757396449715</v>
      </c>
      <c r="AE59" s="72">
        <v>0.1</v>
      </c>
      <c r="AF59" s="72">
        <f>AE:AE/K:K</f>
        <v>0.11363636363636365</v>
      </c>
      <c r="AG59" s="73" t="s">
        <v>75</v>
      </c>
      <c r="AH59" s="73" t="s">
        <v>75</v>
      </c>
      <c r="AI59" s="73" t="s">
        <v>75</v>
      </c>
      <c r="AJ59" s="73" t="s">
        <v>75</v>
      </c>
      <c r="AK59" s="73" t="s">
        <v>75</v>
      </c>
      <c r="AL59" s="73" t="s">
        <v>75</v>
      </c>
      <c r="AM59" s="73" t="s">
        <v>75</v>
      </c>
      <c r="AN59" s="73" t="s">
        <v>75</v>
      </c>
      <c r="AO59" s="73" t="s">
        <v>75</v>
      </c>
      <c r="AP59" s="72">
        <v>0.17</v>
      </c>
      <c r="AQ59" s="72">
        <v>0.14000000000000001</v>
      </c>
      <c r="AR59" s="72">
        <f t="shared" si="28"/>
        <v>0.10059171597633138</v>
      </c>
      <c r="AS59" s="72">
        <f t="shared" si="3"/>
        <v>1.2142857142857142</v>
      </c>
      <c r="AT59" s="72">
        <f>AP59/K59</f>
        <v>0.1931818181818182</v>
      </c>
      <c r="AU59" s="72">
        <v>0.09</v>
      </c>
      <c r="AV59" s="72">
        <v>0.12</v>
      </c>
      <c r="AW59" s="72">
        <f t="shared" si="39"/>
        <v>0.75</v>
      </c>
      <c r="AX59" s="82">
        <f t="shared" si="40"/>
        <v>1.8888888888888891</v>
      </c>
      <c r="AY59" s="224" t="s">
        <v>75</v>
      </c>
      <c r="AZ59" s="84">
        <v>18</v>
      </c>
      <c r="BA59" s="71"/>
      <c r="BB59" s="71"/>
      <c r="BC59" s="226"/>
    </row>
    <row r="60" spans="2:55" ht="12.75" customHeight="1" x14ac:dyDescent="0.2">
      <c r="B60" s="69"/>
      <c r="C60" s="71"/>
      <c r="D60" s="71"/>
      <c r="E60" s="71"/>
      <c r="F60" s="72">
        <v>1.69</v>
      </c>
      <c r="G60" s="110" t="s">
        <v>75</v>
      </c>
      <c r="H60" s="110" t="s">
        <v>75</v>
      </c>
      <c r="I60" s="72">
        <v>0.1</v>
      </c>
      <c r="J60" s="73" t="s">
        <v>75</v>
      </c>
      <c r="K60" s="73" t="s">
        <v>75</v>
      </c>
      <c r="L60" s="73" t="s">
        <v>75</v>
      </c>
      <c r="M60" s="73" t="s">
        <v>75</v>
      </c>
      <c r="N60" s="73" t="s">
        <v>75</v>
      </c>
      <c r="O60" s="73" t="s">
        <v>75</v>
      </c>
      <c r="P60" s="73" t="s">
        <v>75</v>
      </c>
      <c r="Q60" s="110" t="s">
        <v>75</v>
      </c>
      <c r="R60" s="110" t="s">
        <v>75</v>
      </c>
      <c r="S60" s="110" t="s">
        <v>75</v>
      </c>
      <c r="T60" s="110" t="s">
        <v>75</v>
      </c>
      <c r="U60" s="72">
        <v>0.28000000000000003</v>
      </c>
      <c r="V60" s="73" t="s">
        <v>75</v>
      </c>
      <c r="W60" s="73" t="s">
        <v>75</v>
      </c>
      <c r="X60" s="73" t="s">
        <v>75</v>
      </c>
      <c r="Y60" s="73" t="s">
        <v>75</v>
      </c>
      <c r="Z60" s="72">
        <v>0.42</v>
      </c>
      <c r="AA60" s="72">
        <v>0.53</v>
      </c>
      <c r="AB60" s="72">
        <f>AA60/F60</f>
        <v>0.31360946745562135</v>
      </c>
      <c r="AC60" s="72">
        <v>1.1000000000000001</v>
      </c>
      <c r="AD60" s="72">
        <f>AC60/F60</f>
        <v>0.65088757396449715</v>
      </c>
      <c r="AE60" s="72">
        <v>0.1</v>
      </c>
      <c r="AF60" s="73" t="s">
        <v>75</v>
      </c>
      <c r="AG60" s="73" t="s">
        <v>75</v>
      </c>
      <c r="AH60" s="73" t="s">
        <v>75</v>
      </c>
      <c r="AI60" s="73" t="s">
        <v>75</v>
      </c>
      <c r="AJ60" s="73" t="s">
        <v>75</v>
      </c>
      <c r="AK60" s="73" t="s">
        <v>75</v>
      </c>
      <c r="AL60" s="73" t="s">
        <v>75</v>
      </c>
      <c r="AM60" s="73" t="s">
        <v>75</v>
      </c>
      <c r="AN60" s="73" t="s">
        <v>75</v>
      </c>
      <c r="AO60" s="73" t="s">
        <v>75</v>
      </c>
      <c r="AP60" s="72">
        <v>0.18</v>
      </c>
      <c r="AQ60" s="72">
        <v>0.15</v>
      </c>
      <c r="AR60" s="72">
        <f t="shared" si="28"/>
        <v>0.10650887573964497</v>
      </c>
      <c r="AS60" s="72">
        <f t="shared" si="3"/>
        <v>1.2</v>
      </c>
      <c r="AT60" s="73" t="s">
        <v>75</v>
      </c>
      <c r="AU60" s="72">
        <v>0.09</v>
      </c>
      <c r="AV60" s="72">
        <v>0.12</v>
      </c>
      <c r="AW60" s="72">
        <f t="shared" si="39"/>
        <v>0.75</v>
      </c>
      <c r="AX60" s="82">
        <f t="shared" si="40"/>
        <v>2</v>
      </c>
      <c r="AY60" s="224" t="s">
        <v>75</v>
      </c>
      <c r="AZ60" s="225" t="s">
        <v>75</v>
      </c>
      <c r="BA60" s="71"/>
      <c r="BB60" s="71"/>
      <c r="BC60" s="226"/>
    </row>
    <row r="61" spans="2:55" ht="12.75" customHeight="1" x14ac:dyDescent="0.2">
      <c r="B61" s="86">
        <v>23916</v>
      </c>
      <c r="C61" s="76" t="s">
        <v>261</v>
      </c>
      <c r="D61" s="77" t="s">
        <v>253</v>
      </c>
      <c r="E61" s="77" t="s">
        <v>205</v>
      </c>
      <c r="F61" s="78">
        <v>1.65</v>
      </c>
      <c r="G61" s="114" t="s">
        <v>75</v>
      </c>
      <c r="H61" s="114" t="s">
        <v>75</v>
      </c>
      <c r="I61" s="78">
        <v>0.1</v>
      </c>
      <c r="J61" s="78">
        <v>0.05</v>
      </c>
      <c r="K61" s="78">
        <v>0.6</v>
      </c>
      <c r="L61" s="79" t="s">
        <v>75</v>
      </c>
      <c r="M61" s="79" t="s">
        <v>75</v>
      </c>
      <c r="N61" s="79" t="s">
        <v>75</v>
      </c>
      <c r="O61" s="79" t="s">
        <v>75</v>
      </c>
      <c r="P61" s="79" t="s">
        <v>75</v>
      </c>
      <c r="Q61" s="114" t="s">
        <v>75</v>
      </c>
      <c r="R61" s="114" t="s">
        <v>75</v>
      </c>
      <c r="S61" s="114" t="s">
        <v>75</v>
      </c>
      <c r="T61" s="114" t="s">
        <v>75</v>
      </c>
      <c r="U61" s="78">
        <v>0.31</v>
      </c>
      <c r="V61" s="79" t="s">
        <v>75</v>
      </c>
      <c r="W61" s="78">
        <v>0.65</v>
      </c>
      <c r="X61" s="78">
        <v>0.09</v>
      </c>
      <c r="Y61" s="78">
        <f>W:W/X:X</f>
        <v>7.2222222222222223</v>
      </c>
      <c r="Z61" s="78">
        <v>0.4</v>
      </c>
      <c r="AA61" s="79" t="s">
        <v>75</v>
      </c>
      <c r="AB61" s="79" t="s">
        <v>75</v>
      </c>
      <c r="AC61" s="79" t="s">
        <v>75</v>
      </c>
      <c r="AD61" s="79" t="s">
        <v>75</v>
      </c>
      <c r="AE61" s="79" t="s">
        <v>75</v>
      </c>
      <c r="AF61" s="79" t="s">
        <v>75</v>
      </c>
      <c r="AG61" s="79" t="s">
        <v>75</v>
      </c>
      <c r="AH61" s="79" t="s">
        <v>75</v>
      </c>
      <c r="AI61" s="78">
        <v>0.09</v>
      </c>
      <c r="AJ61" s="78">
        <v>0.05</v>
      </c>
      <c r="AK61" s="78">
        <f t="shared" si="12"/>
        <v>1.7999999999999998</v>
      </c>
      <c r="AL61" s="79" t="s">
        <v>75</v>
      </c>
      <c r="AM61" s="79" t="s">
        <v>75</v>
      </c>
      <c r="AN61" s="78">
        <f t="shared" si="4"/>
        <v>0.15</v>
      </c>
      <c r="AO61" s="78">
        <f t="shared" si="2"/>
        <v>0.47368421052631576</v>
      </c>
      <c r="AP61" s="78">
        <v>0.19</v>
      </c>
      <c r="AQ61" s="78">
        <v>0.1</v>
      </c>
      <c r="AR61" s="78">
        <f t="shared" si="28"/>
        <v>0.11515151515151516</v>
      </c>
      <c r="AS61" s="78">
        <f t="shared" si="3"/>
        <v>1.9</v>
      </c>
      <c r="AT61" s="78">
        <f>AP61/K61</f>
        <v>0.31666666666666671</v>
      </c>
      <c r="AU61" s="78">
        <v>0.09</v>
      </c>
      <c r="AV61" s="78">
        <v>0.12</v>
      </c>
      <c r="AW61" s="78">
        <f t="shared" si="39"/>
        <v>0.75</v>
      </c>
      <c r="AX61" s="80">
        <f t="shared" si="40"/>
        <v>2.1111111111111112</v>
      </c>
      <c r="AY61" s="215" t="s">
        <v>75</v>
      </c>
      <c r="AZ61" s="87">
        <v>14</v>
      </c>
      <c r="BA61" s="77"/>
      <c r="BB61" s="77"/>
      <c r="BC61" s="217"/>
    </row>
    <row r="62" spans="2:55" ht="12.75" customHeight="1" x14ac:dyDescent="0.2">
      <c r="B62" s="75"/>
      <c r="C62" s="77"/>
      <c r="D62" s="77"/>
      <c r="E62" s="77"/>
      <c r="F62" s="78">
        <v>1.65</v>
      </c>
      <c r="G62" s="80">
        <f>I62+J62+K62+L62+M62+N62+O62</f>
        <v>4.4240000000000004</v>
      </c>
      <c r="H62" s="80">
        <f>G62/F62</f>
        <v>2.6812121212121216</v>
      </c>
      <c r="I62" s="78">
        <v>0.1</v>
      </c>
      <c r="J62" s="78">
        <v>0.05</v>
      </c>
      <c r="K62" s="78">
        <v>0.92500000000000004</v>
      </c>
      <c r="L62" s="78">
        <v>0.66</v>
      </c>
      <c r="M62" s="78">
        <v>0.72</v>
      </c>
      <c r="N62" s="78">
        <v>0.14000000000000001</v>
      </c>
      <c r="O62" s="78">
        <f>0.306+0.646+0.877</f>
        <v>1.829</v>
      </c>
      <c r="P62" s="78">
        <f>N:N+O:O</f>
        <v>1.9689999999999999</v>
      </c>
      <c r="Q62" s="80">
        <f>(N62+O62)/K62</f>
        <v>2.1286486486486482</v>
      </c>
      <c r="R62" s="80">
        <f t="shared" si="0"/>
        <v>0.77837837837837831</v>
      </c>
      <c r="S62" s="80">
        <f t="shared" si="1"/>
        <v>0.71351351351351355</v>
      </c>
      <c r="T62" s="80">
        <f>O62/N62</f>
        <v>13.064285714285713</v>
      </c>
      <c r="U62" s="78">
        <v>0.31</v>
      </c>
      <c r="V62" s="78">
        <f t="shared" si="5"/>
        <v>14.270967741935484</v>
      </c>
      <c r="W62" s="78">
        <v>0.64</v>
      </c>
      <c r="X62" s="78">
        <v>0.08</v>
      </c>
      <c r="Y62" s="78">
        <f>W:W/X:X</f>
        <v>8</v>
      </c>
      <c r="Z62" s="78">
        <v>0.41</v>
      </c>
      <c r="AA62" s="79" t="s">
        <v>75</v>
      </c>
      <c r="AB62" s="79" t="s">
        <v>75</v>
      </c>
      <c r="AC62" s="79" t="s">
        <v>75</v>
      </c>
      <c r="AD62" s="79" t="s">
        <v>75</v>
      </c>
      <c r="AE62" s="79" t="s">
        <v>75</v>
      </c>
      <c r="AF62" s="79" t="s">
        <v>75</v>
      </c>
      <c r="AG62" s="79" t="s">
        <v>75</v>
      </c>
      <c r="AH62" s="79" t="s">
        <v>75</v>
      </c>
      <c r="AI62" s="78">
        <v>0.09</v>
      </c>
      <c r="AJ62" s="78">
        <v>0.05</v>
      </c>
      <c r="AK62" s="78">
        <f t="shared" ref="AK62" si="53">AI62/AJ62</f>
        <v>1.7999999999999998</v>
      </c>
      <c r="AL62" s="79" t="s">
        <v>75</v>
      </c>
      <c r="AM62" s="78">
        <f t="shared" si="6"/>
        <v>0.64285714285714279</v>
      </c>
      <c r="AN62" s="78">
        <f t="shared" si="4"/>
        <v>9.7297297297297289E-2</v>
      </c>
      <c r="AO62" s="78">
        <f t="shared" ref="AO62" si="54">AI62/AP62</f>
        <v>0.47368421052631576</v>
      </c>
      <c r="AP62" s="78">
        <v>0.19</v>
      </c>
      <c r="AQ62" s="78">
        <v>0.11</v>
      </c>
      <c r="AR62" s="78">
        <f t="shared" si="28"/>
        <v>0.11515151515151516</v>
      </c>
      <c r="AS62" s="78">
        <f t="shared" si="3"/>
        <v>1.7272727272727273</v>
      </c>
      <c r="AT62" s="78">
        <f>AP62/K62</f>
        <v>0.20540540540540539</v>
      </c>
      <c r="AU62" s="78">
        <v>0.09</v>
      </c>
      <c r="AV62" s="78">
        <v>0.12</v>
      </c>
      <c r="AW62" s="78">
        <f t="shared" si="39"/>
        <v>0.75</v>
      </c>
      <c r="AX62" s="80">
        <f t="shared" si="40"/>
        <v>2.1111111111111112</v>
      </c>
      <c r="AY62" s="215" t="s">
        <v>75</v>
      </c>
      <c r="AZ62" s="216" t="s">
        <v>75</v>
      </c>
      <c r="BA62" s="77"/>
      <c r="BB62" s="77"/>
      <c r="BC62" s="217"/>
    </row>
    <row r="63" spans="2:55" ht="12.75" customHeight="1" x14ac:dyDescent="0.2">
      <c r="B63" s="83">
        <v>23916</v>
      </c>
      <c r="C63" s="70" t="s">
        <v>261</v>
      </c>
      <c r="D63" s="71" t="s">
        <v>253</v>
      </c>
      <c r="E63" s="71" t="s">
        <v>205</v>
      </c>
      <c r="F63" s="72">
        <v>1.65</v>
      </c>
      <c r="G63" s="110" t="s">
        <v>75</v>
      </c>
      <c r="H63" s="110" t="s">
        <v>75</v>
      </c>
      <c r="I63" s="72">
        <v>0.1</v>
      </c>
      <c r="J63" s="72">
        <v>0.05</v>
      </c>
      <c r="K63" s="72">
        <v>0.85</v>
      </c>
      <c r="L63" s="73" t="s">
        <v>75</v>
      </c>
      <c r="M63" s="73" t="s">
        <v>75</v>
      </c>
      <c r="N63" s="73" t="s">
        <v>75</v>
      </c>
      <c r="O63" s="73" t="s">
        <v>75</v>
      </c>
      <c r="P63" s="73" t="s">
        <v>75</v>
      </c>
      <c r="Q63" s="110" t="s">
        <v>75</v>
      </c>
      <c r="R63" s="110" t="s">
        <v>75</v>
      </c>
      <c r="S63" s="110" t="s">
        <v>75</v>
      </c>
      <c r="T63" s="110" t="s">
        <v>75</v>
      </c>
      <c r="U63" s="72">
        <v>0.28999999999999998</v>
      </c>
      <c r="V63" s="73" t="s">
        <v>75</v>
      </c>
      <c r="W63" s="72">
        <v>0.59</v>
      </c>
      <c r="X63" s="72">
        <v>0.08</v>
      </c>
      <c r="Y63" s="72">
        <f>W:W/X:X</f>
        <v>7.3749999999999991</v>
      </c>
      <c r="Z63" s="72">
        <v>0.38</v>
      </c>
      <c r="AA63" s="72">
        <v>0.52</v>
      </c>
      <c r="AB63" s="72">
        <f t="shared" ref="AB63:AB77" si="55">AA63/F63</f>
        <v>0.31515151515151518</v>
      </c>
      <c r="AC63" s="72">
        <f>0.51+0.38+0.18</f>
        <v>1.07</v>
      </c>
      <c r="AD63" s="72">
        <f>AC63/F63</f>
        <v>0.64848484848484855</v>
      </c>
      <c r="AE63" s="72">
        <v>0.1</v>
      </c>
      <c r="AF63" s="72">
        <f>AE:AE/K:K</f>
        <v>0.11764705882352942</v>
      </c>
      <c r="AG63" s="73" t="s">
        <v>75</v>
      </c>
      <c r="AH63" s="73" t="s">
        <v>75</v>
      </c>
      <c r="AI63" s="72">
        <v>0.09</v>
      </c>
      <c r="AJ63" s="72">
        <v>0.05</v>
      </c>
      <c r="AK63" s="72">
        <f t="shared" si="12"/>
        <v>1.7999999999999998</v>
      </c>
      <c r="AL63" s="72">
        <f t="shared" si="8"/>
        <v>0.89999999999999991</v>
      </c>
      <c r="AM63" s="73" t="s">
        <v>75</v>
      </c>
      <c r="AN63" s="72">
        <f t="shared" si="4"/>
        <v>0.10588235294117647</v>
      </c>
      <c r="AO63" s="72">
        <f t="shared" si="2"/>
        <v>0.5</v>
      </c>
      <c r="AP63" s="72">
        <v>0.18</v>
      </c>
      <c r="AQ63" s="72">
        <v>0.09</v>
      </c>
      <c r="AR63" s="72">
        <f t="shared" si="28"/>
        <v>0.1090909090909091</v>
      </c>
      <c r="AS63" s="72">
        <f t="shared" si="3"/>
        <v>2</v>
      </c>
      <c r="AT63" s="72">
        <f>AP63/K63</f>
        <v>0.21176470588235294</v>
      </c>
      <c r="AU63" s="73" t="s">
        <v>75</v>
      </c>
      <c r="AV63" s="73" t="s">
        <v>75</v>
      </c>
      <c r="AW63" s="73" t="s">
        <v>75</v>
      </c>
      <c r="AX63" s="110" t="s">
        <v>75</v>
      </c>
      <c r="AY63" s="224" t="s">
        <v>75</v>
      </c>
      <c r="AZ63" s="84">
        <v>14</v>
      </c>
      <c r="BA63" s="71"/>
      <c r="BB63" s="71"/>
      <c r="BC63" s="226"/>
    </row>
    <row r="64" spans="2:55" ht="12.75" customHeight="1" x14ac:dyDescent="0.2">
      <c r="B64" s="69"/>
      <c r="C64" s="71"/>
      <c r="D64" s="71"/>
      <c r="E64" s="71"/>
      <c r="F64" s="72">
        <v>1.65</v>
      </c>
      <c r="G64" s="110" t="s">
        <v>75</v>
      </c>
      <c r="H64" s="110" t="s">
        <v>75</v>
      </c>
      <c r="I64" s="72">
        <v>0.1</v>
      </c>
      <c r="J64" s="72">
        <v>0.05</v>
      </c>
      <c r="K64" s="73" t="s">
        <v>75</v>
      </c>
      <c r="L64" s="73" t="s">
        <v>75</v>
      </c>
      <c r="M64" s="73" t="s">
        <v>75</v>
      </c>
      <c r="N64" s="73" t="s">
        <v>75</v>
      </c>
      <c r="O64" s="73" t="s">
        <v>75</v>
      </c>
      <c r="P64" s="73" t="s">
        <v>75</v>
      </c>
      <c r="Q64" s="110" t="s">
        <v>75</v>
      </c>
      <c r="R64" s="110" t="s">
        <v>75</v>
      </c>
      <c r="S64" s="110" t="s">
        <v>75</v>
      </c>
      <c r="T64" s="110" t="s">
        <v>75</v>
      </c>
      <c r="U64" s="72">
        <v>0.28999999999999998</v>
      </c>
      <c r="V64" s="73" t="s">
        <v>75</v>
      </c>
      <c r="W64" s="73" t="s">
        <v>75</v>
      </c>
      <c r="X64" s="73" t="s">
        <v>75</v>
      </c>
      <c r="Y64" s="73" t="s">
        <v>75</v>
      </c>
      <c r="Z64" s="72">
        <v>0.38</v>
      </c>
      <c r="AA64" s="72">
        <v>0.53</v>
      </c>
      <c r="AB64" s="72">
        <f t="shared" si="55"/>
        <v>0.32121212121212123</v>
      </c>
      <c r="AC64" s="73" t="s">
        <v>75</v>
      </c>
      <c r="AD64" s="73" t="s">
        <v>75</v>
      </c>
      <c r="AE64" s="73" t="s">
        <v>75</v>
      </c>
      <c r="AF64" s="73" t="s">
        <v>75</v>
      </c>
      <c r="AG64" s="73" t="s">
        <v>75</v>
      </c>
      <c r="AH64" s="73" t="s">
        <v>75</v>
      </c>
      <c r="AI64" s="72">
        <v>0.09</v>
      </c>
      <c r="AJ64" s="72">
        <v>0.05</v>
      </c>
      <c r="AK64" s="72">
        <f t="shared" ref="AK64" si="56">AI64/AJ64</f>
        <v>1.7999999999999998</v>
      </c>
      <c r="AL64" s="73" t="s">
        <v>75</v>
      </c>
      <c r="AM64" s="73" t="s">
        <v>75</v>
      </c>
      <c r="AN64" s="73" t="s">
        <v>75</v>
      </c>
      <c r="AO64" s="72">
        <f t="shared" ref="AO64" si="57">AI64/AP64</f>
        <v>0.52941176470588225</v>
      </c>
      <c r="AP64" s="72">
        <v>0.17</v>
      </c>
      <c r="AQ64" s="72">
        <v>0.11</v>
      </c>
      <c r="AR64" s="72">
        <f t="shared" si="28"/>
        <v>0.10303030303030304</v>
      </c>
      <c r="AS64" s="72">
        <f t="shared" si="3"/>
        <v>1.5454545454545456</v>
      </c>
      <c r="AT64" s="73" t="s">
        <v>75</v>
      </c>
      <c r="AU64" s="73" t="s">
        <v>75</v>
      </c>
      <c r="AV64" s="73" t="s">
        <v>75</v>
      </c>
      <c r="AW64" s="73" t="s">
        <v>75</v>
      </c>
      <c r="AX64" s="110" t="s">
        <v>75</v>
      </c>
      <c r="AY64" s="224" t="s">
        <v>75</v>
      </c>
      <c r="AZ64" s="225" t="s">
        <v>75</v>
      </c>
      <c r="BA64" s="71"/>
      <c r="BB64" s="71"/>
      <c r="BC64" s="226"/>
    </row>
    <row r="65" spans="2:55" ht="12.75" customHeight="1" x14ac:dyDescent="0.2">
      <c r="B65" s="86">
        <v>23916</v>
      </c>
      <c r="C65" s="76" t="s">
        <v>261</v>
      </c>
      <c r="D65" s="77" t="s">
        <v>253</v>
      </c>
      <c r="E65" s="77" t="s">
        <v>205</v>
      </c>
      <c r="F65" s="78">
        <v>1.53</v>
      </c>
      <c r="G65" s="114" t="s">
        <v>75</v>
      </c>
      <c r="H65" s="114" t="s">
        <v>75</v>
      </c>
      <c r="I65" s="78">
        <v>0.1</v>
      </c>
      <c r="J65" s="78">
        <v>0.05</v>
      </c>
      <c r="K65" s="78">
        <v>0.88</v>
      </c>
      <c r="L65" s="79" t="s">
        <v>75</v>
      </c>
      <c r="M65" s="79" t="s">
        <v>75</v>
      </c>
      <c r="N65" s="79" t="s">
        <v>75</v>
      </c>
      <c r="O65" s="79" t="s">
        <v>75</v>
      </c>
      <c r="P65" s="79" t="s">
        <v>75</v>
      </c>
      <c r="Q65" s="114" t="s">
        <v>75</v>
      </c>
      <c r="R65" s="114" t="s">
        <v>75</v>
      </c>
      <c r="S65" s="114" t="s">
        <v>75</v>
      </c>
      <c r="T65" s="114" t="s">
        <v>75</v>
      </c>
      <c r="U65" s="78">
        <v>0.33</v>
      </c>
      <c r="V65" s="79" t="s">
        <v>75</v>
      </c>
      <c r="W65" s="78">
        <v>0.59</v>
      </c>
      <c r="X65" s="78">
        <v>0.08</v>
      </c>
      <c r="Y65" s="78">
        <f>W:W/X:X</f>
        <v>7.3749999999999991</v>
      </c>
      <c r="Z65" s="78">
        <v>0.32</v>
      </c>
      <c r="AA65" s="78">
        <v>0.48</v>
      </c>
      <c r="AB65" s="78">
        <f t="shared" si="55"/>
        <v>0.31372549019607843</v>
      </c>
      <c r="AC65" s="78">
        <v>1</v>
      </c>
      <c r="AD65" s="78">
        <f>AC65/F65</f>
        <v>0.65359477124183007</v>
      </c>
      <c r="AE65" s="78">
        <v>0.09</v>
      </c>
      <c r="AF65" s="78">
        <f>AE:AE/K:K</f>
        <v>0.10227272727272727</v>
      </c>
      <c r="AG65" s="79" t="s">
        <v>75</v>
      </c>
      <c r="AH65" s="79" t="s">
        <v>75</v>
      </c>
      <c r="AI65" s="78">
        <v>0.09</v>
      </c>
      <c r="AJ65" s="78">
        <v>0.05</v>
      </c>
      <c r="AK65" s="78">
        <f t="shared" si="12"/>
        <v>1.7999999999999998</v>
      </c>
      <c r="AL65" s="78">
        <f t="shared" si="8"/>
        <v>1</v>
      </c>
      <c r="AM65" s="79" t="s">
        <v>75</v>
      </c>
      <c r="AN65" s="78">
        <f t="shared" si="4"/>
        <v>0.10227272727272727</v>
      </c>
      <c r="AO65" s="78">
        <f t="shared" si="2"/>
        <v>0.52941176470588225</v>
      </c>
      <c r="AP65" s="78">
        <v>0.17</v>
      </c>
      <c r="AQ65" s="78">
        <v>0.11</v>
      </c>
      <c r="AR65" s="78">
        <f t="shared" si="28"/>
        <v>0.11111111111111112</v>
      </c>
      <c r="AS65" s="78">
        <f t="shared" si="3"/>
        <v>1.5454545454545456</v>
      </c>
      <c r="AT65" s="78">
        <f t="shared" ref="AT65:AT74" si="58">AP65/K65</f>
        <v>0.1931818181818182</v>
      </c>
      <c r="AU65" s="78">
        <v>0.1</v>
      </c>
      <c r="AV65" s="78">
        <v>0.08</v>
      </c>
      <c r="AW65" s="78">
        <f>AU65/AV65</f>
        <v>1.25</v>
      </c>
      <c r="AX65" s="80">
        <f>AP65/AU65</f>
        <v>1.7</v>
      </c>
      <c r="AY65" s="215" t="s">
        <v>75</v>
      </c>
      <c r="AZ65" s="87">
        <v>11</v>
      </c>
      <c r="BA65" s="77"/>
      <c r="BB65" s="77"/>
      <c r="BC65" s="217"/>
    </row>
    <row r="66" spans="2:55" ht="12.75" customHeight="1" x14ac:dyDescent="0.2">
      <c r="B66" s="75"/>
      <c r="C66" s="77"/>
      <c r="D66" s="77"/>
      <c r="E66" s="77"/>
      <c r="F66" s="78">
        <v>1.53</v>
      </c>
      <c r="G66" s="114" t="s">
        <v>75</v>
      </c>
      <c r="H66" s="114" t="s">
        <v>75</v>
      </c>
      <c r="I66" s="78">
        <v>0.09</v>
      </c>
      <c r="J66" s="78">
        <v>0.05</v>
      </c>
      <c r="K66" s="78">
        <v>0.89</v>
      </c>
      <c r="L66" s="78">
        <v>0.59</v>
      </c>
      <c r="M66" s="78">
        <v>0.56999999999999995</v>
      </c>
      <c r="N66" s="78">
        <v>0.11</v>
      </c>
      <c r="O66" s="78">
        <v>0.94</v>
      </c>
      <c r="P66" s="78">
        <f>N:N+O:O</f>
        <v>1.05</v>
      </c>
      <c r="Q66" s="80">
        <f>(N66+O66)/K66</f>
        <v>1.1797752808988764</v>
      </c>
      <c r="R66" s="80">
        <f t="shared" si="0"/>
        <v>0.64044943820224709</v>
      </c>
      <c r="S66" s="80">
        <f t="shared" si="1"/>
        <v>0.6629213483146067</v>
      </c>
      <c r="T66" s="80">
        <f>O66/N66</f>
        <v>8.545454545454545</v>
      </c>
      <c r="U66" s="78">
        <v>0.33</v>
      </c>
      <c r="V66" s="79" t="s">
        <v>75</v>
      </c>
      <c r="W66" s="78">
        <v>0.53</v>
      </c>
      <c r="X66" s="78">
        <v>7.0000000000000007E-2</v>
      </c>
      <c r="Y66" s="78">
        <f>W:W/X:X</f>
        <v>7.5714285714285712</v>
      </c>
      <c r="Z66" s="78">
        <v>0.35</v>
      </c>
      <c r="AA66" s="78">
        <v>0.5</v>
      </c>
      <c r="AB66" s="78">
        <f t="shared" si="55"/>
        <v>0.32679738562091504</v>
      </c>
      <c r="AC66" s="78">
        <v>1</v>
      </c>
      <c r="AD66" s="78">
        <f>AC66/F66</f>
        <v>0.65359477124183007</v>
      </c>
      <c r="AE66" s="78">
        <v>0.09</v>
      </c>
      <c r="AF66" s="78">
        <f>AE:AE/K:K</f>
        <v>0.10112359550561797</v>
      </c>
      <c r="AG66" s="78">
        <f>AE:AE/P:P</f>
        <v>8.5714285714285701E-2</v>
      </c>
      <c r="AH66" s="78">
        <f>AE:AE/N:N</f>
        <v>0.81818181818181812</v>
      </c>
      <c r="AI66" s="78">
        <v>0.09</v>
      </c>
      <c r="AJ66" s="78">
        <v>0.05</v>
      </c>
      <c r="AK66" s="78">
        <f t="shared" ref="AK66" si="59">AI66/AJ66</f>
        <v>1.7999999999999998</v>
      </c>
      <c r="AL66" s="78">
        <f t="shared" si="8"/>
        <v>1</v>
      </c>
      <c r="AM66" s="78">
        <f t="shared" si="6"/>
        <v>0.81818181818181812</v>
      </c>
      <c r="AN66" s="78">
        <f t="shared" si="4"/>
        <v>0.10112359550561797</v>
      </c>
      <c r="AO66" s="78">
        <f t="shared" ref="AO66" si="60">AI66/AP66</f>
        <v>0.52941176470588225</v>
      </c>
      <c r="AP66" s="78">
        <v>0.17</v>
      </c>
      <c r="AQ66" s="78">
        <v>0.12</v>
      </c>
      <c r="AR66" s="78">
        <f t="shared" si="28"/>
        <v>0.11111111111111112</v>
      </c>
      <c r="AS66" s="78">
        <f t="shared" si="3"/>
        <v>1.4166666666666667</v>
      </c>
      <c r="AT66" s="78">
        <f t="shared" si="58"/>
        <v>0.1910112359550562</v>
      </c>
      <c r="AU66" s="78">
        <v>0.1</v>
      </c>
      <c r="AV66" s="78">
        <v>0.08</v>
      </c>
      <c r="AW66" s="78">
        <f>AU66/AV66</f>
        <v>1.25</v>
      </c>
      <c r="AX66" s="80">
        <f>AP66/AU66</f>
        <v>1.7</v>
      </c>
      <c r="AY66" s="215" t="s">
        <v>75</v>
      </c>
      <c r="AZ66" s="87">
        <v>15</v>
      </c>
      <c r="BA66" s="77"/>
      <c r="BB66" s="77"/>
      <c r="BC66" s="217"/>
    </row>
    <row r="67" spans="2:55" ht="12.75" customHeight="1" x14ac:dyDescent="0.2">
      <c r="B67" s="83">
        <v>23970</v>
      </c>
      <c r="C67" s="70" t="s">
        <v>261</v>
      </c>
      <c r="D67" s="71" t="s">
        <v>254</v>
      </c>
      <c r="E67" s="71" t="s">
        <v>206</v>
      </c>
      <c r="F67" s="72">
        <v>1.57</v>
      </c>
      <c r="G67" s="82">
        <f t="shared" ref="G67:G97" si="61">I67+J67+K67+L67+M67+N67+O67</f>
        <v>3.85</v>
      </c>
      <c r="H67" s="82">
        <f t="shared" ref="H67:H97" si="62">G67/F67</f>
        <v>2.4522292993630574</v>
      </c>
      <c r="I67" s="72">
        <v>0.1</v>
      </c>
      <c r="J67" s="72">
        <v>0.05</v>
      </c>
      <c r="K67" s="72">
        <v>0.86</v>
      </c>
      <c r="L67" s="72">
        <v>0.56999999999999995</v>
      </c>
      <c r="M67" s="72">
        <v>0.6</v>
      </c>
      <c r="N67" s="72">
        <v>0.11</v>
      </c>
      <c r="O67" s="72">
        <f>0.667+0.893</f>
        <v>1.56</v>
      </c>
      <c r="P67" s="72">
        <f>N:N+O:O</f>
        <v>1.6700000000000002</v>
      </c>
      <c r="Q67" s="82">
        <f t="shared" ref="Q67:Q97" si="63">(N67+O67)/K67</f>
        <v>1.9418604651162792</v>
      </c>
      <c r="R67" s="82">
        <f t="shared" ref="R67:R102" si="64">M67/K67</f>
        <v>0.69767441860465118</v>
      </c>
      <c r="S67" s="82">
        <f t="shared" ref="S67:S102" si="65">L67/K67</f>
        <v>0.66279069767441856</v>
      </c>
      <c r="T67" s="82">
        <f t="shared" ref="T67:T97" si="66">O67/N67</f>
        <v>14.181818181818182</v>
      </c>
      <c r="U67" s="72">
        <v>0.31</v>
      </c>
      <c r="V67" s="72">
        <f t="shared" si="5"/>
        <v>12.419354838709678</v>
      </c>
      <c r="W67" s="72">
        <v>0.53</v>
      </c>
      <c r="X67" s="72">
        <v>7.0000000000000007E-2</v>
      </c>
      <c r="Y67" s="72">
        <f>W:W/X:X</f>
        <v>7.5714285714285712</v>
      </c>
      <c r="Z67" s="72">
        <v>0.36</v>
      </c>
      <c r="AA67" s="72">
        <v>0.48</v>
      </c>
      <c r="AB67" s="72">
        <f t="shared" si="55"/>
        <v>0.30573248407643311</v>
      </c>
      <c r="AC67" s="72">
        <v>1.1000000000000001</v>
      </c>
      <c r="AD67" s="72">
        <f>AC67/F67</f>
        <v>0.7006369426751593</v>
      </c>
      <c r="AE67" s="72">
        <v>0.09</v>
      </c>
      <c r="AF67" s="72">
        <f>AE:AE/K:K</f>
        <v>0.10465116279069767</v>
      </c>
      <c r="AG67" s="72">
        <f>AE:AE/P:P</f>
        <v>5.389221556886227E-2</v>
      </c>
      <c r="AH67" s="72">
        <f>AE:AE/N:N</f>
        <v>0.81818181818181812</v>
      </c>
      <c r="AI67" s="72">
        <v>0.09</v>
      </c>
      <c r="AJ67" s="72">
        <v>0.06</v>
      </c>
      <c r="AK67" s="72">
        <f t="shared" ref="AK67:AK103" si="67">AI67/AJ67</f>
        <v>1.5</v>
      </c>
      <c r="AL67" s="72">
        <f t="shared" si="8"/>
        <v>1</v>
      </c>
      <c r="AM67" s="72">
        <f t="shared" si="6"/>
        <v>0.81818181818181812</v>
      </c>
      <c r="AN67" s="72">
        <f t="shared" si="4"/>
        <v>0.10465116279069767</v>
      </c>
      <c r="AO67" s="72">
        <f t="shared" ref="AO67:AO103" si="68">AI67/AP67</f>
        <v>0.52941176470588225</v>
      </c>
      <c r="AP67" s="72">
        <v>0.17</v>
      </c>
      <c r="AQ67" s="72">
        <v>0.08</v>
      </c>
      <c r="AR67" s="72">
        <f t="shared" ref="AR67:AR98" si="69">AP67/F67</f>
        <v>0.10828025477707007</v>
      </c>
      <c r="AS67" s="72">
        <f t="shared" ref="AS67:AS104" si="70">AP67/AQ67</f>
        <v>2.125</v>
      </c>
      <c r="AT67" s="72">
        <f t="shared" si="58"/>
        <v>0.19767441860465118</v>
      </c>
      <c r="AU67" s="73" t="s">
        <v>75</v>
      </c>
      <c r="AV67" s="73" t="s">
        <v>75</v>
      </c>
      <c r="AW67" s="73" t="s">
        <v>75</v>
      </c>
      <c r="AX67" s="110" t="s">
        <v>75</v>
      </c>
      <c r="AY67" s="224" t="s">
        <v>75</v>
      </c>
      <c r="AZ67" s="84">
        <v>15</v>
      </c>
      <c r="BA67" s="71"/>
      <c r="BB67" s="71"/>
      <c r="BC67" s="226"/>
    </row>
    <row r="68" spans="2:55" ht="12.75" customHeight="1" x14ac:dyDescent="0.2">
      <c r="B68" s="69"/>
      <c r="C68" s="71"/>
      <c r="D68" s="71"/>
      <c r="E68" s="71"/>
      <c r="F68" s="72">
        <v>1.57</v>
      </c>
      <c r="G68" s="110" t="s">
        <v>75</v>
      </c>
      <c r="H68" s="110" t="s">
        <v>75</v>
      </c>
      <c r="I68" s="72">
        <v>0.1</v>
      </c>
      <c r="J68" s="72">
        <v>0.05</v>
      </c>
      <c r="K68" s="72">
        <v>0.86</v>
      </c>
      <c r="L68" s="72">
        <v>0.56999999999999995</v>
      </c>
      <c r="M68" s="72">
        <v>0.61</v>
      </c>
      <c r="N68" s="72">
        <v>0.11</v>
      </c>
      <c r="O68" s="73" t="s">
        <v>75</v>
      </c>
      <c r="P68" s="73" t="s">
        <v>75</v>
      </c>
      <c r="Q68" s="110" t="s">
        <v>75</v>
      </c>
      <c r="R68" s="82">
        <f t="shared" si="64"/>
        <v>0.70930232558139539</v>
      </c>
      <c r="S68" s="82">
        <f t="shared" si="65"/>
        <v>0.66279069767441856</v>
      </c>
      <c r="T68" s="110" t="s">
        <v>75</v>
      </c>
      <c r="U68" s="72">
        <v>0.31</v>
      </c>
      <c r="V68" s="73" t="s">
        <v>75</v>
      </c>
      <c r="W68" s="73" t="s">
        <v>75</v>
      </c>
      <c r="X68" s="73" t="s">
        <v>75</v>
      </c>
      <c r="Y68" s="73" t="s">
        <v>75</v>
      </c>
      <c r="Z68" s="72">
        <v>0.36</v>
      </c>
      <c r="AA68" s="72">
        <v>0.52</v>
      </c>
      <c r="AB68" s="72">
        <f t="shared" si="55"/>
        <v>0.33121019108280253</v>
      </c>
      <c r="AC68" s="72">
        <v>1.1000000000000001</v>
      </c>
      <c r="AD68" s="72">
        <f>AC68/F68</f>
        <v>0.7006369426751593</v>
      </c>
      <c r="AE68" s="72">
        <v>0.09</v>
      </c>
      <c r="AF68" s="72">
        <f>AE:AE/K:K</f>
        <v>0.10465116279069767</v>
      </c>
      <c r="AG68" s="73" t="s">
        <v>75</v>
      </c>
      <c r="AH68" s="72">
        <f>AE:AE/N:N</f>
        <v>0.81818181818181812</v>
      </c>
      <c r="AI68" s="72">
        <v>0.09</v>
      </c>
      <c r="AJ68" s="72">
        <v>0.06</v>
      </c>
      <c r="AK68" s="72">
        <f t="shared" ref="AK68" si="71">AI68/AJ68</f>
        <v>1.5</v>
      </c>
      <c r="AL68" s="72">
        <f t="shared" ref="AL68:AL104" si="72">AI68/AE68</f>
        <v>1</v>
      </c>
      <c r="AM68" s="72">
        <f t="shared" ref="AM68:AM100" si="73">AI68/N68</f>
        <v>0.81818181818181812</v>
      </c>
      <c r="AN68" s="72">
        <f t="shared" ref="AN68:AN100" si="74">AI68/K68</f>
        <v>0.10465116279069767</v>
      </c>
      <c r="AO68" s="72">
        <f t="shared" ref="AO68" si="75">AI68/AP68</f>
        <v>0.52941176470588225</v>
      </c>
      <c r="AP68" s="72">
        <v>0.17</v>
      </c>
      <c r="AQ68" s="72">
        <v>0.1</v>
      </c>
      <c r="AR68" s="72">
        <f t="shared" si="69"/>
        <v>0.10828025477707007</v>
      </c>
      <c r="AS68" s="72">
        <f t="shared" si="70"/>
        <v>1.7</v>
      </c>
      <c r="AT68" s="72">
        <f t="shared" si="58"/>
        <v>0.19767441860465118</v>
      </c>
      <c r="AU68" s="73" t="s">
        <v>75</v>
      </c>
      <c r="AV68" s="73" t="s">
        <v>75</v>
      </c>
      <c r="AW68" s="73" t="s">
        <v>75</v>
      </c>
      <c r="AX68" s="110" t="s">
        <v>75</v>
      </c>
      <c r="AY68" s="224" t="s">
        <v>75</v>
      </c>
      <c r="AZ68" s="225" t="s">
        <v>75</v>
      </c>
      <c r="BA68" s="71"/>
      <c r="BB68" s="71"/>
      <c r="BC68" s="226"/>
    </row>
    <row r="69" spans="2:55" ht="12.75" customHeight="1" x14ac:dyDescent="0.2">
      <c r="B69" s="86">
        <v>23970</v>
      </c>
      <c r="C69" s="76" t="s">
        <v>261</v>
      </c>
      <c r="D69" s="77" t="s">
        <v>254</v>
      </c>
      <c r="E69" s="77" t="s">
        <v>206</v>
      </c>
      <c r="F69" s="78">
        <v>1.59</v>
      </c>
      <c r="G69" s="80">
        <f t="shared" si="61"/>
        <v>4.0760000000000005</v>
      </c>
      <c r="H69" s="80">
        <f t="shared" si="62"/>
        <v>2.5635220125786167</v>
      </c>
      <c r="I69" s="78">
        <v>0.09</v>
      </c>
      <c r="J69" s="78">
        <v>0.05</v>
      </c>
      <c r="K69" s="78">
        <v>0.9</v>
      </c>
      <c r="L69" s="78">
        <v>0.62</v>
      </c>
      <c r="M69" s="78">
        <v>0.71</v>
      </c>
      <c r="N69" s="78">
        <v>0.12</v>
      </c>
      <c r="O69" s="78">
        <f>0.65+0.936</f>
        <v>1.5860000000000001</v>
      </c>
      <c r="P69" s="78">
        <f>N:N+O:O</f>
        <v>1.706</v>
      </c>
      <c r="Q69" s="80">
        <f t="shared" si="63"/>
        <v>1.8955555555555554</v>
      </c>
      <c r="R69" s="80">
        <f t="shared" si="64"/>
        <v>0.78888888888888886</v>
      </c>
      <c r="S69" s="80">
        <f t="shared" si="65"/>
        <v>0.68888888888888888</v>
      </c>
      <c r="T69" s="80">
        <f t="shared" si="66"/>
        <v>13.216666666666669</v>
      </c>
      <c r="U69" s="78">
        <v>0.28999999999999998</v>
      </c>
      <c r="V69" s="78">
        <f t="shared" ref="V69:V97" si="76">G69/U69</f>
        <v>14.055172413793105</v>
      </c>
      <c r="W69" s="78">
        <v>0.62</v>
      </c>
      <c r="X69" s="78">
        <v>0.1</v>
      </c>
      <c r="Y69" s="78">
        <f t="shared" ref="Y69:Y79" si="77">W:W/X:X</f>
        <v>6.1999999999999993</v>
      </c>
      <c r="Z69" s="78">
        <v>0.38</v>
      </c>
      <c r="AA69" s="78">
        <v>0.54</v>
      </c>
      <c r="AB69" s="78">
        <f t="shared" si="55"/>
        <v>0.33962264150943394</v>
      </c>
      <c r="AC69" s="78">
        <v>1.1000000000000001</v>
      </c>
      <c r="AD69" s="78">
        <f>AC69/F69</f>
        <v>0.69182389937106925</v>
      </c>
      <c r="AE69" s="78">
        <v>0.1</v>
      </c>
      <c r="AF69" s="78">
        <f>AE:AE/K:K</f>
        <v>0.11111111111111112</v>
      </c>
      <c r="AG69" s="78">
        <f>AE:AE/P:P</f>
        <v>5.8616647127784298E-2</v>
      </c>
      <c r="AH69" s="78">
        <f>AE:AE/N:N</f>
        <v>0.83333333333333337</v>
      </c>
      <c r="AI69" s="78">
        <v>0.1</v>
      </c>
      <c r="AJ69" s="78">
        <v>0.06</v>
      </c>
      <c r="AK69" s="78">
        <f t="shared" si="67"/>
        <v>1.6666666666666667</v>
      </c>
      <c r="AL69" s="78">
        <f t="shared" si="72"/>
        <v>1</v>
      </c>
      <c r="AM69" s="78">
        <f t="shared" si="73"/>
        <v>0.83333333333333337</v>
      </c>
      <c r="AN69" s="78">
        <f t="shared" si="74"/>
        <v>0.11111111111111112</v>
      </c>
      <c r="AO69" s="78">
        <f t="shared" si="68"/>
        <v>0.52631578947368418</v>
      </c>
      <c r="AP69" s="78">
        <v>0.19</v>
      </c>
      <c r="AQ69" s="78">
        <v>0.1</v>
      </c>
      <c r="AR69" s="78">
        <f t="shared" si="69"/>
        <v>0.11949685534591195</v>
      </c>
      <c r="AS69" s="78">
        <f t="shared" si="70"/>
        <v>1.9</v>
      </c>
      <c r="AT69" s="78">
        <f t="shared" si="58"/>
        <v>0.21111111111111111</v>
      </c>
      <c r="AU69" s="78">
        <v>0.09</v>
      </c>
      <c r="AV69" s="78">
        <v>0.12</v>
      </c>
      <c r="AW69" s="78">
        <f>AU69/AV69</f>
        <v>0.75</v>
      </c>
      <c r="AX69" s="80">
        <f>AP69/AU69</f>
        <v>2.1111111111111112</v>
      </c>
      <c r="AY69" s="215" t="s">
        <v>75</v>
      </c>
      <c r="AZ69" s="87">
        <v>14</v>
      </c>
      <c r="BA69" s="77"/>
      <c r="BB69" s="77"/>
      <c r="BC69" s="217"/>
    </row>
    <row r="70" spans="2:55" ht="12.75" customHeight="1" x14ac:dyDescent="0.2">
      <c r="B70" s="75"/>
      <c r="C70" s="77"/>
      <c r="D70" s="77"/>
      <c r="E70" s="77"/>
      <c r="F70" s="78">
        <v>1.59</v>
      </c>
      <c r="G70" s="114" t="s">
        <v>75</v>
      </c>
      <c r="H70" s="114" t="s">
        <v>75</v>
      </c>
      <c r="I70" s="78">
        <v>0.09</v>
      </c>
      <c r="J70" s="78">
        <v>0.05</v>
      </c>
      <c r="K70" s="78">
        <v>0.91</v>
      </c>
      <c r="L70" s="78">
        <v>0.65</v>
      </c>
      <c r="M70" s="78">
        <v>0.68</v>
      </c>
      <c r="N70" s="78">
        <v>0.13</v>
      </c>
      <c r="O70" s="79" t="s">
        <v>75</v>
      </c>
      <c r="P70" s="79" t="s">
        <v>75</v>
      </c>
      <c r="Q70" s="114" t="s">
        <v>75</v>
      </c>
      <c r="R70" s="80">
        <f t="shared" si="64"/>
        <v>0.74725274725274726</v>
      </c>
      <c r="S70" s="80">
        <f t="shared" si="65"/>
        <v>0.7142857142857143</v>
      </c>
      <c r="T70" s="114" t="s">
        <v>75</v>
      </c>
      <c r="U70" s="78">
        <v>0.28999999999999998</v>
      </c>
      <c r="V70" s="79" t="s">
        <v>75</v>
      </c>
      <c r="W70" s="78">
        <v>0.61</v>
      </c>
      <c r="X70" s="78">
        <v>0.08</v>
      </c>
      <c r="Y70" s="78">
        <f t="shared" si="77"/>
        <v>7.625</v>
      </c>
      <c r="Z70" s="78">
        <v>0.39</v>
      </c>
      <c r="AA70" s="78">
        <v>0.52</v>
      </c>
      <c r="AB70" s="78">
        <f t="shared" si="55"/>
        <v>0.32704402515723269</v>
      </c>
      <c r="AC70" s="79" t="s">
        <v>75</v>
      </c>
      <c r="AD70" s="79" t="s">
        <v>75</v>
      </c>
      <c r="AE70" s="79" t="s">
        <v>75</v>
      </c>
      <c r="AF70" s="79" t="s">
        <v>75</v>
      </c>
      <c r="AG70" s="79" t="s">
        <v>75</v>
      </c>
      <c r="AH70" s="79" t="s">
        <v>75</v>
      </c>
      <c r="AI70" s="78">
        <v>0.1</v>
      </c>
      <c r="AJ70" s="78">
        <v>0.06</v>
      </c>
      <c r="AK70" s="78">
        <f t="shared" ref="AK70" si="78">AI70/AJ70</f>
        <v>1.6666666666666667</v>
      </c>
      <c r="AL70" s="79" t="s">
        <v>75</v>
      </c>
      <c r="AM70" s="78">
        <f t="shared" si="73"/>
        <v>0.76923076923076927</v>
      </c>
      <c r="AN70" s="78">
        <f t="shared" si="74"/>
        <v>0.10989010989010989</v>
      </c>
      <c r="AO70" s="78">
        <f t="shared" ref="AO70" si="79">AI70/AP70</f>
        <v>0.52631578947368418</v>
      </c>
      <c r="AP70" s="78">
        <v>0.19</v>
      </c>
      <c r="AQ70" s="78">
        <v>0.12</v>
      </c>
      <c r="AR70" s="78">
        <f t="shared" si="69"/>
        <v>0.11949685534591195</v>
      </c>
      <c r="AS70" s="78">
        <f t="shared" si="70"/>
        <v>1.5833333333333335</v>
      </c>
      <c r="AT70" s="78">
        <f t="shared" si="58"/>
        <v>0.2087912087912088</v>
      </c>
      <c r="AU70" s="78">
        <v>0.09</v>
      </c>
      <c r="AV70" s="78">
        <v>0.12</v>
      </c>
      <c r="AW70" s="78">
        <f>AU70/AV70</f>
        <v>0.75</v>
      </c>
      <c r="AX70" s="80">
        <f>AP70/AU70</f>
        <v>2.1111111111111112</v>
      </c>
      <c r="AY70" s="215" t="s">
        <v>75</v>
      </c>
      <c r="AZ70" s="87">
        <v>15</v>
      </c>
      <c r="BA70" s="77"/>
      <c r="BB70" s="77"/>
      <c r="BC70" s="217"/>
    </row>
    <row r="71" spans="2:55" ht="12.75" customHeight="1" x14ac:dyDescent="0.2">
      <c r="B71" s="83">
        <v>23970</v>
      </c>
      <c r="C71" s="70" t="s">
        <v>261</v>
      </c>
      <c r="D71" s="71" t="s">
        <v>254</v>
      </c>
      <c r="E71" s="71" t="s">
        <v>206</v>
      </c>
      <c r="F71" s="72">
        <v>1.6</v>
      </c>
      <c r="G71" s="110" t="s">
        <v>75</v>
      </c>
      <c r="H71" s="110" t="s">
        <v>75</v>
      </c>
      <c r="I71" s="72">
        <v>0.1</v>
      </c>
      <c r="J71" s="72">
        <v>0.05</v>
      </c>
      <c r="K71" s="72">
        <v>0.88</v>
      </c>
      <c r="L71" s="72">
        <v>0.64</v>
      </c>
      <c r="M71" s="72">
        <v>0.73</v>
      </c>
      <c r="N71" s="72">
        <v>0.12</v>
      </c>
      <c r="O71" s="73" t="s">
        <v>75</v>
      </c>
      <c r="P71" s="73" t="s">
        <v>75</v>
      </c>
      <c r="Q71" s="110" t="s">
        <v>75</v>
      </c>
      <c r="R71" s="82">
        <f t="shared" si="64"/>
        <v>0.82954545454545447</v>
      </c>
      <c r="S71" s="82">
        <f t="shared" si="65"/>
        <v>0.72727272727272729</v>
      </c>
      <c r="T71" s="110" t="s">
        <v>75</v>
      </c>
      <c r="U71" s="72">
        <v>0.27</v>
      </c>
      <c r="V71" s="73" t="s">
        <v>75</v>
      </c>
      <c r="W71" s="72">
        <v>0.56999999999999995</v>
      </c>
      <c r="X71" s="72">
        <v>0.09</v>
      </c>
      <c r="Y71" s="72">
        <f t="shared" si="77"/>
        <v>6.333333333333333</v>
      </c>
      <c r="Z71" s="72">
        <v>0.39</v>
      </c>
      <c r="AA71" s="72">
        <v>0.52</v>
      </c>
      <c r="AB71" s="72">
        <f t="shared" si="55"/>
        <v>0.32500000000000001</v>
      </c>
      <c r="AC71" s="72">
        <v>1.1000000000000001</v>
      </c>
      <c r="AD71" s="72">
        <f t="shared" ref="AD71:AD77" si="80">AC71/F71</f>
        <v>0.6875</v>
      </c>
      <c r="AE71" s="72">
        <v>0.09</v>
      </c>
      <c r="AF71" s="72">
        <f>AE:AE/K:K</f>
        <v>0.10227272727272727</v>
      </c>
      <c r="AG71" s="73" t="s">
        <v>75</v>
      </c>
      <c r="AH71" s="72">
        <f>AE:AE/N:N</f>
        <v>0.75</v>
      </c>
      <c r="AI71" s="72">
        <v>0.09</v>
      </c>
      <c r="AJ71" s="72">
        <v>0.06</v>
      </c>
      <c r="AK71" s="72">
        <f t="shared" si="67"/>
        <v>1.5</v>
      </c>
      <c r="AL71" s="72">
        <f t="shared" si="72"/>
        <v>1</v>
      </c>
      <c r="AM71" s="72">
        <f t="shared" si="73"/>
        <v>0.75</v>
      </c>
      <c r="AN71" s="72">
        <f t="shared" si="74"/>
        <v>0.10227272727272727</v>
      </c>
      <c r="AO71" s="72">
        <f t="shared" si="68"/>
        <v>0.47368421052631576</v>
      </c>
      <c r="AP71" s="72">
        <v>0.19</v>
      </c>
      <c r="AQ71" s="72">
        <v>0.1</v>
      </c>
      <c r="AR71" s="72">
        <f t="shared" si="69"/>
        <v>0.11874999999999999</v>
      </c>
      <c r="AS71" s="72">
        <f t="shared" si="70"/>
        <v>1.9</v>
      </c>
      <c r="AT71" s="72">
        <f t="shared" si="58"/>
        <v>0.21590909090909091</v>
      </c>
      <c r="AU71" s="72">
        <v>0.1</v>
      </c>
      <c r="AV71" s="72">
        <v>0.1</v>
      </c>
      <c r="AW71" s="72">
        <f>AU71/AV71</f>
        <v>1</v>
      </c>
      <c r="AX71" s="82">
        <f>AP71/AU71</f>
        <v>1.9</v>
      </c>
      <c r="AY71" s="224" t="s">
        <v>75</v>
      </c>
      <c r="AZ71" s="84">
        <v>15</v>
      </c>
      <c r="BA71" s="71"/>
      <c r="BB71" s="71"/>
      <c r="BC71" s="226"/>
    </row>
    <row r="72" spans="2:55" ht="12.75" customHeight="1" x14ac:dyDescent="0.2">
      <c r="B72" s="69"/>
      <c r="C72" s="71"/>
      <c r="D72" s="71"/>
      <c r="E72" s="71"/>
      <c r="F72" s="72">
        <v>1.6</v>
      </c>
      <c r="G72" s="82">
        <f t="shared" si="61"/>
        <v>4.2080000000000002</v>
      </c>
      <c r="H72" s="82">
        <f t="shared" si="62"/>
        <v>2.63</v>
      </c>
      <c r="I72" s="72">
        <v>0.11</v>
      </c>
      <c r="J72" s="72">
        <v>0.05</v>
      </c>
      <c r="K72" s="72">
        <v>0.89</v>
      </c>
      <c r="L72" s="72">
        <v>0.66</v>
      </c>
      <c r="M72" s="72">
        <v>0.7</v>
      </c>
      <c r="N72" s="72">
        <v>0.13</v>
      </c>
      <c r="O72" s="72">
        <f>0.869+0.266+0.126+0.157+0.12+0.13</f>
        <v>1.6680000000000001</v>
      </c>
      <c r="P72" s="72">
        <f>N:N+O:O</f>
        <v>1.798</v>
      </c>
      <c r="Q72" s="82">
        <f t="shared" si="63"/>
        <v>2.0202247191011238</v>
      </c>
      <c r="R72" s="82">
        <f t="shared" si="64"/>
        <v>0.78651685393258419</v>
      </c>
      <c r="S72" s="82">
        <f t="shared" si="65"/>
        <v>0.7415730337078652</v>
      </c>
      <c r="T72" s="82">
        <f t="shared" si="66"/>
        <v>12.830769230769231</v>
      </c>
      <c r="U72" s="72">
        <v>0.27</v>
      </c>
      <c r="V72" s="72">
        <f t="shared" si="76"/>
        <v>15.585185185185185</v>
      </c>
      <c r="W72" s="72">
        <v>0.56000000000000005</v>
      </c>
      <c r="X72" s="72">
        <v>0.08</v>
      </c>
      <c r="Y72" s="72">
        <f t="shared" si="77"/>
        <v>7.0000000000000009</v>
      </c>
      <c r="Z72" s="72">
        <v>0.39</v>
      </c>
      <c r="AA72" s="72">
        <v>0.51</v>
      </c>
      <c r="AB72" s="72">
        <f t="shared" si="55"/>
        <v>0.31874999999999998</v>
      </c>
      <c r="AC72" s="72">
        <v>1.1000000000000001</v>
      </c>
      <c r="AD72" s="72">
        <f t="shared" si="80"/>
        <v>0.6875</v>
      </c>
      <c r="AE72" s="72">
        <v>0.09</v>
      </c>
      <c r="AF72" s="72">
        <f>AE:AE/K:K</f>
        <v>0.10112359550561797</v>
      </c>
      <c r="AG72" s="72">
        <f>AE:AE/P:P</f>
        <v>5.0055617352614011E-2</v>
      </c>
      <c r="AH72" s="72">
        <f>AE:AE/N:N</f>
        <v>0.69230769230769229</v>
      </c>
      <c r="AI72" s="72">
        <v>0.09</v>
      </c>
      <c r="AJ72" s="72">
        <v>0.06</v>
      </c>
      <c r="AK72" s="72">
        <f t="shared" ref="AK72" si="81">AI72/AJ72</f>
        <v>1.5</v>
      </c>
      <c r="AL72" s="72">
        <f t="shared" si="72"/>
        <v>1</v>
      </c>
      <c r="AM72" s="72">
        <f t="shared" si="73"/>
        <v>0.69230769230769229</v>
      </c>
      <c r="AN72" s="72">
        <f t="shared" si="74"/>
        <v>0.10112359550561797</v>
      </c>
      <c r="AO72" s="72">
        <f t="shared" ref="AO72" si="82">AI72/AP72</f>
        <v>0.47368421052631576</v>
      </c>
      <c r="AP72" s="72">
        <v>0.19</v>
      </c>
      <c r="AQ72" s="72">
        <v>0.09</v>
      </c>
      <c r="AR72" s="72">
        <f t="shared" si="69"/>
        <v>0.11874999999999999</v>
      </c>
      <c r="AS72" s="72">
        <f t="shared" si="70"/>
        <v>2.1111111111111112</v>
      </c>
      <c r="AT72" s="72">
        <f t="shared" si="58"/>
        <v>0.21348314606741572</v>
      </c>
      <c r="AU72" s="72">
        <v>0.1</v>
      </c>
      <c r="AV72" s="72">
        <v>0.1</v>
      </c>
      <c r="AW72" s="72">
        <f>AU72/AV72</f>
        <v>1</v>
      </c>
      <c r="AX72" s="82">
        <f>AP72/AU72</f>
        <v>1.9</v>
      </c>
      <c r="AY72" s="224" t="s">
        <v>75</v>
      </c>
      <c r="AZ72" s="225" t="s">
        <v>75</v>
      </c>
      <c r="BA72" s="71"/>
      <c r="BB72" s="71"/>
      <c r="BC72" s="226"/>
    </row>
    <row r="73" spans="2:55" ht="12.75" customHeight="1" x14ac:dyDescent="0.2">
      <c r="B73" s="86">
        <v>21720</v>
      </c>
      <c r="C73" s="76" t="s">
        <v>261</v>
      </c>
      <c r="D73" s="77" t="s">
        <v>255</v>
      </c>
      <c r="E73" s="77" t="s">
        <v>177</v>
      </c>
      <c r="F73" s="78">
        <v>1.69</v>
      </c>
      <c r="G73" s="80">
        <f t="shared" si="61"/>
        <v>4.71</v>
      </c>
      <c r="H73" s="80">
        <f t="shared" si="62"/>
        <v>2.7869822485207103</v>
      </c>
      <c r="I73" s="78">
        <v>1.1000000000000001</v>
      </c>
      <c r="J73" s="78">
        <v>0.05</v>
      </c>
      <c r="K73" s="78">
        <v>0.85</v>
      </c>
      <c r="L73" s="78">
        <v>0.62</v>
      </c>
      <c r="M73" s="78">
        <v>0.64</v>
      </c>
      <c r="N73" s="78">
        <v>0.15</v>
      </c>
      <c r="O73" s="78">
        <v>1.3</v>
      </c>
      <c r="P73" s="78">
        <f>N:N+O:O</f>
        <v>1.45</v>
      </c>
      <c r="Q73" s="80">
        <f t="shared" si="63"/>
        <v>1.7058823529411764</v>
      </c>
      <c r="R73" s="80">
        <f t="shared" si="64"/>
        <v>0.75294117647058822</v>
      </c>
      <c r="S73" s="80">
        <f t="shared" si="65"/>
        <v>0.72941176470588232</v>
      </c>
      <c r="T73" s="80">
        <f t="shared" si="66"/>
        <v>8.6666666666666679</v>
      </c>
      <c r="U73" s="78">
        <v>0.28000000000000003</v>
      </c>
      <c r="V73" s="78">
        <f t="shared" si="76"/>
        <v>16.821428571428569</v>
      </c>
      <c r="W73" s="78">
        <v>0.56999999999999995</v>
      </c>
      <c r="X73" s="78">
        <v>0.11</v>
      </c>
      <c r="Y73" s="78">
        <f t="shared" si="77"/>
        <v>5.1818181818181817</v>
      </c>
      <c r="Z73" s="78">
        <v>0.36</v>
      </c>
      <c r="AA73" s="78">
        <v>0.49</v>
      </c>
      <c r="AB73" s="78">
        <f t="shared" si="55"/>
        <v>0.28994082840236685</v>
      </c>
      <c r="AC73" s="78">
        <v>1.1000000000000001</v>
      </c>
      <c r="AD73" s="78">
        <f t="shared" si="80"/>
        <v>0.65088757396449715</v>
      </c>
      <c r="AE73" s="78">
        <v>0.09</v>
      </c>
      <c r="AF73" s="78">
        <f>AE:AE/K:K</f>
        <v>0.10588235294117647</v>
      </c>
      <c r="AG73" s="78">
        <f>AE:AE/P:P</f>
        <v>6.2068965517241378E-2</v>
      </c>
      <c r="AH73" s="78">
        <f>AE:AE/N:N</f>
        <v>0.6</v>
      </c>
      <c r="AI73" s="78">
        <v>0.1</v>
      </c>
      <c r="AJ73" s="78">
        <v>7.0000000000000007E-2</v>
      </c>
      <c r="AK73" s="78">
        <f t="shared" si="67"/>
        <v>1.4285714285714286</v>
      </c>
      <c r="AL73" s="78">
        <f t="shared" si="72"/>
        <v>1.1111111111111112</v>
      </c>
      <c r="AM73" s="78">
        <f t="shared" si="73"/>
        <v>0.66666666666666674</v>
      </c>
      <c r="AN73" s="78">
        <f t="shared" si="74"/>
        <v>0.11764705882352942</v>
      </c>
      <c r="AO73" s="78">
        <f t="shared" si="68"/>
        <v>0.55555555555555558</v>
      </c>
      <c r="AP73" s="78">
        <v>0.18</v>
      </c>
      <c r="AQ73" s="78">
        <v>0.16</v>
      </c>
      <c r="AR73" s="78">
        <f t="shared" si="69"/>
        <v>0.10650887573964497</v>
      </c>
      <c r="AS73" s="78">
        <f t="shared" si="70"/>
        <v>1.125</v>
      </c>
      <c r="AT73" s="78">
        <f t="shared" si="58"/>
        <v>0.21176470588235294</v>
      </c>
      <c r="AU73" s="79" t="s">
        <v>75</v>
      </c>
      <c r="AV73" s="79" t="s">
        <v>75</v>
      </c>
      <c r="AW73" s="79" t="s">
        <v>75</v>
      </c>
      <c r="AX73" s="114" t="s">
        <v>75</v>
      </c>
      <c r="AY73" s="215" t="s">
        <v>75</v>
      </c>
      <c r="AZ73" s="87">
        <v>15</v>
      </c>
      <c r="BA73" s="77"/>
      <c r="BB73" s="77"/>
      <c r="BC73" s="217"/>
    </row>
    <row r="74" spans="2:55" ht="12.75" customHeight="1" x14ac:dyDescent="0.2">
      <c r="B74" s="75"/>
      <c r="C74" s="77"/>
      <c r="D74" s="77"/>
      <c r="E74" s="77"/>
      <c r="F74" s="78">
        <v>1.69</v>
      </c>
      <c r="G74" s="80">
        <f t="shared" si="61"/>
        <v>5.16</v>
      </c>
      <c r="H74" s="80">
        <f t="shared" si="62"/>
        <v>3.0532544378698225</v>
      </c>
      <c r="I74" s="78">
        <v>1.1000000000000001</v>
      </c>
      <c r="J74" s="78">
        <v>0.04</v>
      </c>
      <c r="K74" s="78">
        <v>0.87</v>
      </c>
      <c r="L74" s="78">
        <v>0.61</v>
      </c>
      <c r="M74" s="78">
        <v>0.65</v>
      </c>
      <c r="N74" s="78">
        <v>0.14000000000000001</v>
      </c>
      <c r="O74" s="78">
        <v>1.75</v>
      </c>
      <c r="P74" s="78">
        <f>N:N+O:O</f>
        <v>1.8900000000000001</v>
      </c>
      <c r="Q74" s="80">
        <f t="shared" si="63"/>
        <v>2.1724137931034484</v>
      </c>
      <c r="R74" s="80">
        <f t="shared" si="64"/>
        <v>0.74712643678160917</v>
      </c>
      <c r="S74" s="80">
        <f t="shared" si="65"/>
        <v>0.70114942528735635</v>
      </c>
      <c r="T74" s="80">
        <f t="shared" si="66"/>
        <v>12.499999999999998</v>
      </c>
      <c r="U74" s="78">
        <v>0.28000000000000003</v>
      </c>
      <c r="V74" s="78">
        <f t="shared" si="76"/>
        <v>18.428571428571427</v>
      </c>
      <c r="W74" s="78">
        <v>0.54</v>
      </c>
      <c r="X74" s="78">
        <v>0.1</v>
      </c>
      <c r="Y74" s="78">
        <f t="shared" si="77"/>
        <v>5.4</v>
      </c>
      <c r="Z74" s="78">
        <v>0.37</v>
      </c>
      <c r="AA74" s="78">
        <v>0.51</v>
      </c>
      <c r="AB74" s="78">
        <f t="shared" si="55"/>
        <v>0.30177514792899413</v>
      </c>
      <c r="AC74" s="78">
        <v>1.1000000000000001</v>
      </c>
      <c r="AD74" s="78">
        <f t="shared" si="80"/>
        <v>0.65088757396449715</v>
      </c>
      <c r="AE74" s="78">
        <v>0.1</v>
      </c>
      <c r="AF74" s="78">
        <f>AE:AE/K:K</f>
        <v>0.1149425287356322</v>
      </c>
      <c r="AG74" s="78">
        <f>AE:AE/P:P</f>
        <v>5.2910052910052907E-2</v>
      </c>
      <c r="AH74" s="78">
        <f>AE:AE/N:N</f>
        <v>0.7142857142857143</v>
      </c>
      <c r="AI74" s="78">
        <v>0.1</v>
      </c>
      <c r="AJ74" s="78">
        <v>7.0000000000000007E-2</v>
      </c>
      <c r="AK74" s="78">
        <f t="shared" ref="AK74" si="83">AI74/AJ74</f>
        <v>1.4285714285714286</v>
      </c>
      <c r="AL74" s="78">
        <f t="shared" si="72"/>
        <v>1</v>
      </c>
      <c r="AM74" s="78">
        <f t="shared" si="73"/>
        <v>0.7142857142857143</v>
      </c>
      <c r="AN74" s="78">
        <f t="shared" si="74"/>
        <v>0.1149425287356322</v>
      </c>
      <c r="AO74" s="78">
        <f t="shared" ref="AO74" si="84">AI74/AP74</f>
        <v>0.5</v>
      </c>
      <c r="AP74" s="78">
        <v>0.2</v>
      </c>
      <c r="AQ74" s="78">
        <v>0.13</v>
      </c>
      <c r="AR74" s="78">
        <f t="shared" si="69"/>
        <v>0.1183431952662722</v>
      </c>
      <c r="AS74" s="78">
        <f t="shared" si="70"/>
        <v>1.5384615384615385</v>
      </c>
      <c r="AT74" s="78">
        <f t="shared" si="58"/>
        <v>0.22988505747126439</v>
      </c>
      <c r="AU74" s="79" t="s">
        <v>75</v>
      </c>
      <c r="AV74" s="79" t="s">
        <v>75</v>
      </c>
      <c r="AW74" s="79" t="s">
        <v>75</v>
      </c>
      <c r="AX74" s="114" t="s">
        <v>75</v>
      </c>
      <c r="AY74" s="215" t="s">
        <v>75</v>
      </c>
      <c r="AZ74" s="87">
        <v>16</v>
      </c>
      <c r="BA74" s="77"/>
      <c r="BB74" s="77"/>
      <c r="BC74" s="217"/>
    </row>
    <row r="75" spans="2:55" ht="12.75" customHeight="1" x14ac:dyDescent="0.2">
      <c r="B75" s="83">
        <v>21720</v>
      </c>
      <c r="C75" s="70" t="s">
        <v>261</v>
      </c>
      <c r="D75" s="71" t="s">
        <v>255</v>
      </c>
      <c r="E75" s="71" t="s">
        <v>177</v>
      </c>
      <c r="F75" s="72">
        <v>1.88</v>
      </c>
      <c r="G75" s="110" t="s">
        <v>75</v>
      </c>
      <c r="H75" s="110" t="s">
        <v>75</v>
      </c>
      <c r="I75" s="72">
        <v>0.1</v>
      </c>
      <c r="J75" s="72">
        <v>0.05</v>
      </c>
      <c r="K75" s="73" t="s">
        <v>75</v>
      </c>
      <c r="L75" s="73" t="s">
        <v>75</v>
      </c>
      <c r="M75" s="73" t="s">
        <v>75</v>
      </c>
      <c r="N75" s="73" t="s">
        <v>75</v>
      </c>
      <c r="O75" s="73" t="s">
        <v>75</v>
      </c>
      <c r="P75" s="73" t="s">
        <v>75</v>
      </c>
      <c r="Q75" s="110" t="s">
        <v>75</v>
      </c>
      <c r="R75" s="110" t="s">
        <v>75</v>
      </c>
      <c r="S75" s="110" t="s">
        <v>75</v>
      </c>
      <c r="T75" s="110" t="s">
        <v>75</v>
      </c>
      <c r="U75" s="73" t="s">
        <v>75</v>
      </c>
      <c r="V75" s="73" t="s">
        <v>75</v>
      </c>
      <c r="W75" s="72">
        <v>0.64</v>
      </c>
      <c r="X75" s="72">
        <v>0.1</v>
      </c>
      <c r="Y75" s="72">
        <f t="shared" si="77"/>
        <v>6.3999999999999995</v>
      </c>
      <c r="Z75" s="72">
        <v>0.38</v>
      </c>
      <c r="AA75" s="72">
        <v>0.52</v>
      </c>
      <c r="AB75" s="72">
        <f t="shared" si="55"/>
        <v>0.27659574468085107</v>
      </c>
      <c r="AC75" s="72">
        <v>1.1000000000000001</v>
      </c>
      <c r="AD75" s="72">
        <f t="shared" si="80"/>
        <v>0.58510638297872353</v>
      </c>
      <c r="AE75" s="72">
        <v>0.09</v>
      </c>
      <c r="AF75" s="73" t="s">
        <v>75</v>
      </c>
      <c r="AG75" s="73" t="s">
        <v>75</v>
      </c>
      <c r="AH75" s="73" t="s">
        <v>75</v>
      </c>
      <c r="AI75" s="72">
        <v>0.1</v>
      </c>
      <c r="AJ75" s="72">
        <v>0.06</v>
      </c>
      <c r="AK75" s="72">
        <f t="shared" si="67"/>
        <v>1.6666666666666667</v>
      </c>
      <c r="AL75" s="72">
        <f t="shared" si="72"/>
        <v>1.1111111111111112</v>
      </c>
      <c r="AM75" s="73" t="s">
        <v>75</v>
      </c>
      <c r="AN75" s="73" t="s">
        <v>75</v>
      </c>
      <c r="AO75" s="72">
        <f t="shared" si="68"/>
        <v>0.58823529411764708</v>
      </c>
      <c r="AP75" s="72">
        <v>0.17</v>
      </c>
      <c r="AQ75" s="72">
        <v>0.13</v>
      </c>
      <c r="AR75" s="72">
        <f t="shared" si="69"/>
        <v>9.0425531914893623E-2</v>
      </c>
      <c r="AS75" s="72">
        <f t="shared" si="70"/>
        <v>1.3076923076923077</v>
      </c>
      <c r="AT75" s="73" t="s">
        <v>75</v>
      </c>
      <c r="AU75" s="72">
        <v>0.08</v>
      </c>
      <c r="AV75" s="72">
        <v>0.09</v>
      </c>
      <c r="AW75" s="72">
        <f>AU75/AV75</f>
        <v>0.88888888888888895</v>
      </c>
      <c r="AX75" s="82">
        <f>AP75/AU75</f>
        <v>2.125</v>
      </c>
      <c r="AY75" s="224" t="s">
        <v>75</v>
      </c>
      <c r="AZ75" s="225" t="s">
        <v>75</v>
      </c>
      <c r="BA75" s="71"/>
      <c r="BB75" s="71"/>
      <c r="BC75" s="226"/>
    </row>
    <row r="76" spans="2:55" ht="12.75" customHeight="1" x14ac:dyDescent="0.2">
      <c r="B76" s="69"/>
      <c r="C76" s="71"/>
      <c r="D76" s="71"/>
      <c r="E76" s="71"/>
      <c r="F76" s="72">
        <v>1.88</v>
      </c>
      <c r="G76" s="110" t="s">
        <v>75</v>
      </c>
      <c r="H76" s="110" t="s">
        <v>75</v>
      </c>
      <c r="I76" s="72">
        <v>0.1</v>
      </c>
      <c r="J76" s="72">
        <v>0.05</v>
      </c>
      <c r="K76" s="73" t="s">
        <v>75</v>
      </c>
      <c r="L76" s="73" t="s">
        <v>75</v>
      </c>
      <c r="M76" s="73" t="s">
        <v>75</v>
      </c>
      <c r="N76" s="73" t="s">
        <v>75</v>
      </c>
      <c r="O76" s="73" t="s">
        <v>75</v>
      </c>
      <c r="P76" s="73" t="s">
        <v>75</v>
      </c>
      <c r="Q76" s="110" t="s">
        <v>75</v>
      </c>
      <c r="R76" s="110" t="s">
        <v>75</v>
      </c>
      <c r="S76" s="110" t="s">
        <v>75</v>
      </c>
      <c r="T76" s="110" t="s">
        <v>75</v>
      </c>
      <c r="U76" s="73" t="s">
        <v>75</v>
      </c>
      <c r="V76" s="73" t="s">
        <v>75</v>
      </c>
      <c r="W76" s="72">
        <v>0.66</v>
      </c>
      <c r="X76" s="72">
        <v>0.1</v>
      </c>
      <c r="Y76" s="72">
        <f t="shared" si="77"/>
        <v>6.6</v>
      </c>
      <c r="Z76" s="73" t="s">
        <v>75</v>
      </c>
      <c r="AA76" s="72">
        <v>0.52</v>
      </c>
      <c r="AB76" s="72">
        <f t="shared" si="55"/>
        <v>0.27659574468085107</v>
      </c>
      <c r="AC76" s="72">
        <v>1.1000000000000001</v>
      </c>
      <c r="AD76" s="72">
        <f t="shared" si="80"/>
        <v>0.58510638297872353</v>
      </c>
      <c r="AE76" s="72">
        <v>0.09</v>
      </c>
      <c r="AF76" s="73" t="s">
        <v>75</v>
      </c>
      <c r="AG76" s="73" t="s">
        <v>75</v>
      </c>
      <c r="AH76" s="73" t="s">
        <v>75</v>
      </c>
      <c r="AI76" s="72">
        <v>0.1</v>
      </c>
      <c r="AJ76" s="72">
        <v>0.06</v>
      </c>
      <c r="AK76" s="72">
        <f t="shared" ref="AK76" si="85">AI76/AJ76</f>
        <v>1.6666666666666667</v>
      </c>
      <c r="AL76" s="72">
        <f t="shared" si="72"/>
        <v>1.1111111111111112</v>
      </c>
      <c r="AM76" s="73" t="s">
        <v>75</v>
      </c>
      <c r="AN76" s="73" t="s">
        <v>75</v>
      </c>
      <c r="AO76" s="72">
        <f t="shared" ref="AO76" si="86">AI76/AP76</f>
        <v>0.58823529411764708</v>
      </c>
      <c r="AP76" s="72">
        <v>0.17</v>
      </c>
      <c r="AQ76" s="72">
        <v>0.17</v>
      </c>
      <c r="AR76" s="72">
        <f t="shared" si="69"/>
        <v>9.0425531914893623E-2</v>
      </c>
      <c r="AS76" s="72">
        <f t="shared" si="70"/>
        <v>1</v>
      </c>
      <c r="AT76" s="73" t="s">
        <v>75</v>
      </c>
      <c r="AU76" s="72">
        <v>0.08</v>
      </c>
      <c r="AV76" s="72">
        <v>0.09</v>
      </c>
      <c r="AW76" s="72">
        <f>AU76/AV76</f>
        <v>0.88888888888888895</v>
      </c>
      <c r="AX76" s="82">
        <f>AP76/AU76</f>
        <v>2.125</v>
      </c>
      <c r="AY76" s="224" t="s">
        <v>75</v>
      </c>
      <c r="AZ76" s="225" t="s">
        <v>75</v>
      </c>
      <c r="BA76" s="71"/>
      <c r="BB76" s="71"/>
      <c r="BC76" s="226"/>
    </row>
    <row r="77" spans="2:55" ht="12.75" customHeight="1" x14ac:dyDescent="0.2">
      <c r="B77" s="86">
        <v>21720</v>
      </c>
      <c r="C77" s="76" t="s">
        <v>261</v>
      </c>
      <c r="D77" s="77" t="s">
        <v>255</v>
      </c>
      <c r="E77" s="77" t="s">
        <v>177</v>
      </c>
      <c r="F77" s="78">
        <v>1.59</v>
      </c>
      <c r="G77" s="80">
        <f t="shared" si="61"/>
        <v>4.26</v>
      </c>
      <c r="H77" s="80">
        <f t="shared" si="62"/>
        <v>2.6792452830188678</v>
      </c>
      <c r="I77" s="78">
        <v>0.1</v>
      </c>
      <c r="J77" s="78">
        <v>0.05</v>
      </c>
      <c r="K77" s="78">
        <v>0.91</v>
      </c>
      <c r="L77" s="78">
        <v>0.61</v>
      </c>
      <c r="M77" s="78">
        <v>0.66</v>
      </c>
      <c r="N77" s="78">
        <v>0.13</v>
      </c>
      <c r="O77" s="78">
        <v>1.8</v>
      </c>
      <c r="P77" s="78">
        <f>N:N+O:O</f>
        <v>1.9300000000000002</v>
      </c>
      <c r="Q77" s="80">
        <f t="shared" si="63"/>
        <v>2.1208791208791209</v>
      </c>
      <c r="R77" s="80">
        <f t="shared" si="64"/>
        <v>0.72527472527472525</v>
      </c>
      <c r="S77" s="80">
        <f t="shared" si="65"/>
        <v>0.67032967032967028</v>
      </c>
      <c r="T77" s="80">
        <f t="shared" si="66"/>
        <v>13.846153846153847</v>
      </c>
      <c r="U77" s="78">
        <v>0.3</v>
      </c>
      <c r="V77" s="78">
        <f t="shared" si="76"/>
        <v>14.2</v>
      </c>
      <c r="W77" s="78">
        <v>0.61</v>
      </c>
      <c r="X77" s="78">
        <v>0.1</v>
      </c>
      <c r="Y77" s="78">
        <f t="shared" si="77"/>
        <v>6.1</v>
      </c>
      <c r="Z77" s="78">
        <v>0.4</v>
      </c>
      <c r="AA77" s="78">
        <v>0.46</v>
      </c>
      <c r="AB77" s="78">
        <f t="shared" si="55"/>
        <v>0.28930817610062892</v>
      </c>
      <c r="AC77" s="78">
        <v>1.1000000000000001</v>
      </c>
      <c r="AD77" s="78">
        <f t="shared" si="80"/>
        <v>0.69182389937106925</v>
      </c>
      <c r="AE77" s="79" t="s">
        <v>75</v>
      </c>
      <c r="AF77" s="79" t="s">
        <v>75</v>
      </c>
      <c r="AG77" s="79" t="s">
        <v>75</v>
      </c>
      <c r="AH77" s="79" t="s">
        <v>75</v>
      </c>
      <c r="AI77" s="78">
        <v>0.09</v>
      </c>
      <c r="AJ77" s="78">
        <v>0.08</v>
      </c>
      <c r="AK77" s="78">
        <f t="shared" si="67"/>
        <v>1.125</v>
      </c>
      <c r="AL77" s="79" t="s">
        <v>75</v>
      </c>
      <c r="AM77" s="78">
        <f t="shared" si="73"/>
        <v>0.69230769230769229</v>
      </c>
      <c r="AN77" s="78">
        <f t="shared" si="74"/>
        <v>9.8901098901098897E-2</v>
      </c>
      <c r="AO77" s="78">
        <f t="shared" si="68"/>
        <v>0.6</v>
      </c>
      <c r="AP77" s="78">
        <v>0.15</v>
      </c>
      <c r="AQ77" s="78">
        <v>0.15</v>
      </c>
      <c r="AR77" s="78">
        <f t="shared" si="69"/>
        <v>9.4339622641509427E-2</v>
      </c>
      <c r="AS77" s="78">
        <f t="shared" si="70"/>
        <v>1</v>
      </c>
      <c r="AT77" s="79" t="s">
        <v>75</v>
      </c>
      <c r="AU77" s="79" t="s">
        <v>75</v>
      </c>
      <c r="AV77" s="79" t="s">
        <v>75</v>
      </c>
      <c r="AW77" s="79" t="s">
        <v>75</v>
      </c>
      <c r="AX77" s="114" t="s">
        <v>75</v>
      </c>
      <c r="AY77" s="215" t="s">
        <v>75</v>
      </c>
      <c r="AZ77" s="87">
        <v>16</v>
      </c>
      <c r="BA77" s="77"/>
      <c r="BB77" s="77"/>
      <c r="BC77" s="217"/>
    </row>
    <row r="78" spans="2:55" ht="12.75" customHeight="1" x14ac:dyDescent="0.2">
      <c r="B78" s="75"/>
      <c r="C78" s="77"/>
      <c r="D78" s="77"/>
      <c r="E78" s="77"/>
      <c r="F78" s="78">
        <v>1.59</v>
      </c>
      <c r="G78" s="80">
        <f t="shared" si="61"/>
        <v>3.56</v>
      </c>
      <c r="H78" s="80">
        <f t="shared" si="62"/>
        <v>2.2389937106918238</v>
      </c>
      <c r="I78" s="78">
        <v>0.1</v>
      </c>
      <c r="J78" s="78">
        <v>0.05</v>
      </c>
      <c r="K78" s="78">
        <v>0.93</v>
      </c>
      <c r="L78" s="78">
        <v>0.59</v>
      </c>
      <c r="M78" s="78">
        <v>0.66</v>
      </c>
      <c r="N78" s="78">
        <v>0.13</v>
      </c>
      <c r="O78" s="78">
        <v>1.1000000000000001</v>
      </c>
      <c r="P78" s="78">
        <f>N:N+O:O</f>
        <v>1.23</v>
      </c>
      <c r="Q78" s="80">
        <f t="shared" si="63"/>
        <v>1.3225806451612903</v>
      </c>
      <c r="R78" s="80">
        <f t="shared" si="64"/>
        <v>0.70967741935483875</v>
      </c>
      <c r="S78" s="80">
        <f t="shared" si="65"/>
        <v>0.63440860215053752</v>
      </c>
      <c r="T78" s="80">
        <f t="shared" si="66"/>
        <v>8.4615384615384617</v>
      </c>
      <c r="U78" s="78">
        <v>0.3</v>
      </c>
      <c r="V78" s="78">
        <f t="shared" si="76"/>
        <v>11.866666666666667</v>
      </c>
      <c r="W78" s="78">
        <v>0.6</v>
      </c>
      <c r="X78" s="78">
        <v>0.1</v>
      </c>
      <c r="Y78" s="78">
        <f t="shared" si="77"/>
        <v>5.9999999999999991</v>
      </c>
      <c r="Z78" s="79" t="s">
        <v>75</v>
      </c>
      <c r="AA78" s="79" t="s">
        <v>75</v>
      </c>
      <c r="AB78" s="79" t="s">
        <v>75</v>
      </c>
      <c r="AC78" s="79" t="s">
        <v>75</v>
      </c>
      <c r="AD78" s="79" t="s">
        <v>75</v>
      </c>
      <c r="AE78" s="79" t="s">
        <v>75</v>
      </c>
      <c r="AF78" s="79" t="s">
        <v>75</v>
      </c>
      <c r="AG78" s="79" t="s">
        <v>75</v>
      </c>
      <c r="AH78" s="79" t="s">
        <v>75</v>
      </c>
      <c r="AI78" s="78">
        <v>0.09</v>
      </c>
      <c r="AJ78" s="78">
        <v>0.08</v>
      </c>
      <c r="AK78" s="78">
        <f t="shared" ref="AK78" si="87">AI78/AJ78</f>
        <v>1.125</v>
      </c>
      <c r="AL78" s="79" t="s">
        <v>75</v>
      </c>
      <c r="AM78" s="78">
        <f t="shared" si="73"/>
        <v>0.69230769230769229</v>
      </c>
      <c r="AN78" s="78">
        <f t="shared" si="74"/>
        <v>9.6774193548387094E-2</v>
      </c>
      <c r="AO78" s="78">
        <f t="shared" ref="AO78" si="88">AI78/AP78</f>
        <v>0.52941176470588225</v>
      </c>
      <c r="AP78" s="78">
        <v>0.17</v>
      </c>
      <c r="AQ78" s="78">
        <v>0.15</v>
      </c>
      <c r="AR78" s="78">
        <f t="shared" si="69"/>
        <v>0.1069182389937107</v>
      </c>
      <c r="AS78" s="78">
        <f t="shared" si="70"/>
        <v>1.1333333333333335</v>
      </c>
      <c r="AT78" s="78">
        <f t="shared" ref="AT78:AT84" si="89">AP78/K78</f>
        <v>0.18279569892473119</v>
      </c>
      <c r="AU78" s="79" t="s">
        <v>75</v>
      </c>
      <c r="AV78" s="79" t="s">
        <v>75</v>
      </c>
      <c r="AW78" s="79" t="s">
        <v>75</v>
      </c>
      <c r="AX78" s="114" t="s">
        <v>75</v>
      </c>
      <c r="AY78" s="215" t="s">
        <v>75</v>
      </c>
      <c r="AZ78" s="87">
        <v>20</v>
      </c>
      <c r="BA78" s="77"/>
      <c r="BB78" s="77"/>
      <c r="BC78" s="217"/>
    </row>
    <row r="79" spans="2:55" ht="12.75" customHeight="1" x14ac:dyDescent="0.2">
      <c r="B79" s="83">
        <v>21720</v>
      </c>
      <c r="C79" s="70" t="s">
        <v>261</v>
      </c>
      <c r="D79" s="71" t="s">
        <v>256</v>
      </c>
      <c r="E79" s="71" t="s">
        <v>177</v>
      </c>
      <c r="F79" s="72">
        <v>1.77</v>
      </c>
      <c r="G79" s="82">
        <f t="shared" si="61"/>
        <v>4.1100000000000003</v>
      </c>
      <c r="H79" s="82">
        <f t="shared" si="62"/>
        <v>2.3220338983050848</v>
      </c>
      <c r="I79" s="72">
        <v>0.11</v>
      </c>
      <c r="J79" s="72">
        <v>0.05</v>
      </c>
      <c r="K79" s="72">
        <v>0.84</v>
      </c>
      <c r="L79" s="72">
        <v>0.59</v>
      </c>
      <c r="M79" s="72">
        <v>0.68</v>
      </c>
      <c r="N79" s="72">
        <v>0.12</v>
      </c>
      <c r="O79" s="72">
        <f>0.87+0.85</f>
        <v>1.72</v>
      </c>
      <c r="P79" s="72">
        <f>N:N+O:O</f>
        <v>1.8399999999999999</v>
      </c>
      <c r="Q79" s="82">
        <f t="shared" si="63"/>
        <v>2.1904761904761902</v>
      </c>
      <c r="R79" s="82">
        <f t="shared" si="64"/>
        <v>0.80952380952380965</v>
      </c>
      <c r="S79" s="82">
        <f t="shared" si="65"/>
        <v>0.70238095238095233</v>
      </c>
      <c r="T79" s="82">
        <f t="shared" si="66"/>
        <v>14.333333333333334</v>
      </c>
      <c r="U79" s="72">
        <v>0.3</v>
      </c>
      <c r="V79" s="72">
        <f t="shared" si="76"/>
        <v>13.700000000000001</v>
      </c>
      <c r="W79" s="72">
        <v>0.59</v>
      </c>
      <c r="X79" s="72">
        <v>0.1</v>
      </c>
      <c r="Y79" s="72">
        <f t="shared" si="77"/>
        <v>5.8999999999999995</v>
      </c>
      <c r="Z79" s="72">
        <v>0.38</v>
      </c>
      <c r="AA79" s="72">
        <v>0.51</v>
      </c>
      <c r="AB79" s="72">
        <f t="shared" ref="AB79:AB93" si="90">AA79/F79</f>
        <v>0.28813559322033899</v>
      </c>
      <c r="AC79" s="72">
        <v>1.1000000000000001</v>
      </c>
      <c r="AD79" s="72">
        <f t="shared" ref="AD79:AD85" si="91">AC79/F79</f>
        <v>0.62146892655367236</v>
      </c>
      <c r="AE79" s="72">
        <v>0.09</v>
      </c>
      <c r="AF79" s="72">
        <f t="shared" ref="AF79:AF84" si="92">AE:AE/K:K</f>
        <v>0.10714285714285714</v>
      </c>
      <c r="AG79" s="72">
        <f>AE:AE/P:P</f>
        <v>4.8913043478260872E-2</v>
      </c>
      <c r="AH79" s="72">
        <f t="shared" ref="AH79:AH84" si="93">AE:AE/N:N</f>
        <v>0.75</v>
      </c>
      <c r="AI79" s="72">
        <v>0.1</v>
      </c>
      <c r="AJ79" s="72">
        <v>7.0000000000000007E-2</v>
      </c>
      <c r="AK79" s="72">
        <f t="shared" si="67"/>
        <v>1.4285714285714286</v>
      </c>
      <c r="AL79" s="72">
        <f t="shared" si="72"/>
        <v>1.1111111111111112</v>
      </c>
      <c r="AM79" s="72">
        <f t="shared" si="73"/>
        <v>0.83333333333333337</v>
      </c>
      <c r="AN79" s="72">
        <f t="shared" si="74"/>
        <v>0.11904761904761905</v>
      </c>
      <c r="AO79" s="72">
        <f t="shared" si="68"/>
        <v>0.625</v>
      </c>
      <c r="AP79" s="72">
        <v>0.16</v>
      </c>
      <c r="AQ79" s="72">
        <v>0.16</v>
      </c>
      <c r="AR79" s="72">
        <f t="shared" si="69"/>
        <v>9.03954802259887E-2</v>
      </c>
      <c r="AS79" s="72">
        <f t="shared" si="70"/>
        <v>1</v>
      </c>
      <c r="AT79" s="72">
        <f t="shared" si="89"/>
        <v>0.19047619047619049</v>
      </c>
      <c r="AU79" s="72">
        <v>0.09</v>
      </c>
      <c r="AV79" s="72">
        <v>0.12</v>
      </c>
      <c r="AW79" s="72">
        <f>AU79/AV79</f>
        <v>0.75</v>
      </c>
      <c r="AX79" s="82">
        <f>AP79/AU79</f>
        <v>1.7777777777777779</v>
      </c>
      <c r="AY79" s="224" t="s">
        <v>75</v>
      </c>
      <c r="AZ79" s="84">
        <v>12</v>
      </c>
      <c r="BA79" s="71"/>
      <c r="BB79" s="71"/>
      <c r="BC79" s="226"/>
    </row>
    <row r="80" spans="2:55" ht="12.75" customHeight="1" x14ac:dyDescent="0.2">
      <c r="B80" s="69"/>
      <c r="C80" s="71"/>
      <c r="D80" s="71"/>
      <c r="E80" s="71"/>
      <c r="F80" s="72">
        <v>1.77</v>
      </c>
      <c r="G80" s="82">
        <f t="shared" si="61"/>
        <v>4.12</v>
      </c>
      <c r="H80" s="82">
        <f t="shared" si="62"/>
        <v>2.3276836158192089</v>
      </c>
      <c r="I80" s="72">
        <v>0.09</v>
      </c>
      <c r="J80" s="72">
        <v>0.06</v>
      </c>
      <c r="K80" s="72">
        <v>0.86</v>
      </c>
      <c r="L80" s="72">
        <v>0.62</v>
      </c>
      <c r="M80" s="72">
        <v>0.64</v>
      </c>
      <c r="N80" s="72">
        <v>0.13</v>
      </c>
      <c r="O80" s="72">
        <f>0.44+0.58+0.7</f>
        <v>1.72</v>
      </c>
      <c r="P80" s="72">
        <f>N:N+O:O</f>
        <v>1.85</v>
      </c>
      <c r="Q80" s="82">
        <f t="shared" si="63"/>
        <v>2.1511627906976747</v>
      </c>
      <c r="R80" s="82">
        <f t="shared" si="64"/>
        <v>0.7441860465116279</v>
      </c>
      <c r="S80" s="82">
        <f t="shared" si="65"/>
        <v>0.72093023255813959</v>
      </c>
      <c r="T80" s="82">
        <f t="shared" si="66"/>
        <v>13.23076923076923</v>
      </c>
      <c r="U80" s="72">
        <v>0.3</v>
      </c>
      <c r="V80" s="72">
        <f t="shared" si="76"/>
        <v>13.733333333333334</v>
      </c>
      <c r="W80" s="73" t="s">
        <v>75</v>
      </c>
      <c r="X80" s="73" t="s">
        <v>75</v>
      </c>
      <c r="Y80" s="73" t="s">
        <v>75</v>
      </c>
      <c r="Z80" s="72">
        <v>0.37</v>
      </c>
      <c r="AA80" s="72">
        <v>0.51</v>
      </c>
      <c r="AB80" s="72">
        <f t="shared" si="90"/>
        <v>0.28813559322033899</v>
      </c>
      <c r="AC80" s="72">
        <v>1</v>
      </c>
      <c r="AD80" s="72">
        <f t="shared" si="91"/>
        <v>0.56497175141242939</v>
      </c>
      <c r="AE80" s="72">
        <v>0.09</v>
      </c>
      <c r="AF80" s="72">
        <f t="shared" si="92"/>
        <v>0.10465116279069767</v>
      </c>
      <c r="AG80" s="72">
        <f>AE:AE/P:P</f>
        <v>4.8648648648648644E-2</v>
      </c>
      <c r="AH80" s="72">
        <f t="shared" si="93"/>
        <v>0.69230769230769229</v>
      </c>
      <c r="AI80" s="72">
        <v>0.1</v>
      </c>
      <c r="AJ80" s="72">
        <v>7.0000000000000007E-2</v>
      </c>
      <c r="AK80" s="72">
        <f t="shared" ref="AK80" si="94">AI80/AJ80</f>
        <v>1.4285714285714286</v>
      </c>
      <c r="AL80" s="72">
        <f t="shared" si="72"/>
        <v>1.1111111111111112</v>
      </c>
      <c r="AM80" s="72">
        <f t="shared" si="73"/>
        <v>0.76923076923076927</v>
      </c>
      <c r="AN80" s="72">
        <f t="shared" si="74"/>
        <v>0.11627906976744187</v>
      </c>
      <c r="AO80" s="72">
        <f t="shared" ref="AO80" si="95">AI80/AP80</f>
        <v>0.58823529411764708</v>
      </c>
      <c r="AP80" s="72">
        <v>0.17</v>
      </c>
      <c r="AQ80" s="72">
        <v>0.14000000000000001</v>
      </c>
      <c r="AR80" s="72">
        <f t="shared" si="69"/>
        <v>9.6045197740112997E-2</v>
      </c>
      <c r="AS80" s="72">
        <f t="shared" si="70"/>
        <v>1.2142857142857142</v>
      </c>
      <c r="AT80" s="72">
        <f t="shared" si="89"/>
        <v>0.19767441860465118</v>
      </c>
      <c r="AU80" s="72">
        <v>0.09</v>
      </c>
      <c r="AV80" s="72">
        <v>0.12</v>
      </c>
      <c r="AW80" s="72">
        <f>AU80/AV80</f>
        <v>0.75</v>
      </c>
      <c r="AX80" s="82">
        <f>AP80/AU80</f>
        <v>1.8888888888888891</v>
      </c>
      <c r="AY80" s="224" t="s">
        <v>75</v>
      </c>
      <c r="AZ80" s="84">
        <v>14</v>
      </c>
      <c r="BA80" s="71"/>
      <c r="BB80" s="71"/>
      <c r="BC80" s="226"/>
    </row>
    <row r="81" spans="2:55" ht="12.75" customHeight="1" x14ac:dyDescent="0.2">
      <c r="B81" s="86">
        <v>21720</v>
      </c>
      <c r="C81" s="76" t="s">
        <v>261</v>
      </c>
      <c r="D81" s="77" t="s">
        <v>256</v>
      </c>
      <c r="E81" s="77" t="s">
        <v>177</v>
      </c>
      <c r="F81" s="78">
        <v>1.89</v>
      </c>
      <c r="G81" s="80">
        <f t="shared" si="61"/>
        <v>4.03</v>
      </c>
      <c r="H81" s="80">
        <f t="shared" si="62"/>
        <v>2.1322751322751325</v>
      </c>
      <c r="I81" s="78">
        <v>0.11</v>
      </c>
      <c r="J81" s="78">
        <v>0.05</v>
      </c>
      <c r="K81" s="78">
        <v>0.86</v>
      </c>
      <c r="L81" s="78">
        <v>0.66</v>
      </c>
      <c r="M81" s="78">
        <v>0.69</v>
      </c>
      <c r="N81" s="78">
        <v>0.13</v>
      </c>
      <c r="O81" s="78">
        <f>0.46+0.4+0.67</f>
        <v>1.5300000000000002</v>
      </c>
      <c r="P81" s="78">
        <f>N:N+O:O</f>
        <v>1.6600000000000001</v>
      </c>
      <c r="Q81" s="80">
        <f t="shared" si="63"/>
        <v>1.930232558139535</v>
      </c>
      <c r="R81" s="80">
        <f t="shared" si="64"/>
        <v>0.80232558139534882</v>
      </c>
      <c r="S81" s="80">
        <f t="shared" si="65"/>
        <v>0.76744186046511631</v>
      </c>
      <c r="T81" s="80">
        <f t="shared" si="66"/>
        <v>11.76923076923077</v>
      </c>
      <c r="U81" s="78">
        <v>0.28999999999999998</v>
      </c>
      <c r="V81" s="78">
        <f t="shared" si="76"/>
        <v>13.896551724137932</v>
      </c>
      <c r="W81" s="78">
        <v>0.6</v>
      </c>
      <c r="X81" s="78">
        <v>0.11</v>
      </c>
      <c r="Y81" s="78">
        <f>W:W/X:X</f>
        <v>5.4545454545454541</v>
      </c>
      <c r="Z81" s="78">
        <v>0.4</v>
      </c>
      <c r="AA81" s="78">
        <v>0.55000000000000004</v>
      </c>
      <c r="AB81" s="78">
        <f t="shared" si="90"/>
        <v>0.29100529100529104</v>
      </c>
      <c r="AC81" s="78">
        <v>1.1000000000000001</v>
      </c>
      <c r="AD81" s="78">
        <f t="shared" si="91"/>
        <v>0.58201058201058209</v>
      </c>
      <c r="AE81" s="78">
        <v>0.09</v>
      </c>
      <c r="AF81" s="78">
        <f t="shared" si="92"/>
        <v>0.10465116279069767</v>
      </c>
      <c r="AG81" s="78">
        <f>AE:AE/P:P</f>
        <v>5.4216867469879512E-2</v>
      </c>
      <c r="AH81" s="78">
        <f t="shared" si="93"/>
        <v>0.69230769230769229</v>
      </c>
      <c r="AI81" s="78">
        <v>0.1</v>
      </c>
      <c r="AJ81" s="78">
        <v>0.08</v>
      </c>
      <c r="AK81" s="78">
        <f t="shared" si="67"/>
        <v>1.25</v>
      </c>
      <c r="AL81" s="78">
        <f t="shared" si="72"/>
        <v>1.1111111111111112</v>
      </c>
      <c r="AM81" s="78">
        <f t="shared" si="73"/>
        <v>0.76923076923076927</v>
      </c>
      <c r="AN81" s="78">
        <f t="shared" si="74"/>
        <v>0.11627906976744187</v>
      </c>
      <c r="AO81" s="78">
        <f t="shared" si="68"/>
        <v>0.55555555555555558</v>
      </c>
      <c r="AP81" s="78">
        <v>0.18</v>
      </c>
      <c r="AQ81" s="78">
        <v>0.15</v>
      </c>
      <c r="AR81" s="78">
        <f t="shared" si="69"/>
        <v>9.5238095238095233E-2</v>
      </c>
      <c r="AS81" s="78">
        <f t="shared" si="70"/>
        <v>1.2</v>
      </c>
      <c r="AT81" s="78">
        <f t="shared" si="89"/>
        <v>0.20930232558139533</v>
      </c>
      <c r="AU81" s="78">
        <v>0.08</v>
      </c>
      <c r="AV81" s="78">
        <v>0.13</v>
      </c>
      <c r="AW81" s="78">
        <f>AU81/AV81</f>
        <v>0.61538461538461542</v>
      </c>
      <c r="AX81" s="80">
        <f>AP81/AU81</f>
        <v>2.25</v>
      </c>
      <c r="AY81" s="215" t="s">
        <v>75</v>
      </c>
      <c r="AZ81" s="87">
        <v>15</v>
      </c>
      <c r="BA81" s="77"/>
      <c r="BB81" s="77"/>
      <c r="BC81" s="217"/>
    </row>
    <row r="82" spans="2:55" ht="12.75" customHeight="1" x14ac:dyDescent="0.2">
      <c r="B82" s="75"/>
      <c r="C82" s="77"/>
      <c r="D82" s="77"/>
      <c r="E82" s="77"/>
      <c r="F82" s="78">
        <v>1.89</v>
      </c>
      <c r="G82" s="114" t="s">
        <v>75</v>
      </c>
      <c r="H82" s="114" t="s">
        <v>75</v>
      </c>
      <c r="I82" s="78">
        <v>0.1</v>
      </c>
      <c r="J82" s="78">
        <v>0.05</v>
      </c>
      <c r="K82" s="78">
        <v>0.85</v>
      </c>
      <c r="L82" s="78">
        <v>0.63</v>
      </c>
      <c r="M82" s="78">
        <v>0.71</v>
      </c>
      <c r="N82" s="78">
        <v>0.13</v>
      </c>
      <c r="O82" s="79" t="s">
        <v>75</v>
      </c>
      <c r="P82" s="79" t="s">
        <v>75</v>
      </c>
      <c r="Q82" s="114" t="s">
        <v>75</v>
      </c>
      <c r="R82" s="80">
        <f t="shared" si="64"/>
        <v>0.83529411764705885</v>
      </c>
      <c r="S82" s="80">
        <f t="shared" si="65"/>
        <v>0.74117647058823533</v>
      </c>
      <c r="T82" s="114" t="s">
        <v>75</v>
      </c>
      <c r="U82" s="78">
        <v>0.28999999999999998</v>
      </c>
      <c r="V82" s="79" t="s">
        <v>75</v>
      </c>
      <c r="W82" s="79" t="s">
        <v>75</v>
      </c>
      <c r="X82" s="79" t="s">
        <v>75</v>
      </c>
      <c r="Y82" s="79" t="s">
        <v>75</v>
      </c>
      <c r="Z82" s="78">
        <v>0.4</v>
      </c>
      <c r="AA82" s="78">
        <v>0.55000000000000004</v>
      </c>
      <c r="AB82" s="78">
        <f t="shared" si="90"/>
        <v>0.29100529100529104</v>
      </c>
      <c r="AC82" s="78">
        <v>1.1000000000000001</v>
      </c>
      <c r="AD82" s="78">
        <f t="shared" si="91"/>
        <v>0.58201058201058209</v>
      </c>
      <c r="AE82" s="78">
        <v>0.1</v>
      </c>
      <c r="AF82" s="78">
        <f t="shared" si="92"/>
        <v>0.11764705882352942</v>
      </c>
      <c r="AG82" s="79" t="s">
        <v>75</v>
      </c>
      <c r="AH82" s="78">
        <f t="shared" si="93"/>
        <v>0.76923076923076927</v>
      </c>
      <c r="AI82" s="78">
        <v>0.1</v>
      </c>
      <c r="AJ82" s="78">
        <v>0.08</v>
      </c>
      <c r="AK82" s="78">
        <f t="shared" ref="AK82" si="96">AI82/AJ82</f>
        <v>1.25</v>
      </c>
      <c r="AL82" s="78">
        <f t="shared" si="72"/>
        <v>1</v>
      </c>
      <c r="AM82" s="78">
        <f t="shared" si="73"/>
        <v>0.76923076923076927</v>
      </c>
      <c r="AN82" s="78">
        <f t="shared" si="74"/>
        <v>0.11764705882352942</v>
      </c>
      <c r="AO82" s="78">
        <f t="shared" ref="AO82" si="97">AI82/AP82</f>
        <v>0.55555555555555558</v>
      </c>
      <c r="AP82" s="78">
        <v>0.18</v>
      </c>
      <c r="AQ82" s="78">
        <v>0.14000000000000001</v>
      </c>
      <c r="AR82" s="78">
        <f t="shared" si="69"/>
        <v>9.5238095238095233E-2</v>
      </c>
      <c r="AS82" s="78">
        <f t="shared" si="70"/>
        <v>1.2857142857142856</v>
      </c>
      <c r="AT82" s="78">
        <f t="shared" si="89"/>
        <v>0.21176470588235294</v>
      </c>
      <c r="AU82" s="78">
        <v>0.08</v>
      </c>
      <c r="AV82" s="78">
        <v>0.13</v>
      </c>
      <c r="AW82" s="78">
        <f>AU82/AV82</f>
        <v>0.61538461538461542</v>
      </c>
      <c r="AX82" s="80">
        <f>AP82/AU82</f>
        <v>2.25</v>
      </c>
      <c r="AY82" s="215" t="s">
        <v>75</v>
      </c>
      <c r="AZ82" s="216" t="s">
        <v>75</v>
      </c>
      <c r="BA82" s="77"/>
      <c r="BB82" s="77"/>
      <c r="BC82" s="217"/>
    </row>
    <row r="83" spans="2:55" ht="12.75" customHeight="1" x14ac:dyDescent="0.2">
      <c r="B83" s="83">
        <v>21720</v>
      </c>
      <c r="C83" s="70" t="s">
        <v>261</v>
      </c>
      <c r="D83" s="71" t="s">
        <v>256</v>
      </c>
      <c r="E83" s="71" t="s">
        <v>177</v>
      </c>
      <c r="F83" s="72">
        <v>1.81</v>
      </c>
      <c r="G83" s="82">
        <f t="shared" si="61"/>
        <v>4.1270000000000007</v>
      </c>
      <c r="H83" s="82">
        <f t="shared" si="62"/>
        <v>2.2801104972375694</v>
      </c>
      <c r="I83" s="72">
        <v>0.1</v>
      </c>
      <c r="J83" s="72">
        <v>0.05</v>
      </c>
      <c r="K83" s="72">
        <v>0.85</v>
      </c>
      <c r="L83" s="72">
        <v>0.6</v>
      </c>
      <c r="M83" s="72">
        <v>0.7</v>
      </c>
      <c r="N83" s="72">
        <v>0.12</v>
      </c>
      <c r="O83" s="72">
        <f>0.467+0.27+0.33+0.64</f>
        <v>1.7070000000000003</v>
      </c>
      <c r="P83" s="72">
        <f>N:N+O:O</f>
        <v>1.8270000000000004</v>
      </c>
      <c r="Q83" s="82">
        <f t="shared" si="63"/>
        <v>2.1494117647058828</v>
      </c>
      <c r="R83" s="82">
        <f t="shared" si="64"/>
        <v>0.82352941176470584</v>
      </c>
      <c r="S83" s="82">
        <f t="shared" si="65"/>
        <v>0.70588235294117652</v>
      </c>
      <c r="T83" s="82">
        <f t="shared" si="66"/>
        <v>14.225000000000003</v>
      </c>
      <c r="U83" s="73" t="s">
        <v>75</v>
      </c>
      <c r="V83" s="73" t="s">
        <v>75</v>
      </c>
      <c r="W83" s="72">
        <v>0.55000000000000004</v>
      </c>
      <c r="X83" s="72">
        <v>0.1</v>
      </c>
      <c r="Y83" s="72">
        <f>W:W/X:X</f>
        <v>5.5</v>
      </c>
      <c r="Z83" s="72">
        <v>0.35</v>
      </c>
      <c r="AA83" s="72">
        <v>0.5</v>
      </c>
      <c r="AB83" s="72">
        <f t="shared" si="90"/>
        <v>0.27624309392265195</v>
      </c>
      <c r="AC83" s="72">
        <v>1</v>
      </c>
      <c r="AD83" s="72">
        <f t="shared" si="91"/>
        <v>0.5524861878453039</v>
      </c>
      <c r="AE83" s="72">
        <v>0.1</v>
      </c>
      <c r="AF83" s="72">
        <f t="shared" si="92"/>
        <v>0.11764705882352942</v>
      </c>
      <c r="AG83" s="72">
        <f>AE:AE/P:P</f>
        <v>5.4734537493158174E-2</v>
      </c>
      <c r="AH83" s="72">
        <f t="shared" si="93"/>
        <v>0.83333333333333337</v>
      </c>
      <c r="AI83" s="72">
        <v>0.09</v>
      </c>
      <c r="AJ83" s="72">
        <v>0.06</v>
      </c>
      <c r="AK83" s="72">
        <f t="shared" si="67"/>
        <v>1.5</v>
      </c>
      <c r="AL83" s="72">
        <f t="shared" si="72"/>
        <v>0.89999999999999991</v>
      </c>
      <c r="AM83" s="72">
        <f t="shared" si="73"/>
        <v>0.75</v>
      </c>
      <c r="AN83" s="72">
        <f t="shared" si="74"/>
        <v>0.10588235294117647</v>
      </c>
      <c r="AO83" s="72">
        <f t="shared" si="68"/>
        <v>0.52941176470588225</v>
      </c>
      <c r="AP83" s="72">
        <v>0.17</v>
      </c>
      <c r="AQ83" s="72">
        <v>0.14000000000000001</v>
      </c>
      <c r="AR83" s="72">
        <f t="shared" si="69"/>
        <v>9.3922651933701667E-2</v>
      </c>
      <c r="AS83" s="72">
        <f t="shared" si="70"/>
        <v>1.2142857142857142</v>
      </c>
      <c r="AT83" s="72">
        <f t="shared" si="89"/>
        <v>0.2</v>
      </c>
      <c r="AU83" s="73" t="s">
        <v>75</v>
      </c>
      <c r="AV83" s="73" t="s">
        <v>75</v>
      </c>
      <c r="AW83" s="73" t="s">
        <v>75</v>
      </c>
      <c r="AX83" s="110" t="s">
        <v>75</v>
      </c>
      <c r="AY83" s="224" t="s">
        <v>75</v>
      </c>
      <c r="AZ83" s="84">
        <v>14</v>
      </c>
      <c r="BA83" s="71"/>
      <c r="BB83" s="71"/>
      <c r="BC83" s="226"/>
    </row>
    <row r="84" spans="2:55" ht="12.75" customHeight="1" x14ac:dyDescent="0.2">
      <c r="B84" s="69"/>
      <c r="C84" s="71"/>
      <c r="D84" s="71"/>
      <c r="E84" s="71"/>
      <c r="F84" s="72">
        <v>1.81</v>
      </c>
      <c r="G84" s="82">
        <f t="shared" si="61"/>
        <v>3.88</v>
      </c>
      <c r="H84" s="82">
        <f t="shared" si="62"/>
        <v>2.1436464088397789</v>
      </c>
      <c r="I84" s="72">
        <v>0.09</v>
      </c>
      <c r="J84" s="72">
        <v>0.05</v>
      </c>
      <c r="K84" s="72">
        <v>0.86</v>
      </c>
      <c r="L84" s="72">
        <v>0.61</v>
      </c>
      <c r="M84" s="72">
        <v>0.67</v>
      </c>
      <c r="N84" s="72">
        <v>0.12</v>
      </c>
      <c r="O84" s="72">
        <f>0.73+0.75</f>
        <v>1.48</v>
      </c>
      <c r="P84" s="72">
        <f>N:N+O:O</f>
        <v>1.6</v>
      </c>
      <c r="Q84" s="82">
        <f t="shared" si="63"/>
        <v>1.86046511627907</v>
      </c>
      <c r="R84" s="82">
        <f t="shared" si="64"/>
        <v>0.77906976744186052</v>
      </c>
      <c r="S84" s="82">
        <f t="shared" si="65"/>
        <v>0.70930232558139539</v>
      </c>
      <c r="T84" s="82">
        <f t="shared" si="66"/>
        <v>12.333333333333334</v>
      </c>
      <c r="U84" s="73" t="s">
        <v>75</v>
      </c>
      <c r="V84" s="73" t="s">
        <v>75</v>
      </c>
      <c r="W84" s="72">
        <v>0.53</v>
      </c>
      <c r="X84" s="72">
        <v>0.1</v>
      </c>
      <c r="Y84" s="72">
        <f>W:W/X:X</f>
        <v>5.3</v>
      </c>
      <c r="Z84" s="73" t="s">
        <v>75</v>
      </c>
      <c r="AA84" s="72">
        <v>0.5</v>
      </c>
      <c r="AB84" s="72">
        <f t="shared" si="90"/>
        <v>0.27624309392265195</v>
      </c>
      <c r="AC84" s="72">
        <v>1</v>
      </c>
      <c r="AD84" s="72">
        <f t="shared" si="91"/>
        <v>0.5524861878453039</v>
      </c>
      <c r="AE84" s="72">
        <v>0.1</v>
      </c>
      <c r="AF84" s="72">
        <f t="shared" si="92"/>
        <v>0.11627906976744187</v>
      </c>
      <c r="AG84" s="72">
        <f>AE:AE/P:P</f>
        <v>6.25E-2</v>
      </c>
      <c r="AH84" s="72">
        <f t="shared" si="93"/>
        <v>0.83333333333333337</v>
      </c>
      <c r="AI84" s="72">
        <v>0.09</v>
      </c>
      <c r="AJ84" s="72">
        <v>0.06</v>
      </c>
      <c r="AK84" s="72">
        <f t="shared" ref="AK84" si="98">AI84/AJ84</f>
        <v>1.5</v>
      </c>
      <c r="AL84" s="72">
        <f t="shared" si="72"/>
        <v>0.89999999999999991</v>
      </c>
      <c r="AM84" s="72">
        <f t="shared" si="73"/>
        <v>0.75</v>
      </c>
      <c r="AN84" s="72">
        <f t="shared" si="74"/>
        <v>0.10465116279069767</v>
      </c>
      <c r="AO84" s="72">
        <f t="shared" ref="AO84" si="99">AI84/AP84</f>
        <v>0.64285714285714279</v>
      </c>
      <c r="AP84" s="72">
        <v>0.14000000000000001</v>
      </c>
      <c r="AQ84" s="72">
        <v>0.13</v>
      </c>
      <c r="AR84" s="72">
        <f t="shared" si="69"/>
        <v>7.7348066298342552E-2</v>
      </c>
      <c r="AS84" s="72">
        <f t="shared" si="70"/>
        <v>1.0769230769230771</v>
      </c>
      <c r="AT84" s="72">
        <f t="shared" si="89"/>
        <v>0.16279069767441862</v>
      </c>
      <c r="AU84" s="73" t="s">
        <v>75</v>
      </c>
      <c r="AV84" s="73" t="s">
        <v>75</v>
      </c>
      <c r="AW84" s="73" t="s">
        <v>75</v>
      </c>
      <c r="AX84" s="110" t="s">
        <v>75</v>
      </c>
      <c r="AY84" s="224" t="s">
        <v>75</v>
      </c>
      <c r="AZ84" s="225" t="s">
        <v>75</v>
      </c>
      <c r="BA84" s="71"/>
      <c r="BB84" s="71"/>
      <c r="BC84" s="226"/>
    </row>
    <row r="85" spans="2:55" ht="12.75" customHeight="1" x14ac:dyDescent="0.2">
      <c r="B85" s="86">
        <v>23916</v>
      </c>
      <c r="C85" s="76" t="s">
        <v>261</v>
      </c>
      <c r="D85" s="77" t="s">
        <v>257</v>
      </c>
      <c r="E85" s="77" t="s">
        <v>177</v>
      </c>
      <c r="F85" s="78">
        <v>1.6</v>
      </c>
      <c r="G85" s="114" t="s">
        <v>75</v>
      </c>
      <c r="H85" s="114" t="s">
        <v>75</v>
      </c>
      <c r="I85" s="78">
        <v>0.1</v>
      </c>
      <c r="J85" s="78">
        <v>0.05</v>
      </c>
      <c r="K85" s="79" t="s">
        <v>75</v>
      </c>
      <c r="L85" s="79" t="s">
        <v>75</v>
      </c>
      <c r="M85" s="79" t="s">
        <v>75</v>
      </c>
      <c r="N85" s="79" t="s">
        <v>75</v>
      </c>
      <c r="O85" s="79" t="s">
        <v>75</v>
      </c>
      <c r="P85" s="79" t="s">
        <v>75</v>
      </c>
      <c r="Q85" s="114" t="s">
        <v>75</v>
      </c>
      <c r="R85" s="114" t="s">
        <v>75</v>
      </c>
      <c r="S85" s="114" t="s">
        <v>75</v>
      </c>
      <c r="T85" s="114" t="s">
        <v>75</v>
      </c>
      <c r="U85" s="78">
        <v>0.26</v>
      </c>
      <c r="V85" s="79" t="s">
        <v>75</v>
      </c>
      <c r="W85" s="78">
        <v>0.56000000000000005</v>
      </c>
      <c r="X85" s="78">
        <v>0.09</v>
      </c>
      <c r="Y85" s="78">
        <f>W:W/X:X</f>
        <v>6.2222222222222232</v>
      </c>
      <c r="Z85" s="78">
        <v>0.36</v>
      </c>
      <c r="AA85" s="78">
        <v>0.51</v>
      </c>
      <c r="AB85" s="78">
        <f t="shared" si="90"/>
        <v>0.31874999999999998</v>
      </c>
      <c r="AC85" s="78">
        <v>1.1000000000000001</v>
      </c>
      <c r="AD85" s="78">
        <f t="shared" si="91"/>
        <v>0.6875</v>
      </c>
      <c r="AE85" s="78">
        <v>0.09</v>
      </c>
      <c r="AF85" s="79" t="s">
        <v>75</v>
      </c>
      <c r="AG85" s="79" t="s">
        <v>75</v>
      </c>
      <c r="AH85" s="79" t="s">
        <v>75</v>
      </c>
      <c r="AI85" s="78">
        <v>0.1</v>
      </c>
      <c r="AJ85" s="78">
        <v>7.0000000000000007E-2</v>
      </c>
      <c r="AK85" s="78">
        <f t="shared" si="67"/>
        <v>1.4285714285714286</v>
      </c>
      <c r="AL85" s="78">
        <f t="shared" si="72"/>
        <v>1.1111111111111112</v>
      </c>
      <c r="AM85" s="79" t="s">
        <v>75</v>
      </c>
      <c r="AN85" s="79" t="s">
        <v>75</v>
      </c>
      <c r="AO85" s="78">
        <f t="shared" si="68"/>
        <v>0.58823529411764708</v>
      </c>
      <c r="AP85" s="78">
        <v>0.17</v>
      </c>
      <c r="AQ85" s="78">
        <v>0.12</v>
      </c>
      <c r="AR85" s="78">
        <f t="shared" si="69"/>
        <v>0.10625</v>
      </c>
      <c r="AS85" s="78">
        <f t="shared" si="70"/>
        <v>1.4166666666666667</v>
      </c>
      <c r="AT85" s="79" t="s">
        <v>75</v>
      </c>
      <c r="AU85" s="78">
        <v>0.1</v>
      </c>
      <c r="AV85" s="78">
        <v>0.11</v>
      </c>
      <c r="AW85" s="78">
        <f t="shared" ref="AW85:AW92" si="100">AU85/AV85</f>
        <v>0.90909090909090917</v>
      </c>
      <c r="AX85" s="80">
        <f t="shared" ref="AX85:AX92" si="101">AP85/AU85</f>
        <v>1.7</v>
      </c>
      <c r="AY85" s="215" t="s">
        <v>75</v>
      </c>
      <c r="AZ85" s="216" t="s">
        <v>75</v>
      </c>
      <c r="BA85" s="77"/>
      <c r="BB85" s="77"/>
      <c r="BC85" s="217"/>
    </row>
    <row r="86" spans="2:55" ht="12.75" customHeight="1" x14ac:dyDescent="0.2">
      <c r="B86" s="75"/>
      <c r="C86" s="77"/>
      <c r="D86" s="77"/>
      <c r="E86" s="77"/>
      <c r="F86" s="78">
        <v>1.6</v>
      </c>
      <c r="G86" s="114" t="s">
        <v>75</v>
      </c>
      <c r="H86" s="114" t="s">
        <v>75</v>
      </c>
      <c r="I86" s="78">
        <v>0.1</v>
      </c>
      <c r="J86" s="78">
        <v>0.05</v>
      </c>
      <c r="K86" s="79" t="s">
        <v>75</v>
      </c>
      <c r="L86" s="79" t="s">
        <v>75</v>
      </c>
      <c r="M86" s="79" t="s">
        <v>75</v>
      </c>
      <c r="N86" s="79" t="s">
        <v>75</v>
      </c>
      <c r="O86" s="79" t="s">
        <v>75</v>
      </c>
      <c r="P86" s="79" t="s">
        <v>75</v>
      </c>
      <c r="Q86" s="114" t="s">
        <v>75</v>
      </c>
      <c r="R86" s="114" t="s">
        <v>75</v>
      </c>
      <c r="S86" s="114" t="s">
        <v>75</v>
      </c>
      <c r="T86" s="114" t="s">
        <v>75</v>
      </c>
      <c r="U86" s="78">
        <v>0.26</v>
      </c>
      <c r="V86" s="79" t="s">
        <v>75</v>
      </c>
      <c r="W86" s="79" t="s">
        <v>75</v>
      </c>
      <c r="X86" s="79" t="s">
        <v>75</v>
      </c>
      <c r="Y86" s="79" t="s">
        <v>75</v>
      </c>
      <c r="Z86" s="79" t="s">
        <v>75</v>
      </c>
      <c r="AA86" s="78">
        <v>0.52</v>
      </c>
      <c r="AB86" s="78">
        <f t="shared" si="90"/>
        <v>0.32500000000000001</v>
      </c>
      <c r="AC86" s="79" t="s">
        <v>75</v>
      </c>
      <c r="AD86" s="79" t="s">
        <v>75</v>
      </c>
      <c r="AE86" s="79" t="s">
        <v>75</v>
      </c>
      <c r="AF86" s="79" t="s">
        <v>75</v>
      </c>
      <c r="AG86" s="79" t="s">
        <v>75</v>
      </c>
      <c r="AH86" s="79" t="s">
        <v>75</v>
      </c>
      <c r="AI86" s="78">
        <v>0.1</v>
      </c>
      <c r="AJ86" s="78">
        <v>7.0000000000000007E-2</v>
      </c>
      <c r="AK86" s="78">
        <f t="shared" ref="AK86" si="102">AI86/AJ86</f>
        <v>1.4285714285714286</v>
      </c>
      <c r="AL86" s="79" t="s">
        <v>75</v>
      </c>
      <c r="AM86" s="79" t="s">
        <v>75</v>
      </c>
      <c r="AN86" s="79" t="s">
        <v>75</v>
      </c>
      <c r="AO86" s="78">
        <f t="shared" ref="AO86" si="103">AI86/AP86</f>
        <v>0.58823529411764708</v>
      </c>
      <c r="AP86" s="78">
        <v>0.17</v>
      </c>
      <c r="AQ86" s="78">
        <v>0.14000000000000001</v>
      </c>
      <c r="AR86" s="78">
        <f t="shared" si="69"/>
        <v>0.10625</v>
      </c>
      <c r="AS86" s="78">
        <f t="shared" si="70"/>
        <v>1.2142857142857142</v>
      </c>
      <c r="AT86" s="79" t="s">
        <v>75</v>
      </c>
      <c r="AU86" s="78">
        <v>0.1</v>
      </c>
      <c r="AV86" s="78">
        <v>0.11</v>
      </c>
      <c r="AW86" s="78">
        <f t="shared" si="100"/>
        <v>0.90909090909090917</v>
      </c>
      <c r="AX86" s="80">
        <f t="shared" si="101"/>
        <v>1.7</v>
      </c>
      <c r="AY86" s="215" t="s">
        <v>75</v>
      </c>
      <c r="AZ86" s="216" t="s">
        <v>75</v>
      </c>
      <c r="BA86" s="77"/>
      <c r="BB86" s="77"/>
      <c r="BC86" s="217"/>
    </row>
    <row r="87" spans="2:55" ht="12.75" customHeight="1" x14ac:dyDescent="0.2">
      <c r="B87" s="83">
        <v>23916</v>
      </c>
      <c r="C87" s="70" t="s">
        <v>261</v>
      </c>
      <c r="D87" s="71" t="s">
        <v>257</v>
      </c>
      <c r="E87" s="71" t="s">
        <v>177</v>
      </c>
      <c r="F87" s="72">
        <v>1.48</v>
      </c>
      <c r="G87" s="110" t="s">
        <v>75</v>
      </c>
      <c r="H87" s="110" t="s">
        <v>75</v>
      </c>
      <c r="I87" s="72">
        <v>0.09</v>
      </c>
      <c r="J87" s="72">
        <v>0.05</v>
      </c>
      <c r="K87" s="72">
        <v>0.83</v>
      </c>
      <c r="L87" s="72">
        <v>0.63</v>
      </c>
      <c r="M87" s="72">
        <v>0.65</v>
      </c>
      <c r="N87" s="72">
        <v>0.12</v>
      </c>
      <c r="O87" s="73" t="s">
        <v>75</v>
      </c>
      <c r="P87" s="73" t="s">
        <v>75</v>
      </c>
      <c r="Q87" s="110" t="s">
        <v>75</v>
      </c>
      <c r="R87" s="82">
        <f t="shared" si="64"/>
        <v>0.78313253012048201</v>
      </c>
      <c r="S87" s="82">
        <f t="shared" si="65"/>
        <v>0.75903614457831325</v>
      </c>
      <c r="T87" s="110" t="s">
        <v>75</v>
      </c>
      <c r="U87" s="72">
        <v>0.26</v>
      </c>
      <c r="V87" s="73" t="s">
        <v>75</v>
      </c>
      <c r="W87" s="72">
        <v>0.57999999999999996</v>
      </c>
      <c r="X87" s="72">
        <v>0.09</v>
      </c>
      <c r="Y87" s="72">
        <f t="shared" ref="Y87:Y93" si="104">W:W/X:X</f>
        <v>6.4444444444444446</v>
      </c>
      <c r="Z87" s="72">
        <v>0.34</v>
      </c>
      <c r="AA87" s="72">
        <v>0.49</v>
      </c>
      <c r="AB87" s="72">
        <f t="shared" si="90"/>
        <v>0.33108108108108109</v>
      </c>
      <c r="AC87" s="72">
        <v>1</v>
      </c>
      <c r="AD87" s="72">
        <f t="shared" ref="AD87:AD93" si="105">AC87/F87</f>
        <v>0.67567567567567566</v>
      </c>
      <c r="AE87" s="72">
        <v>0.09</v>
      </c>
      <c r="AF87" s="72">
        <f>AE:AE/K:K</f>
        <v>0.10843373493975904</v>
      </c>
      <c r="AG87" s="73" t="s">
        <v>75</v>
      </c>
      <c r="AH87" s="72">
        <f>AE:AE/N:N</f>
        <v>0.75</v>
      </c>
      <c r="AI87" s="72">
        <v>0.1</v>
      </c>
      <c r="AJ87" s="72">
        <v>7.0000000000000007E-2</v>
      </c>
      <c r="AK87" s="72">
        <f t="shared" si="67"/>
        <v>1.4285714285714286</v>
      </c>
      <c r="AL87" s="72">
        <f t="shared" si="72"/>
        <v>1.1111111111111112</v>
      </c>
      <c r="AM87" s="72">
        <f t="shared" si="73"/>
        <v>0.83333333333333337</v>
      </c>
      <c r="AN87" s="72">
        <f t="shared" si="74"/>
        <v>0.12048192771084339</v>
      </c>
      <c r="AO87" s="72">
        <f t="shared" si="68"/>
        <v>0.58823529411764708</v>
      </c>
      <c r="AP87" s="72">
        <v>0.17</v>
      </c>
      <c r="AQ87" s="72">
        <v>0.13</v>
      </c>
      <c r="AR87" s="72">
        <f t="shared" si="69"/>
        <v>0.11486486486486487</v>
      </c>
      <c r="AS87" s="72">
        <f t="shared" si="70"/>
        <v>1.3076923076923077</v>
      </c>
      <c r="AT87" s="72">
        <f>AP87/K87</f>
        <v>0.20481927710843376</v>
      </c>
      <c r="AU87" s="72">
        <v>0.08</v>
      </c>
      <c r="AV87" s="72">
        <v>0.11</v>
      </c>
      <c r="AW87" s="72">
        <f t="shared" si="100"/>
        <v>0.72727272727272729</v>
      </c>
      <c r="AX87" s="82">
        <f t="shared" si="101"/>
        <v>2.125</v>
      </c>
      <c r="AY87" s="224" t="s">
        <v>75</v>
      </c>
      <c r="AZ87" s="84">
        <v>13</v>
      </c>
      <c r="BA87" s="71"/>
      <c r="BB87" s="71"/>
      <c r="BC87" s="226"/>
    </row>
    <row r="88" spans="2:55" ht="12.75" customHeight="1" x14ac:dyDescent="0.2">
      <c r="B88" s="69"/>
      <c r="C88" s="71"/>
      <c r="D88" s="71"/>
      <c r="E88" s="71"/>
      <c r="F88" s="72">
        <v>1.48</v>
      </c>
      <c r="G88" s="82">
        <f t="shared" si="61"/>
        <v>3.9209999999999998</v>
      </c>
      <c r="H88" s="82">
        <f t="shared" si="62"/>
        <v>2.6493243243243243</v>
      </c>
      <c r="I88" s="72">
        <v>0.1</v>
      </c>
      <c r="J88" s="72">
        <v>0.05</v>
      </c>
      <c r="K88" s="72">
        <v>0.8</v>
      </c>
      <c r="L88" s="72">
        <v>0.6</v>
      </c>
      <c r="M88" s="72">
        <v>0.66</v>
      </c>
      <c r="N88" s="72">
        <v>0.11</v>
      </c>
      <c r="O88" s="72">
        <f>0.855+0.404+0.342</f>
        <v>1.601</v>
      </c>
      <c r="P88" s="72">
        <f>N:N+O:O</f>
        <v>1.7110000000000001</v>
      </c>
      <c r="Q88" s="82">
        <f t="shared" si="63"/>
        <v>2.1387499999999999</v>
      </c>
      <c r="R88" s="82">
        <f t="shared" si="64"/>
        <v>0.82499999999999996</v>
      </c>
      <c r="S88" s="82">
        <f t="shared" si="65"/>
        <v>0.74999999999999989</v>
      </c>
      <c r="T88" s="82">
        <f t="shared" si="66"/>
        <v>14.554545454545455</v>
      </c>
      <c r="U88" s="72">
        <v>0.26</v>
      </c>
      <c r="V88" s="72">
        <f t="shared" si="76"/>
        <v>15.08076923076923</v>
      </c>
      <c r="W88" s="72">
        <v>0.54</v>
      </c>
      <c r="X88" s="72">
        <v>0.09</v>
      </c>
      <c r="Y88" s="72">
        <f t="shared" si="104"/>
        <v>6.0000000000000009</v>
      </c>
      <c r="Z88" s="72">
        <v>0.35</v>
      </c>
      <c r="AA88" s="72">
        <v>0.47</v>
      </c>
      <c r="AB88" s="72">
        <f t="shared" si="90"/>
        <v>0.31756756756756754</v>
      </c>
      <c r="AC88" s="72">
        <v>1</v>
      </c>
      <c r="AD88" s="72">
        <f t="shared" si="105"/>
        <v>0.67567567567567566</v>
      </c>
      <c r="AE88" s="72">
        <v>0.09</v>
      </c>
      <c r="AF88" s="72">
        <f>AE:AE/K:K</f>
        <v>0.11249999999999999</v>
      </c>
      <c r="AG88" s="72">
        <f>AE:AE/P:P</f>
        <v>5.2600818234950317E-2</v>
      </c>
      <c r="AH88" s="72">
        <f>AE:AE/N:N</f>
        <v>0.81818181818181812</v>
      </c>
      <c r="AI88" s="72">
        <v>0.1</v>
      </c>
      <c r="AJ88" s="72">
        <v>7.0000000000000007E-2</v>
      </c>
      <c r="AK88" s="72">
        <f t="shared" ref="AK88" si="106">AI88/AJ88</f>
        <v>1.4285714285714286</v>
      </c>
      <c r="AL88" s="72">
        <f t="shared" si="72"/>
        <v>1.1111111111111112</v>
      </c>
      <c r="AM88" s="72">
        <f t="shared" si="73"/>
        <v>0.90909090909090917</v>
      </c>
      <c r="AN88" s="72">
        <f t="shared" si="74"/>
        <v>0.125</v>
      </c>
      <c r="AO88" s="72">
        <f t="shared" ref="AO88" si="107">AI88/AP88</f>
        <v>0.66666666666666674</v>
      </c>
      <c r="AP88" s="72">
        <v>0.15</v>
      </c>
      <c r="AQ88" s="72">
        <v>0.13</v>
      </c>
      <c r="AR88" s="72">
        <f t="shared" si="69"/>
        <v>0.10135135135135134</v>
      </c>
      <c r="AS88" s="72">
        <f t="shared" si="70"/>
        <v>1.1538461538461537</v>
      </c>
      <c r="AT88" s="72">
        <f>AP88/K88</f>
        <v>0.18749999999999997</v>
      </c>
      <c r="AU88" s="72">
        <v>0.08</v>
      </c>
      <c r="AV88" s="72">
        <v>0.11</v>
      </c>
      <c r="AW88" s="72">
        <f t="shared" si="100"/>
        <v>0.72727272727272729</v>
      </c>
      <c r="AX88" s="82">
        <f t="shared" si="101"/>
        <v>1.875</v>
      </c>
      <c r="AY88" s="224" t="s">
        <v>75</v>
      </c>
      <c r="AZ88" s="225" t="s">
        <v>75</v>
      </c>
      <c r="BA88" s="71"/>
      <c r="BB88" s="71"/>
      <c r="BC88" s="226"/>
    </row>
    <row r="89" spans="2:55" ht="12.75" customHeight="1" x14ac:dyDescent="0.2">
      <c r="B89" s="86">
        <v>23916</v>
      </c>
      <c r="C89" s="76" t="s">
        <v>261</v>
      </c>
      <c r="D89" s="77" t="s">
        <v>257</v>
      </c>
      <c r="E89" s="77" t="s">
        <v>177</v>
      </c>
      <c r="F89" s="78">
        <v>1.54</v>
      </c>
      <c r="G89" s="80">
        <f t="shared" si="61"/>
        <v>3.83</v>
      </c>
      <c r="H89" s="80">
        <f t="shared" si="62"/>
        <v>2.4870129870129869</v>
      </c>
      <c r="I89" s="78">
        <v>0.1</v>
      </c>
      <c r="J89" s="78">
        <v>0.06</v>
      </c>
      <c r="K89" s="78">
        <v>0.8</v>
      </c>
      <c r="L89" s="78">
        <v>0.55000000000000004</v>
      </c>
      <c r="M89" s="78">
        <v>0.61</v>
      </c>
      <c r="N89" s="78">
        <v>0.11</v>
      </c>
      <c r="O89" s="78">
        <f>0.47+0.43+0.7</f>
        <v>1.5999999999999999</v>
      </c>
      <c r="P89" s="78">
        <f>N:N+O:O</f>
        <v>1.71</v>
      </c>
      <c r="Q89" s="80">
        <f t="shared" si="63"/>
        <v>2.1374999999999997</v>
      </c>
      <c r="R89" s="80">
        <f t="shared" si="64"/>
        <v>0.76249999999999996</v>
      </c>
      <c r="S89" s="80">
        <f t="shared" si="65"/>
        <v>0.6875</v>
      </c>
      <c r="T89" s="80">
        <f t="shared" si="66"/>
        <v>14.545454545454545</v>
      </c>
      <c r="U89" s="78">
        <v>0.28999999999999998</v>
      </c>
      <c r="V89" s="78">
        <f t="shared" si="76"/>
        <v>13.206896551724139</v>
      </c>
      <c r="W89" s="78">
        <v>0.55000000000000004</v>
      </c>
      <c r="X89" s="78">
        <v>0.09</v>
      </c>
      <c r="Y89" s="78">
        <f t="shared" si="104"/>
        <v>6.1111111111111116</v>
      </c>
      <c r="Z89" s="78">
        <v>0.36</v>
      </c>
      <c r="AA89" s="78">
        <v>0.49</v>
      </c>
      <c r="AB89" s="78">
        <f t="shared" si="90"/>
        <v>0.31818181818181818</v>
      </c>
      <c r="AC89" s="78">
        <v>1</v>
      </c>
      <c r="AD89" s="78">
        <f t="shared" si="105"/>
        <v>0.64935064935064934</v>
      </c>
      <c r="AE89" s="78">
        <v>0.09</v>
      </c>
      <c r="AF89" s="78">
        <f>AE:AE/K:K</f>
        <v>0.11249999999999999</v>
      </c>
      <c r="AG89" s="78">
        <f>AE:AE/P:P</f>
        <v>5.2631578947368418E-2</v>
      </c>
      <c r="AH89" s="78">
        <f>AE:AE/N:N</f>
        <v>0.81818181818181812</v>
      </c>
      <c r="AI89" s="78">
        <v>0.09</v>
      </c>
      <c r="AJ89" s="78">
        <v>0.06</v>
      </c>
      <c r="AK89" s="78">
        <f t="shared" si="67"/>
        <v>1.5</v>
      </c>
      <c r="AL89" s="78">
        <f t="shared" si="72"/>
        <v>1</v>
      </c>
      <c r="AM89" s="78">
        <f t="shared" si="73"/>
        <v>0.81818181818181812</v>
      </c>
      <c r="AN89" s="78">
        <f t="shared" si="74"/>
        <v>0.11249999999999999</v>
      </c>
      <c r="AO89" s="78">
        <f t="shared" si="68"/>
        <v>0.5625</v>
      </c>
      <c r="AP89" s="78">
        <v>0.16</v>
      </c>
      <c r="AQ89" s="78">
        <v>0.09</v>
      </c>
      <c r="AR89" s="78">
        <f t="shared" si="69"/>
        <v>0.10389610389610389</v>
      </c>
      <c r="AS89" s="78">
        <f t="shared" si="70"/>
        <v>1.7777777777777779</v>
      </c>
      <c r="AT89" s="78">
        <f>AP89/K89</f>
        <v>0.19999999999999998</v>
      </c>
      <c r="AU89" s="78">
        <v>0.09</v>
      </c>
      <c r="AV89" s="78">
        <v>0.09</v>
      </c>
      <c r="AW89" s="78">
        <f t="shared" si="100"/>
        <v>1</v>
      </c>
      <c r="AX89" s="80">
        <f t="shared" si="101"/>
        <v>1.7777777777777779</v>
      </c>
      <c r="AY89" s="215" t="s">
        <v>75</v>
      </c>
      <c r="AZ89" s="87">
        <v>13</v>
      </c>
      <c r="BA89" s="77"/>
      <c r="BB89" s="77"/>
      <c r="BC89" s="217"/>
    </row>
    <row r="90" spans="2:55" ht="12.75" customHeight="1" x14ac:dyDescent="0.2">
      <c r="B90" s="75"/>
      <c r="C90" s="77"/>
      <c r="D90" s="77"/>
      <c r="E90" s="77"/>
      <c r="F90" s="78">
        <v>1.54</v>
      </c>
      <c r="G90" s="80">
        <f t="shared" si="61"/>
        <v>3.7800000000000002</v>
      </c>
      <c r="H90" s="80">
        <f t="shared" si="62"/>
        <v>2.4545454545454546</v>
      </c>
      <c r="I90" s="78">
        <v>0.1</v>
      </c>
      <c r="J90" s="78">
        <v>0.05</v>
      </c>
      <c r="K90" s="78">
        <v>0.78</v>
      </c>
      <c r="L90" s="78">
        <v>0.54</v>
      </c>
      <c r="M90" s="78">
        <v>0.6</v>
      </c>
      <c r="N90" s="78">
        <v>0.11</v>
      </c>
      <c r="O90" s="78">
        <f>0.68+0.52+0.4</f>
        <v>1.6</v>
      </c>
      <c r="P90" s="78">
        <f>N:N+O:O</f>
        <v>1.7100000000000002</v>
      </c>
      <c r="Q90" s="80">
        <f t="shared" si="63"/>
        <v>2.1923076923076925</v>
      </c>
      <c r="R90" s="80">
        <f t="shared" si="64"/>
        <v>0.76923076923076916</v>
      </c>
      <c r="S90" s="80">
        <f t="shared" si="65"/>
        <v>0.69230769230769229</v>
      </c>
      <c r="T90" s="80">
        <f t="shared" si="66"/>
        <v>14.545454545454547</v>
      </c>
      <c r="U90" s="78">
        <v>0.28999999999999998</v>
      </c>
      <c r="V90" s="78">
        <f t="shared" si="76"/>
        <v>13.034482758620692</v>
      </c>
      <c r="W90" s="78">
        <v>0.53</v>
      </c>
      <c r="X90" s="78">
        <v>0.09</v>
      </c>
      <c r="Y90" s="78">
        <f t="shared" si="104"/>
        <v>5.8888888888888893</v>
      </c>
      <c r="Z90" s="79" t="s">
        <v>75</v>
      </c>
      <c r="AA90" s="78">
        <v>0.48</v>
      </c>
      <c r="AB90" s="78">
        <f t="shared" si="90"/>
        <v>0.31168831168831168</v>
      </c>
      <c r="AC90" s="78">
        <v>1</v>
      </c>
      <c r="AD90" s="78">
        <f t="shared" si="105"/>
        <v>0.64935064935064934</v>
      </c>
      <c r="AE90" s="78">
        <v>0.09</v>
      </c>
      <c r="AF90" s="78">
        <f>AE:AE/K:K</f>
        <v>0.11538461538461538</v>
      </c>
      <c r="AG90" s="78">
        <f>AE:AE/P:P</f>
        <v>5.2631578947368411E-2</v>
      </c>
      <c r="AH90" s="78">
        <f>AE:AE/N:N</f>
        <v>0.81818181818181812</v>
      </c>
      <c r="AI90" s="78">
        <v>0.09</v>
      </c>
      <c r="AJ90" s="78">
        <v>0.06</v>
      </c>
      <c r="AK90" s="78">
        <f t="shared" ref="AK90" si="108">AI90/AJ90</f>
        <v>1.5</v>
      </c>
      <c r="AL90" s="78">
        <f t="shared" si="72"/>
        <v>1</v>
      </c>
      <c r="AM90" s="78">
        <f t="shared" si="73"/>
        <v>0.81818181818181812</v>
      </c>
      <c r="AN90" s="78">
        <f t="shared" si="74"/>
        <v>0.11538461538461538</v>
      </c>
      <c r="AO90" s="78">
        <f t="shared" ref="AO90" si="109">AI90/AP90</f>
        <v>0.5625</v>
      </c>
      <c r="AP90" s="78">
        <v>0.16</v>
      </c>
      <c r="AQ90" s="78">
        <v>0.1</v>
      </c>
      <c r="AR90" s="78">
        <f t="shared" si="69"/>
        <v>0.10389610389610389</v>
      </c>
      <c r="AS90" s="78">
        <f t="shared" si="70"/>
        <v>1.5999999999999999</v>
      </c>
      <c r="AT90" s="78">
        <f>AP90/K90</f>
        <v>0.20512820512820512</v>
      </c>
      <c r="AU90" s="78">
        <v>0.09</v>
      </c>
      <c r="AV90" s="78">
        <v>0.09</v>
      </c>
      <c r="AW90" s="78">
        <f t="shared" si="100"/>
        <v>1</v>
      </c>
      <c r="AX90" s="80">
        <f t="shared" si="101"/>
        <v>1.7777777777777779</v>
      </c>
      <c r="AY90" s="215" t="s">
        <v>75</v>
      </c>
      <c r="AZ90" s="87">
        <v>14</v>
      </c>
      <c r="BA90" s="77"/>
      <c r="BB90" s="77"/>
      <c r="BC90" s="217"/>
    </row>
    <row r="91" spans="2:55" ht="12.75" customHeight="1" x14ac:dyDescent="0.2">
      <c r="B91" s="83">
        <v>23916</v>
      </c>
      <c r="C91" s="70" t="s">
        <v>261</v>
      </c>
      <c r="D91" s="71" t="s">
        <v>257</v>
      </c>
      <c r="E91" s="71" t="s">
        <v>177</v>
      </c>
      <c r="F91" s="72">
        <v>1.77</v>
      </c>
      <c r="G91" s="110" t="s">
        <v>75</v>
      </c>
      <c r="H91" s="110" t="s">
        <v>75</v>
      </c>
      <c r="I91" s="72">
        <v>0.11</v>
      </c>
      <c r="J91" s="72">
        <v>0.05</v>
      </c>
      <c r="K91" s="72">
        <v>0.91</v>
      </c>
      <c r="L91" s="73" t="s">
        <v>75</v>
      </c>
      <c r="M91" s="73" t="s">
        <v>75</v>
      </c>
      <c r="N91" s="73" t="s">
        <v>75</v>
      </c>
      <c r="O91" s="73" t="s">
        <v>75</v>
      </c>
      <c r="P91" s="73" t="s">
        <v>75</v>
      </c>
      <c r="Q91" s="110" t="s">
        <v>75</v>
      </c>
      <c r="R91" s="110" t="s">
        <v>75</v>
      </c>
      <c r="S91" s="110" t="s">
        <v>75</v>
      </c>
      <c r="T91" s="110" t="s">
        <v>75</v>
      </c>
      <c r="U91" s="72">
        <v>0.28999999999999998</v>
      </c>
      <c r="V91" s="73" t="s">
        <v>75</v>
      </c>
      <c r="W91" s="72">
        <v>0.64</v>
      </c>
      <c r="X91" s="72">
        <v>0.08</v>
      </c>
      <c r="Y91" s="72">
        <f t="shared" si="104"/>
        <v>8</v>
      </c>
      <c r="Z91" s="72">
        <v>0.42</v>
      </c>
      <c r="AA91" s="72">
        <v>0.56999999999999995</v>
      </c>
      <c r="AB91" s="72">
        <f t="shared" si="90"/>
        <v>0.32203389830508472</v>
      </c>
      <c r="AC91" s="72">
        <v>1.2</v>
      </c>
      <c r="AD91" s="72">
        <f t="shared" si="105"/>
        <v>0.67796610169491522</v>
      </c>
      <c r="AE91" s="72">
        <v>0.09</v>
      </c>
      <c r="AF91" s="72">
        <f>AE:AE/K:K</f>
        <v>9.8901098901098897E-2</v>
      </c>
      <c r="AG91" s="73" t="s">
        <v>75</v>
      </c>
      <c r="AH91" s="73" t="s">
        <v>75</v>
      </c>
      <c r="AI91" s="72">
        <v>0.1</v>
      </c>
      <c r="AJ91" s="72">
        <v>7.0000000000000007E-2</v>
      </c>
      <c r="AK91" s="72">
        <f t="shared" si="67"/>
        <v>1.4285714285714286</v>
      </c>
      <c r="AL91" s="72">
        <f t="shared" si="72"/>
        <v>1.1111111111111112</v>
      </c>
      <c r="AM91" s="73" t="s">
        <v>75</v>
      </c>
      <c r="AN91" s="72">
        <f t="shared" si="74"/>
        <v>0.10989010989010989</v>
      </c>
      <c r="AO91" s="72">
        <f t="shared" si="68"/>
        <v>0.52631578947368418</v>
      </c>
      <c r="AP91" s="72">
        <v>0.19</v>
      </c>
      <c r="AQ91" s="72">
        <v>0.15</v>
      </c>
      <c r="AR91" s="72">
        <f t="shared" si="69"/>
        <v>0.10734463276836158</v>
      </c>
      <c r="AS91" s="72">
        <f t="shared" si="70"/>
        <v>1.2666666666666668</v>
      </c>
      <c r="AT91" s="72">
        <f>AP91/K91</f>
        <v>0.2087912087912088</v>
      </c>
      <c r="AU91" s="72">
        <v>0.1</v>
      </c>
      <c r="AV91" s="72">
        <v>0.13</v>
      </c>
      <c r="AW91" s="72">
        <f t="shared" si="100"/>
        <v>0.76923076923076927</v>
      </c>
      <c r="AX91" s="82">
        <f t="shared" si="101"/>
        <v>1.9</v>
      </c>
      <c r="AY91" s="224" t="s">
        <v>75</v>
      </c>
      <c r="AZ91" s="84">
        <v>16</v>
      </c>
      <c r="BA91" s="71"/>
      <c r="BB91" s="71"/>
      <c r="BC91" s="226"/>
    </row>
    <row r="92" spans="2:55" ht="12.75" customHeight="1" x14ac:dyDescent="0.2">
      <c r="B92" s="69"/>
      <c r="C92" s="71"/>
      <c r="D92" s="71"/>
      <c r="E92" s="71"/>
      <c r="F92" s="72">
        <v>1.77</v>
      </c>
      <c r="G92" s="110" t="s">
        <v>75</v>
      </c>
      <c r="H92" s="110" t="s">
        <v>75</v>
      </c>
      <c r="I92" s="72">
        <v>0.11</v>
      </c>
      <c r="J92" s="72">
        <v>0.05</v>
      </c>
      <c r="K92" s="73" t="s">
        <v>75</v>
      </c>
      <c r="L92" s="73" t="s">
        <v>75</v>
      </c>
      <c r="M92" s="73" t="s">
        <v>75</v>
      </c>
      <c r="N92" s="73" t="s">
        <v>75</v>
      </c>
      <c r="O92" s="73" t="s">
        <v>75</v>
      </c>
      <c r="P92" s="73" t="s">
        <v>75</v>
      </c>
      <c r="Q92" s="110" t="s">
        <v>75</v>
      </c>
      <c r="R92" s="110" t="s">
        <v>75</v>
      </c>
      <c r="S92" s="110" t="s">
        <v>75</v>
      </c>
      <c r="T92" s="110" t="s">
        <v>75</v>
      </c>
      <c r="U92" s="72">
        <v>0.28999999999999998</v>
      </c>
      <c r="V92" s="73" t="s">
        <v>75</v>
      </c>
      <c r="W92" s="72">
        <v>0.62</v>
      </c>
      <c r="X92" s="72">
        <v>7.0000000000000007E-2</v>
      </c>
      <c r="Y92" s="72">
        <f t="shared" si="104"/>
        <v>8.8571428571428559</v>
      </c>
      <c r="Z92" s="72">
        <v>0.39</v>
      </c>
      <c r="AA92" s="72">
        <v>0.57999999999999996</v>
      </c>
      <c r="AB92" s="72">
        <f t="shared" si="90"/>
        <v>0.32768361581920902</v>
      </c>
      <c r="AC92" s="72">
        <v>1.2</v>
      </c>
      <c r="AD92" s="72">
        <f t="shared" si="105"/>
        <v>0.67796610169491522</v>
      </c>
      <c r="AE92" s="72">
        <v>0.1</v>
      </c>
      <c r="AF92" s="73" t="s">
        <v>75</v>
      </c>
      <c r="AG92" s="73" t="s">
        <v>75</v>
      </c>
      <c r="AH92" s="73" t="s">
        <v>75</v>
      </c>
      <c r="AI92" s="72">
        <v>0.1</v>
      </c>
      <c r="AJ92" s="72">
        <v>7.0000000000000007E-2</v>
      </c>
      <c r="AK92" s="72">
        <f t="shared" ref="AK92" si="110">AI92/AJ92</f>
        <v>1.4285714285714286</v>
      </c>
      <c r="AL92" s="72">
        <f t="shared" si="72"/>
        <v>1</v>
      </c>
      <c r="AM92" s="73" t="s">
        <v>75</v>
      </c>
      <c r="AN92" s="73" t="s">
        <v>75</v>
      </c>
      <c r="AO92" s="72">
        <f t="shared" ref="AO92" si="111">AI92/AP92</f>
        <v>0.58823529411764708</v>
      </c>
      <c r="AP92" s="72">
        <v>0.17</v>
      </c>
      <c r="AQ92" s="72">
        <v>0.14000000000000001</v>
      </c>
      <c r="AR92" s="72">
        <f t="shared" si="69"/>
        <v>9.6045197740112997E-2</v>
      </c>
      <c r="AS92" s="72">
        <f t="shared" si="70"/>
        <v>1.2142857142857142</v>
      </c>
      <c r="AT92" s="73" t="s">
        <v>75</v>
      </c>
      <c r="AU92" s="72">
        <v>0.1</v>
      </c>
      <c r="AV92" s="72">
        <v>0.13</v>
      </c>
      <c r="AW92" s="72">
        <f t="shared" si="100"/>
        <v>0.76923076923076927</v>
      </c>
      <c r="AX92" s="82">
        <f t="shared" si="101"/>
        <v>1.7</v>
      </c>
      <c r="AY92" s="224" t="s">
        <v>75</v>
      </c>
      <c r="AZ92" s="225" t="s">
        <v>75</v>
      </c>
      <c r="BA92" s="71"/>
      <c r="BB92" s="71"/>
      <c r="BC92" s="226"/>
    </row>
    <row r="93" spans="2:55" ht="12.75" customHeight="1" x14ac:dyDescent="0.2">
      <c r="B93" s="86">
        <v>21720</v>
      </c>
      <c r="C93" s="76" t="s">
        <v>261</v>
      </c>
      <c r="D93" s="77" t="s">
        <v>258</v>
      </c>
      <c r="E93" s="77" t="s">
        <v>177</v>
      </c>
      <c r="F93" s="78">
        <v>1.69</v>
      </c>
      <c r="G93" s="80">
        <f t="shared" si="61"/>
        <v>3.94</v>
      </c>
      <c r="H93" s="80">
        <f t="shared" si="62"/>
        <v>2.331360946745562</v>
      </c>
      <c r="I93" s="78">
        <v>0.09</v>
      </c>
      <c r="J93" s="78">
        <v>0.05</v>
      </c>
      <c r="K93" s="78">
        <v>0.84</v>
      </c>
      <c r="L93" s="78">
        <v>0.63</v>
      </c>
      <c r="M93" s="78">
        <v>0.65</v>
      </c>
      <c r="N93" s="78">
        <v>0.12</v>
      </c>
      <c r="O93" s="78">
        <v>1.56</v>
      </c>
      <c r="P93" s="78">
        <f>N:N+O:O</f>
        <v>1.6800000000000002</v>
      </c>
      <c r="Q93" s="80">
        <f t="shared" si="63"/>
        <v>2.0000000000000004</v>
      </c>
      <c r="R93" s="80">
        <f t="shared" si="64"/>
        <v>0.77380952380952384</v>
      </c>
      <c r="S93" s="80">
        <f t="shared" si="65"/>
        <v>0.75</v>
      </c>
      <c r="T93" s="80">
        <f t="shared" si="66"/>
        <v>13.000000000000002</v>
      </c>
      <c r="U93" s="79" t="s">
        <v>75</v>
      </c>
      <c r="V93" s="79" t="s">
        <v>75</v>
      </c>
      <c r="W93" s="78">
        <v>0.57999999999999996</v>
      </c>
      <c r="X93" s="78">
        <v>0.1</v>
      </c>
      <c r="Y93" s="78">
        <f t="shared" si="104"/>
        <v>5.7999999999999989</v>
      </c>
      <c r="Z93" s="78">
        <v>0.36</v>
      </c>
      <c r="AA93" s="78">
        <v>0.51</v>
      </c>
      <c r="AB93" s="78">
        <f t="shared" si="90"/>
        <v>0.30177514792899413</v>
      </c>
      <c r="AC93" s="78">
        <v>1.1000000000000001</v>
      </c>
      <c r="AD93" s="78">
        <f t="shared" si="105"/>
        <v>0.65088757396449715</v>
      </c>
      <c r="AE93" s="78">
        <v>0.09</v>
      </c>
      <c r="AF93" s="78">
        <f>AE:AE/K:K</f>
        <v>0.10714285714285714</v>
      </c>
      <c r="AG93" s="78">
        <f>AE:AE/P:P</f>
        <v>5.3571428571428562E-2</v>
      </c>
      <c r="AH93" s="78">
        <f>AE:AE/N:N</f>
        <v>0.75</v>
      </c>
      <c r="AI93" s="78">
        <v>0.09</v>
      </c>
      <c r="AJ93" s="78">
        <v>0.06</v>
      </c>
      <c r="AK93" s="78">
        <f t="shared" si="67"/>
        <v>1.5</v>
      </c>
      <c r="AL93" s="78">
        <f t="shared" si="72"/>
        <v>1</v>
      </c>
      <c r="AM93" s="78">
        <f t="shared" si="73"/>
        <v>0.75</v>
      </c>
      <c r="AN93" s="78">
        <f t="shared" si="74"/>
        <v>0.10714285714285714</v>
      </c>
      <c r="AO93" s="78">
        <f t="shared" si="68"/>
        <v>0.5625</v>
      </c>
      <c r="AP93" s="78">
        <v>0.16</v>
      </c>
      <c r="AQ93" s="78">
        <v>0.13</v>
      </c>
      <c r="AR93" s="78">
        <f t="shared" si="69"/>
        <v>9.4674556213017763E-2</v>
      </c>
      <c r="AS93" s="78">
        <f t="shared" si="70"/>
        <v>1.2307692307692308</v>
      </c>
      <c r="AT93" s="78">
        <f t="shared" ref="AT93:AT102" si="112">AP93/K93</f>
        <v>0.19047619047619049</v>
      </c>
      <c r="AU93" s="79" t="s">
        <v>75</v>
      </c>
      <c r="AV93" s="79" t="s">
        <v>75</v>
      </c>
      <c r="AW93" s="79" t="s">
        <v>75</v>
      </c>
      <c r="AX93" s="114" t="s">
        <v>75</v>
      </c>
      <c r="AY93" s="215" t="s">
        <v>75</v>
      </c>
      <c r="AZ93" s="87">
        <v>12</v>
      </c>
      <c r="BA93" s="77"/>
      <c r="BB93" s="77"/>
      <c r="BC93" s="217"/>
    </row>
    <row r="94" spans="2:55" ht="12.75" customHeight="1" x14ac:dyDescent="0.2">
      <c r="B94" s="75"/>
      <c r="C94" s="77"/>
      <c r="D94" s="77"/>
      <c r="E94" s="77"/>
      <c r="F94" s="78">
        <v>1.69</v>
      </c>
      <c r="G94" s="80">
        <f t="shared" si="61"/>
        <v>4.04</v>
      </c>
      <c r="H94" s="80">
        <f t="shared" si="62"/>
        <v>2.3905325443786984</v>
      </c>
      <c r="I94" s="78">
        <v>0.1</v>
      </c>
      <c r="J94" s="78">
        <v>0.05</v>
      </c>
      <c r="K94" s="78">
        <v>0.85</v>
      </c>
      <c r="L94" s="78">
        <v>0.62</v>
      </c>
      <c r="M94" s="78">
        <v>0.63</v>
      </c>
      <c r="N94" s="78">
        <v>0.12</v>
      </c>
      <c r="O94" s="78">
        <v>1.67</v>
      </c>
      <c r="P94" s="78">
        <f>N:N+O:O</f>
        <v>1.79</v>
      </c>
      <c r="Q94" s="80">
        <f t="shared" si="63"/>
        <v>2.1058823529411765</v>
      </c>
      <c r="R94" s="80">
        <f t="shared" si="64"/>
        <v>0.74117647058823533</v>
      </c>
      <c r="S94" s="80">
        <f t="shared" si="65"/>
        <v>0.72941176470588232</v>
      </c>
      <c r="T94" s="80">
        <f t="shared" si="66"/>
        <v>13.916666666666666</v>
      </c>
      <c r="U94" s="79" t="s">
        <v>75</v>
      </c>
      <c r="V94" s="79" t="s">
        <v>75</v>
      </c>
      <c r="W94" s="79" t="s">
        <v>75</v>
      </c>
      <c r="X94" s="79" t="s">
        <v>75</v>
      </c>
      <c r="Y94" s="79" t="s">
        <v>75</v>
      </c>
      <c r="Z94" s="78">
        <v>0.38</v>
      </c>
      <c r="AA94" s="79" t="s">
        <v>75</v>
      </c>
      <c r="AB94" s="79" t="s">
        <v>75</v>
      </c>
      <c r="AC94" s="79" t="s">
        <v>75</v>
      </c>
      <c r="AD94" s="79" t="s">
        <v>75</v>
      </c>
      <c r="AE94" s="79" t="s">
        <v>75</v>
      </c>
      <c r="AF94" s="79" t="s">
        <v>75</v>
      </c>
      <c r="AG94" s="79" t="s">
        <v>75</v>
      </c>
      <c r="AH94" s="79" t="s">
        <v>75</v>
      </c>
      <c r="AI94" s="78">
        <v>0.09</v>
      </c>
      <c r="AJ94" s="78">
        <v>0.06</v>
      </c>
      <c r="AK94" s="78">
        <f t="shared" ref="AK94" si="113">AI94/AJ94</f>
        <v>1.5</v>
      </c>
      <c r="AL94" s="79" t="s">
        <v>75</v>
      </c>
      <c r="AM94" s="78">
        <f t="shared" si="73"/>
        <v>0.75</v>
      </c>
      <c r="AN94" s="78">
        <f t="shared" si="74"/>
        <v>0.10588235294117647</v>
      </c>
      <c r="AO94" s="78">
        <f t="shared" ref="AO94" si="114">AI94/AP94</f>
        <v>0.64285714285714279</v>
      </c>
      <c r="AP94" s="78">
        <v>0.14000000000000001</v>
      </c>
      <c r="AQ94" s="78">
        <v>0.13</v>
      </c>
      <c r="AR94" s="78">
        <f t="shared" si="69"/>
        <v>8.2840236686390539E-2</v>
      </c>
      <c r="AS94" s="78">
        <f t="shared" si="70"/>
        <v>1.0769230769230771</v>
      </c>
      <c r="AT94" s="78">
        <f t="shared" si="112"/>
        <v>0.1647058823529412</v>
      </c>
      <c r="AU94" s="79" t="s">
        <v>75</v>
      </c>
      <c r="AV94" s="79" t="s">
        <v>75</v>
      </c>
      <c r="AW94" s="79" t="s">
        <v>75</v>
      </c>
      <c r="AX94" s="114" t="s">
        <v>75</v>
      </c>
      <c r="AY94" s="215" t="s">
        <v>75</v>
      </c>
      <c r="AZ94" s="87">
        <v>13</v>
      </c>
      <c r="BA94" s="77"/>
      <c r="BB94" s="77"/>
      <c r="BC94" s="217"/>
    </row>
    <row r="95" spans="2:55" ht="12.75" customHeight="1" x14ac:dyDescent="0.2">
      <c r="B95" s="83">
        <v>21720</v>
      </c>
      <c r="C95" s="70" t="s">
        <v>261</v>
      </c>
      <c r="D95" s="71" t="s">
        <v>258</v>
      </c>
      <c r="E95" s="71" t="s">
        <v>177</v>
      </c>
      <c r="F95" s="72">
        <v>1.65</v>
      </c>
      <c r="G95" s="82">
        <f t="shared" si="61"/>
        <v>3.29</v>
      </c>
      <c r="H95" s="82">
        <f t="shared" si="62"/>
        <v>1.9939393939393941</v>
      </c>
      <c r="I95" s="72">
        <v>0.1</v>
      </c>
      <c r="J95" s="72">
        <v>0.04</v>
      </c>
      <c r="K95" s="72">
        <v>0.85</v>
      </c>
      <c r="L95" s="72">
        <v>0.62</v>
      </c>
      <c r="M95" s="72">
        <v>0.66</v>
      </c>
      <c r="N95" s="72">
        <v>0.12</v>
      </c>
      <c r="O95" s="72">
        <v>0.9</v>
      </c>
      <c r="P95" s="72">
        <f>N:N+O:O</f>
        <v>1.02</v>
      </c>
      <c r="Q95" s="82">
        <f t="shared" si="63"/>
        <v>1.2</v>
      </c>
      <c r="R95" s="82">
        <f t="shared" si="64"/>
        <v>0.77647058823529413</v>
      </c>
      <c r="S95" s="82">
        <f t="shared" si="65"/>
        <v>0.72941176470588232</v>
      </c>
      <c r="T95" s="82">
        <f t="shared" si="66"/>
        <v>7.5000000000000009</v>
      </c>
      <c r="U95" s="72">
        <v>0.28000000000000003</v>
      </c>
      <c r="V95" s="72">
        <f t="shared" si="76"/>
        <v>11.749999999999998</v>
      </c>
      <c r="W95" s="72">
        <v>0.59</v>
      </c>
      <c r="X95" s="72">
        <v>0.1</v>
      </c>
      <c r="Y95" s="72">
        <f t="shared" ref="Y95:Y104" si="115">W:W/X:X</f>
        <v>5.8999999999999995</v>
      </c>
      <c r="Z95" s="72">
        <v>0.36</v>
      </c>
      <c r="AA95" s="72">
        <v>0.52</v>
      </c>
      <c r="AB95" s="72">
        <f t="shared" ref="AB95:AB104" si="116">AA95/F95</f>
        <v>0.31515151515151518</v>
      </c>
      <c r="AC95" s="72">
        <v>1.1000000000000001</v>
      </c>
      <c r="AD95" s="72">
        <f t="shared" ref="AD95:AD104" si="117">AC95/F95</f>
        <v>0.66666666666666674</v>
      </c>
      <c r="AE95" s="72">
        <v>0.08</v>
      </c>
      <c r="AF95" s="72">
        <f t="shared" ref="AF95:AF102" si="118">AE:AE/K:K</f>
        <v>9.4117647058823528E-2</v>
      </c>
      <c r="AG95" s="72">
        <f>AE:AE/P:P</f>
        <v>7.8431372549019607E-2</v>
      </c>
      <c r="AH95" s="72">
        <f t="shared" ref="AH95:AH102" si="119">AE:AE/N:N</f>
        <v>0.66666666666666674</v>
      </c>
      <c r="AI95" s="72">
        <v>0.09</v>
      </c>
      <c r="AJ95" s="72">
        <v>0.08</v>
      </c>
      <c r="AK95" s="72">
        <f t="shared" si="67"/>
        <v>1.125</v>
      </c>
      <c r="AL95" s="72">
        <f t="shared" si="72"/>
        <v>1.125</v>
      </c>
      <c r="AM95" s="72">
        <f t="shared" si="73"/>
        <v>0.75</v>
      </c>
      <c r="AN95" s="72">
        <f t="shared" si="74"/>
        <v>0.10588235294117647</v>
      </c>
      <c r="AO95" s="72">
        <f t="shared" si="68"/>
        <v>0.52941176470588225</v>
      </c>
      <c r="AP95" s="72">
        <v>0.17</v>
      </c>
      <c r="AQ95" s="72">
        <v>0.12</v>
      </c>
      <c r="AR95" s="72">
        <f t="shared" si="69"/>
        <v>0.10303030303030304</v>
      </c>
      <c r="AS95" s="72">
        <f t="shared" si="70"/>
        <v>1.4166666666666667</v>
      </c>
      <c r="AT95" s="72">
        <f t="shared" si="112"/>
        <v>0.2</v>
      </c>
      <c r="AU95" s="72">
        <v>0.1</v>
      </c>
      <c r="AV95" s="72">
        <v>0.12</v>
      </c>
      <c r="AW95" s="72">
        <f>AU95/AV95</f>
        <v>0.83333333333333337</v>
      </c>
      <c r="AX95" s="82">
        <f>AP95/AU95</f>
        <v>1.7</v>
      </c>
      <c r="AY95" s="224" t="s">
        <v>75</v>
      </c>
      <c r="AZ95" s="84">
        <v>14</v>
      </c>
      <c r="BA95" s="71"/>
      <c r="BB95" s="71"/>
      <c r="BC95" s="226"/>
    </row>
    <row r="96" spans="2:55" ht="12.75" customHeight="1" x14ac:dyDescent="0.2">
      <c r="B96" s="69"/>
      <c r="C96" s="71"/>
      <c r="D96" s="71"/>
      <c r="E96" s="71"/>
      <c r="F96" s="72">
        <v>1.65</v>
      </c>
      <c r="G96" s="82">
        <f t="shared" si="61"/>
        <v>3.3600000000000003</v>
      </c>
      <c r="H96" s="82">
        <f t="shared" si="62"/>
        <v>2.0363636363636366</v>
      </c>
      <c r="I96" s="72">
        <v>0.1</v>
      </c>
      <c r="J96" s="72">
        <v>0.05</v>
      </c>
      <c r="K96" s="72">
        <v>0.84</v>
      </c>
      <c r="L96" s="72">
        <v>0.59</v>
      </c>
      <c r="M96" s="72">
        <v>0.66</v>
      </c>
      <c r="N96" s="72">
        <v>0.12</v>
      </c>
      <c r="O96" s="72">
        <v>1</v>
      </c>
      <c r="P96" s="72">
        <f>N:N+O:O</f>
        <v>1.1200000000000001</v>
      </c>
      <c r="Q96" s="82">
        <f t="shared" si="63"/>
        <v>1.3333333333333335</v>
      </c>
      <c r="R96" s="82">
        <f t="shared" si="64"/>
        <v>0.78571428571428581</v>
      </c>
      <c r="S96" s="82">
        <f t="shared" si="65"/>
        <v>0.70238095238095233</v>
      </c>
      <c r="T96" s="82">
        <f t="shared" si="66"/>
        <v>8.3333333333333339</v>
      </c>
      <c r="U96" s="72">
        <v>0.28000000000000003</v>
      </c>
      <c r="V96" s="72">
        <f t="shared" si="76"/>
        <v>12</v>
      </c>
      <c r="W96" s="72">
        <v>0.61</v>
      </c>
      <c r="X96" s="72">
        <v>0.1</v>
      </c>
      <c r="Y96" s="72">
        <f t="shared" si="115"/>
        <v>6.1</v>
      </c>
      <c r="Z96" s="72">
        <v>0.35</v>
      </c>
      <c r="AA96" s="72">
        <v>0.51</v>
      </c>
      <c r="AB96" s="72">
        <f t="shared" si="116"/>
        <v>0.30909090909090914</v>
      </c>
      <c r="AC96" s="72">
        <v>1.1000000000000001</v>
      </c>
      <c r="AD96" s="72">
        <f t="shared" si="117"/>
        <v>0.66666666666666674</v>
      </c>
      <c r="AE96" s="72">
        <v>0.08</v>
      </c>
      <c r="AF96" s="72">
        <f t="shared" si="118"/>
        <v>9.5238095238095247E-2</v>
      </c>
      <c r="AG96" s="72">
        <f>AE:AE/P:P</f>
        <v>7.1428571428571425E-2</v>
      </c>
      <c r="AH96" s="72">
        <f t="shared" si="119"/>
        <v>0.66666666666666674</v>
      </c>
      <c r="AI96" s="72">
        <v>0.09</v>
      </c>
      <c r="AJ96" s="72">
        <v>0.08</v>
      </c>
      <c r="AK96" s="72">
        <f t="shared" ref="AK96" si="120">AI96/AJ96</f>
        <v>1.125</v>
      </c>
      <c r="AL96" s="72">
        <f t="shared" si="72"/>
        <v>1.125</v>
      </c>
      <c r="AM96" s="72">
        <f t="shared" si="73"/>
        <v>0.75</v>
      </c>
      <c r="AN96" s="72">
        <f t="shared" si="74"/>
        <v>0.10714285714285714</v>
      </c>
      <c r="AO96" s="72">
        <f t="shared" ref="AO96" si="121">AI96/AP96</f>
        <v>0.52941176470588225</v>
      </c>
      <c r="AP96" s="72">
        <v>0.17</v>
      </c>
      <c r="AQ96" s="72">
        <v>0.16</v>
      </c>
      <c r="AR96" s="72">
        <f t="shared" si="69"/>
        <v>0.10303030303030304</v>
      </c>
      <c r="AS96" s="72">
        <f t="shared" si="70"/>
        <v>1.0625</v>
      </c>
      <c r="AT96" s="72">
        <f t="shared" si="112"/>
        <v>0.20238095238095241</v>
      </c>
      <c r="AU96" s="72">
        <v>0.1</v>
      </c>
      <c r="AV96" s="72">
        <v>0.12</v>
      </c>
      <c r="AW96" s="72">
        <f>AU96/AV96</f>
        <v>0.83333333333333337</v>
      </c>
      <c r="AX96" s="82">
        <f>AP96/AU96</f>
        <v>1.7</v>
      </c>
      <c r="AY96" s="224" t="s">
        <v>75</v>
      </c>
      <c r="AZ96" s="225" t="s">
        <v>75</v>
      </c>
      <c r="BA96" s="71"/>
      <c r="BB96" s="71"/>
      <c r="BC96" s="226"/>
    </row>
    <row r="97" spans="2:55" ht="12.75" customHeight="1" x14ac:dyDescent="0.2">
      <c r="B97" s="86">
        <v>21720</v>
      </c>
      <c r="C97" s="76" t="s">
        <v>261</v>
      </c>
      <c r="D97" s="77" t="s">
        <v>258</v>
      </c>
      <c r="E97" s="77" t="s">
        <v>177</v>
      </c>
      <c r="F97" s="78">
        <v>1.63</v>
      </c>
      <c r="G97" s="80">
        <f t="shared" si="61"/>
        <v>3.93</v>
      </c>
      <c r="H97" s="80">
        <f t="shared" si="62"/>
        <v>2.4110429447852764</v>
      </c>
      <c r="I97" s="78">
        <v>0.1</v>
      </c>
      <c r="J97" s="78">
        <v>0.04</v>
      </c>
      <c r="K97" s="78">
        <v>0.88</v>
      </c>
      <c r="L97" s="78">
        <v>0.61</v>
      </c>
      <c r="M97" s="78">
        <v>0.62</v>
      </c>
      <c r="N97" s="78">
        <v>0.1</v>
      </c>
      <c r="O97" s="78">
        <v>1.58</v>
      </c>
      <c r="P97" s="78">
        <f>N:N+O:O</f>
        <v>1.6800000000000002</v>
      </c>
      <c r="Q97" s="80">
        <f t="shared" si="63"/>
        <v>1.9090909090909092</v>
      </c>
      <c r="R97" s="80">
        <f t="shared" si="64"/>
        <v>0.70454545454545459</v>
      </c>
      <c r="S97" s="80">
        <f t="shared" si="65"/>
        <v>0.69318181818181812</v>
      </c>
      <c r="T97" s="80">
        <f t="shared" si="66"/>
        <v>15.8</v>
      </c>
      <c r="U97" s="78">
        <v>0.26</v>
      </c>
      <c r="V97" s="78">
        <f t="shared" si="76"/>
        <v>15.115384615384615</v>
      </c>
      <c r="W97" s="78">
        <v>0.56000000000000005</v>
      </c>
      <c r="X97" s="78">
        <v>0.09</v>
      </c>
      <c r="Y97" s="78">
        <f t="shared" si="115"/>
        <v>6.2222222222222232</v>
      </c>
      <c r="Z97" s="78">
        <v>0.35</v>
      </c>
      <c r="AA97" s="78">
        <v>0.51</v>
      </c>
      <c r="AB97" s="78">
        <f t="shared" si="116"/>
        <v>0.31288343558282211</v>
      </c>
      <c r="AC97" s="78">
        <v>1.1000000000000001</v>
      </c>
      <c r="AD97" s="78">
        <f t="shared" si="117"/>
        <v>0.67484662576687127</v>
      </c>
      <c r="AE97" s="78">
        <v>0.09</v>
      </c>
      <c r="AF97" s="78">
        <f t="shared" si="118"/>
        <v>0.10227272727272727</v>
      </c>
      <c r="AG97" s="78">
        <f>AE:AE/P:P</f>
        <v>5.3571428571428562E-2</v>
      </c>
      <c r="AH97" s="78">
        <f t="shared" si="119"/>
        <v>0.89999999999999991</v>
      </c>
      <c r="AI97" s="78">
        <v>0.09</v>
      </c>
      <c r="AJ97" s="78">
        <v>0.06</v>
      </c>
      <c r="AK97" s="78">
        <f t="shared" si="67"/>
        <v>1.5</v>
      </c>
      <c r="AL97" s="78">
        <f t="shared" si="72"/>
        <v>1</v>
      </c>
      <c r="AM97" s="78">
        <f t="shared" si="73"/>
        <v>0.89999999999999991</v>
      </c>
      <c r="AN97" s="78">
        <f t="shared" si="74"/>
        <v>0.10227272727272727</v>
      </c>
      <c r="AO97" s="78">
        <f t="shared" si="68"/>
        <v>0.52941176470588225</v>
      </c>
      <c r="AP97" s="78">
        <v>0.17</v>
      </c>
      <c r="AQ97" s="78">
        <v>0.12</v>
      </c>
      <c r="AR97" s="78">
        <f t="shared" si="69"/>
        <v>0.10429447852760737</v>
      </c>
      <c r="AS97" s="78">
        <f t="shared" si="70"/>
        <v>1.4166666666666667</v>
      </c>
      <c r="AT97" s="78">
        <f t="shared" si="112"/>
        <v>0.1931818181818182</v>
      </c>
      <c r="AU97" s="78">
        <v>0.09</v>
      </c>
      <c r="AV97" s="78">
        <v>0.11</v>
      </c>
      <c r="AW97" s="78">
        <f>AU97/AV97</f>
        <v>0.81818181818181812</v>
      </c>
      <c r="AX97" s="80">
        <f>AP97/AU97</f>
        <v>1.8888888888888891</v>
      </c>
      <c r="AY97" s="215" t="s">
        <v>75</v>
      </c>
      <c r="AZ97" s="87">
        <v>13</v>
      </c>
      <c r="BA97" s="77"/>
      <c r="BB97" s="77"/>
      <c r="BC97" s="217"/>
    </row>
    <row r="98" spans="2:55" ht="12.75" customHeight="1" x14ac:dyDescent="0.2">
      <c r="B98" s="75"/>
      <c r="C98" s="77"/>
      <c r="D98" s="77"/>
      <c r="E98" s="77"/>
      <c r="F98" s="78">
        <v>1.63</v>
      </c>
      <c r="G98" s="114" t="s">
        <v>75</v>
      </c>
      <c r="H98" s="114" t="s">
        <v>75</v>
      </c>
      <c r="I98" s="78">
        <v>0.1</v>
      </c>
      <c r="J98" s="78">
        <v>0.04</v>
      </c>
      <c r="K98" s="78">
        <v>0.87</v>
      </c>
      <c r="L98" s="78">
        <v>0.61</v>
      </c>
      <c r="M98" s="78">
        <v>0.62</v>
      </c>
      <c r="N98" s="78">
        <v>0.12</v>
      </c>
      <c r="O98" s="79" t="s">
        <v>75</v>
      </c>
      <c r="P98" s="79" t="s">
        <v>75</v>
      </c>
      <c r="Q98" s="114" t="s">
        <v>75</v>
      </c>
      <c r="R98" s="80">
        <f t="shared" si="64"/>
        <v>0.71264367816091956</v>
      </c>
      <c r="S98" s="80">
        <f t="shared" si="65"/>
        <v>0.70114942528735635</v>
      </c>
      <c r="T98" s="114" t="s">
        <v>75</v>
      </c>
      <c r="U98" s="78">
        <v>0.26</v>
      </c>
      <c r="V98" s="79" t="s">
        <v>75</v>
      </c>
      <c r="W98" s="78">
        <v>0.55000000000000004</v>
      </c>
      <c r="X98" s="78">
        <v>0.09</v>
      </c>
      <c r="Y98" s="78">
        <f t="shared" si="115"/>
        <v>6.1111111111111116</v>
      </c>
      <c r="Z98" s="78">
        <v>0.37</v>
      </c>
      <c r="AA98" s="78">
        <v>0.51</v>
      </c>
      <c r="AB98" s="78">
        <f t="shared" si="116"/>
        <v>0.31288343558282211</v>
      </c>
      <c r="AC98" s="78">
        <v>1.1000000000000001</v>
      </c>
      <c r="AD98" s="78">
        <f t="shared" si="117"/>
        <v>0.67484662576687127</v>
      </c>
      <c r="AE98" s="78">
        <v>0.09</v>
      </c>
      <c r="AF98" s="78">
        <f t="shared" si="118"/>
        <v>0.10344827586206896</v>
      </c>
      <c r="AG98" s="79" t="s">
        <v>75</v>
      </c>
      <c r="AH98" s="78">
        <f t="shared" si="119"/>
        <v>0.75</v>
      </c>
      <c r="AI98" s="78">
        <v>0.09</v>
      </c>
      <c r="AJ98" s="78">
        <v>0.06</v>
      </c>
      <c r="AK98" s="78">
        <f t="shared" ref="AK98" si="122">AI98/AJ98</f>
        <v>1.5</v>
      </c>
      <c r="AL98" s="78">
        <f t="shared" si="72"/>
        <v>1</v>
      </c>
      <c r="AM98" s="78">
        <f t="shared" si="73"/>
        <v>0.75</v>
      </c>
      <c r="AN98" s="78">
        <f t="shared" si="74"/>
        <v>0.10344827586206896</v>
      </c>
      <c r="AO98" s="78">
        <f t="shared" ref="AO98" si="123">AI98/AP98</f>
        <v>0.5625</v>
      </c>
      <c r="AP98" s="78">
        <v>0.16</v>
      </c>
      <c r="AQ98" s="78">
        <v>0.14000000000000001</v>
      </c>
      <c r="AR98" s="78">
        <f t="shared" si="69"/>
        <v>9.815950920245399E-2</v>
      </c>
      <c r="AS98" s="78">
        <f t="shared" si="70"/>
        <v>1.1428571428571428</v>
      </c>
      <c r="AT98" s="78">
        <f t="shared" si="112"/>
        <v>0.18390804597701149</v>
      </c>
      <c r="AU98" s="78">
        <v>0.09</v>
      </c>
      <c r="AV98" s="78">
        <v>0.11</v>
      </c>
      <c r="AW98" s="78">
        <f>AU98/AV98</f>
        <v>0.81818181818181812</v>
      </c>
      <c r="AX98" s="80">
        <f>AP98/AU98</f>
        <v>1.7777777777777779</v>
      </c>
      <c r="AY98" s="215" t="s">
        <v>75</v>
      </c>
      <c r="AZ98" s="87">
        <v>14</v>
      </c>
      <c r="BA98" s="77"/>
      <c r="BB98" s="77"/>
      <c r="BC98" s="217"/>
    </row>
    <row r="99" spans="2:55" ht="12.75" customHeight="1" x14ac:dyDescent="0.2">
      <c r="B99" s="83">
        <v>21720</v>
      </c>
      <c r="C99" s="70" t="s">
        <v>261</v>
      </c>
      <c r="D99" s="71" t="s">
        <v>259</v>
      </c>
      <c r="E99" s="71" t="s">
        <v>177</v>
      </c>
      <c r="F99" s="72">
        <v>1.41</v>
      </c>
      <c r="G99" s="110" t="s">
        <v>75</v>
      </c>
      <c r="H99" s="110" t="s">
        <v>75</v>
      </c>
      <c r="I99" s="72">
        <v>0.09</v>
      </c>
      <c r="J99" s="72">
        <v>0.04</v>
      </c>
      <c r="K99" s="72">
        <v>0.78</v>
      </c>
      <c r="L99" s="72">
        <v>0.54</v>
      </c>
      <c r="M99" s="72">
        <v>0.65</v>
      </c>
      <c r="N99" s="72">
        <v>0.12</v>
      </c>
      <c r="O99" s="73" t="s">
        <v>75</v>
      </c>
      <c r="P99" s="73" t="s">
        <v>75</v>
      </c>
      <c r="Q99" s="110" t="s">
        <v>75</v>
      </c>
      <c r="R99" s="82">
        <f t="shared" si="64"/>
        <v>0.83333333333333337</v>
      </c>
      <c r="S99" s="82">
        <f t="shared" si="65"/>
        <v>0.69230769230769229</v>
      </c>
      <c r="T99" s="110" t="s">
        <v>75</v>
      </c>
      <c r="U99" s="72">
        <v>0.25</v>
      </c>
      <c r="V99" s="73" t="s">
        <v>75</v>
      </c>
      <c r="W99" s="72">
        <v>0.54</v>
      </c>
      <c r="X99" s="72">
        <v>0.09</v>
      </c>
      <c r="Y99" s="72">
        <f t="shared" si="115"/>
        <v>6.0000000000000009</v>
      </c>
      <c r="Z99" s="72">
        <v>0.34</v>
      </c>
      <c r="AA99" s="72">
        <v>0.49</v>
      </c>
      <c r="AB99" s="72">
        <f t="shared" si="116"/>
        <v>0.3475177304964539</v>
      </c>
      <c r="AC99" s="72">
        <v>1</v>
      </c>
      <c r="AD99" s="72">
        <f t="shared" si="117"/>
        <v>0.70921985815602839</v>
      </c>
      <c r="AE99" s="72">
        <v>0.09</v>
      </c>
      <c r="AF99" s="72">
        <f t="shared" si="118"/>
        <v>0.11538461538461538</v>
      </c>
      <c r="AG99" s="73" t="s">
        <v>75</v>
      </c>
      <c r="AH99" s="72">
        <f t="shared" si="119"/>
        <v>0.75</v>
      </c>
      <c r="AI99" s="72">
        <v>0.09</v>
      </c>
      <c r="AJ99" s="72">
        <v>0.05</v>
      </c>
      <c r="AK99" s="72">
        <f t="shared" si="67"/>
        <v>1.7999999999999998</v>
      </c>
      <c r="AL99" s="72">
        <f t="shared" si="72"/>
        <v>1</v>
      </c>
      <c r="AM99" s="72">
        <f t="shared" si="73"/>
        <v>0.75</v>
      </c>
      <c r="AN99" s="72">
        <f t="shared" si="74"/>
        <v>0.11538461538461538</v>
      </c>
      <c r="AO99" s="72">
        <f t="shared" si="68"/>
        <v>0.52941176470588225</v>
      </c>
      <c r="AP99" s="72">
        <v>0.17</v>
      </c>
      <c r="AQ99" s="72">
        <v>0.13</v>
      </c>
      <c r="AR99" s="72">
        <f t="shared" ref="AR99:AR104" si="124">AP99/F99</f>
        <v>0.12056737588652484</v>
      </c>
      <c r="AS99" s="72">
        <f t="shared" si="70"/>
        <v>1.3076923076923077</v>
      </c>
      <c r="AT99" s="72">
        <f t="shared" si="112"/>
        <v>0.21794871794871795</v>
      </c>
      <c r="AU99" s="73" t="s">
        <v>75</v>
      </c>
      <c r="AV99" s="73" t="s">
        <v>75</v>
      </c>
      <c r="AW99" s="73" t="s">
        <v>75</v>
      </c>
      <c r="AX99" s="110" t="s">
        <v>75</v>
      </c>
      <c r="AY99" s="224" t="s">
        <v>75</v>
      </c>
      <c r="AZ99" s="84">
        <v>12</v>
      </c>
      <c r="BA99" s="71"/>
      <c r="BB99" s="71"/>
      <c r="BC99" s="226"/>
    </row>
    <row r="100" spans="2:55" ht="12.75" customHeight="1" x14ac:dyDescent="0.2">
      <c r="B100" s="69"/>
      <c r="C100" s="71"/>
      <c r="D100" s="71"/>
      <c r="E100" s="71"/>
      <c r="F100" s="72">
        <v>1.41</v>
      </c>
      <c r="G100" s="110" t="s">
        <v>75</v>
      </c>
      <c r="H100" s="110" t="s">
        <v>75</v>
      </c>
      <c r="I100" s="72">
        <v>0.1</v>
      </c>
      <c r="J100" s="72">
        <v>0.05</v>
      </c>
      <c r="K100" s="72">
        <v>0.77</v>
      </c>
      <c r="L100" s="72">
        <v>0.56000000000000005</v>
      </c>
      <c r="M100" s="72">
        <v>0.65</v>
      </c>
      <c r="N100" s="72">
        <v>0.12</v>
      </c>
      <c r="O100" s="73" t="s">
        <v>75</v>
      </c>
      <c r="P100" s="73" t="s">
        <v>75</v>
      </c>
      <c r="Q100" s="110" t="s">
        <v>75</v>
      </c>
      <c r="R100" s="82">
        <f t="shared" si="64"/>
        <v>0.84415584415584421</v>
      </c>
      <c r="S100" s="82">
        <f t="shared" si="65"/>
        <v>0.72727272727272729</v>
      </c>
      <c r="T100" s="110" t="s">
        <v>75</v>
      </c>
      <c r="U100" s="72">
        <v>0.25</v>
      </c>
      <c r="V100" s="73" t="s">
        <v>75</v>
      </c>
      <c r="W100" s="72">
        <v>0.55000000000000004</v>
      </c>
      <c r="X100" s="72">
        <v>0.09</v>
      </c>
      <c r="Y100" s="72">
        <f t="shared" si="115"/>
        <v>6.1111111111111116</v>
      </c>
      <c r="Z100" s="73" t="s">
        <v>75</v>
      </c>
      <c r="AA100" s="72">
        <v>0.48</v>
      </c>
      <c r="AB100" s="72">
        <f t="shared" si="116"/>
        <v>0.34042553191489361</v>
      </c>
      <c r="AC100" s="72">
        <v>1</v>
      </c>
      <c r="AD100" s="72">
        <f t="shared" si="117"/>
        <v>0.70921985815602839</v>
      </c>
      <c r="AE100" s="72">
        <v>0.09</v>
      </c>
      <c r="AF100" s="72">
        <f t="shared" si="118"/>
        <v>0.11688311688311688</v>
      </c>
      <c r="AG100" s="73" t="s">
        <v>75</v>
      </c>
      <c r="AH100" s="72">
        <f t="shared" si="119"/>
        <v>0.75</v>
      </c>
      <c r="AI100" s="72">
        <v>0.09</v>
      </c>
      <c r="AJ100" s="72">
        <v>0.05</v>
      </c>
      <c r="AK100" s="72">
        <f t="shared" ref="AK100" si="125">AI100/AJ100</f>
        <v>1.7999999999999998</v>
      </c>
      <c r="AL100" s="72">
        <f t="shared" si="72"/>
        <v>1</v>
      </c>
      <c r="AM100" s="72">
        <f t="shared" si="73"/>
        <v>0.75</v>
      </c>
      <c r="AN100" s="72">
        <f t="shared" si="74"/>
        <v>0.11688311688311688</v>
      </c>
      <c r="AO100" s="72">
        <f t="shared" ref="AO100" si="126">AI100/AP100</f>
        <v>0.5625</v>
      </c>
      <c r="AP100" s="72">
        <v>0.16</v>
      </c>
      <c r="AQ100" s="72">
        <v>0.11</v>
      </c>
      <c r="AR100" s="72">
        <f t="shared" si="124"/>
        <v>0.11347517730496455</v>
      </c>
      <c r="AS100" s="72">
        <f t="shared" si="70"/>
        <v>1.4545454545454546</v>
      </c>
      <c r="AT100" s="72">
        <f t="shared" si="112"/>
        <v>0.20779220779220778</v>
      </c>
      <c r="AU100" s="73" t="s">
        <v>75</v>
      </c>
      <c r="AV100" s="73" t="s">
        <v>75</v>
      </c>
      <c r="AW100" s="73" t="s">
        <v>75</v>
      </c>
      <c r="AX100" s="110" t="s">
        <v>75</v>
      </c>
      <c r="AY100" s="224" t="s">
        <v>75</v>
      </c>
      <c r="AZ100" s="225" t="s">
        <v>75</v>
      </c>
      <c r="BA100" s="71"/>
      <c r="BB100" s="71"/>
      <c r="BC100" s="226"/>
    </row>
    <row r="101" spans="2:55" ht="12.75" customHeight="1" x14ac:dyDescent="0.2">
      <c r="B101" s="86">
        <v>21720</v>
      </c>
      <c r="C101" s="76" t="s">
        <v>261</v>
      </c>
      <c r="D101" s="77" t="s">
        <v>259</v>
      </c>
      <c r="E101" s="77" t="s">
        <v>177</v>
      </c>
      <c r="F101" s="78">
        <v>1.4</v>
      </c>
      <c r="G101" s="114" t="s">
        <v>75</v>
      </c>
      <c r="H101" s="114" t="s">
        <v>75</v>
      </c>
      <c r="I101" s="78">
        <v>0.09</v>
      </c>
      <c r="J101" s="78">
        <v>0.04</v>
      </c>
      <c r="K101" s="78">
        <v>0.77</v>
      </c>
      <c r="L101" s="78">
        <v>0.54</v>
      </c>
      <c r="M101" s="78">
        <v>0.65</v>
      </c>
      <c r="N101" s="78">
        <v>0.12</v>
      </c>
      <c r="O101" s="79" t="s">
        <v>75</v>
      </c>
      <c r="P101" s="79" t="s">
        <v>75</v>
      </c>
      <c r="Q101" s="114" t="s">
        <v>75</v>
      </c>
      <c r="R101" s="80">
        <f t="shared" si="64"/>
        <v>0.84415584415584421</v>
      </c>
      <c r="S101" s="80">
        <f t="shared" si="65"/>
        <v>0.70129870129870131</v>
      </c>
      <c r="T101" s="114" t="s">
        <v>75</v>
      </c>
      <c r="U101" s="78">
        <v>0.26</v>
      </c>
      <c r="V101" s="79" t="s">
        <v>75</v>
      </c>
      <c r="W101" s="78">
        <v>0.54</v>
      </c>
      <c r="X101" s="78">
        <v>0.09</v>
      </c>
      <c r="Y101" s="78">
        <f t="shared" si="115"/>
        <v>6.0000000000000009</v>
      </c>
      <c r="Z101" s="78">
        <v>0.31</v>
      </c>
      <c r="AA101" s="78">
        <v>0.45</v>
      </c>
      <c r="AB101" s="78">
        <f t="shared" si="116"/>
        <v>0.32142857142857145</v>
      </c>
      <c r="AC101" s="78">
        <v>1</v>
      </c>
      <c r="AD101" s="78">
        <f t="shared" si="117"/>
        <v>0.7142857142857143</v>
      </c>
      <c r="AE101" s="78">
        <v>0.1</v>
      </c>
      <c r="AF101" s="78">
        <f t="shared" si="118"/>
        <v>0.12987012987012989</v>
      </c>
      <c r="AG101" s="79" t="s">
        <v>75</v>
      </c>
      <c r="AH101" s="78">
        <f t="shared" si="119"/>
        <v>0.83333333333333337</v>
      </c>
      <c r="AI101" s="79" t="s">
        <v>75</v>
      </c>
      <c r="AJ101" s="79" t="s">
        <v>75</v>
      </c>
      <c r="AK101" s="79" t="s">
        <v>75</v>
      </c>
      <c r="AL101" s="79" t="s">
        <v>75</v>
      </c>
      <c r="AM101" s="79" t="s">
        <v>75</v>
      </c>
      <c r="AN101" s="79" t="s">
        <v>75</v>
      </c>
      <c r="AO101" s="79" t="s">
        <v>75</v>
      </c>
      <c r="AP101" s="78">
        <v>0.16</v>
      </c>
      <c r="AQ101" s="78">
        <v>0.11</v>
      </c>
      <c r="AR101" s="78">
        <f t="shared" si="124"/>
        <v>0.1142857142857143</v>
      </c>
      <c r="AS101" s="78">
        <f t="shared" si="70"/>
        <v>1.4545454545454546</v>
      </c>
      <c r="AT101" s="78">
        <f t="shared" si="112"/>
        <v>0.20779220779220778</v>
      </c>
      <c r="AU101" s="79" t="s">
        <v>75</v>
      </c>
      <c r="AV101" s="79" t="s">
        <v>75</v>
      </c>
      <c r="AW101" s="79" t="s">
        <v>75</v>
      </c>
      <c r="AX101" s="114" t="s">
        <v>75</v>
      </c>
      <c r="AY101" s="215" t="s">
        <v>75</v>
      </c>
      <c r="AZ101" s="87">
        <v>11</v>
      </c>
      <c r="BA101" s="77"/>
      <c r="BB101" s="77"/>
      <c r="BC101" s="217"/>
    </row>
    <row r="102" spans="2:55" ht="12.75" customHeight="1" x14ac:dyDescent="0.2">
      <c r="B102" s="75"/>
      <c r="C102" s="77"/>
      <c r="D102" s="77"/>
      <c r="E102" s="77"/>
      <c r="F102" s="78">
        <v>1.4</v>
      </c>
      <c r="G102" s="114" t="s">
        <v>75</v>
      </c>
      <c r="H102" s="114" t="s">
        <v>75</v>
      </c>
      <c r="I102" s="78">
        <v>0.1</v>
      </c>
      <c r="J102" s="78">
        <v>0.04</v>
      </c>
      <c r="K102" s="78">
        <v>0.77</v>
      </c>
      <c r="L102" s="78">
        <v>0.56000000000000005</v>
      </c>
      <c r="M102" s="78">
        <v>0.64</v>
      </c>
      <c r="N102" s="78">
        <v>0.12</v>
      </c>
      <c r="O102" s="79" t="s">
        <v>75</v>
      </c>
      <c r="P102" s="79" t="s">
        <v>75</v>
      </c>
      <c r="Q102" s="114" t="s">
        <v>75</v>
      </c>
      <c r="R102" s="80">
        <f t="shared" si="64"/>
        <v>0.83116883116883111</v>
      </c>
      <c r="S102" s="80">
        <f t="shared" si="65"/>
        <v>0.72727272727272729</v>
      </c>
      <c r="T102" s="114" t="s">
        <v>75</v>
      </c>
      <c r="U102" s="78">
        <v>0.26</v>
      </c>
      <c r="V102" s="79" t="s">
        <v>75</v>
      </c>
      <c r="W102" s="78">
        <v>0.56000000000000005</v>
      </c>
      <c r="X102" s="78">
        <v>0.09</v>
      </c>
      <c r="Y102" s="78">
        <f t="shared" si="115"/>
        <v>6.2222222222222232</v>
      </c>
      <c r="Z102" s="79" t="s">
        <v>75</v>
      </c>
      <c r="AA102" s="78">
        <v>0.46</v>
      </c>
      <c r="AB102" s="78">
        <f t="shared" si="116"/>
        <v>0.32857142857142863</v>
      </c>
      <c r="AC102" s="78">
        <v>1</v>
      </c>
      <c r="AD102" s="78">
        <f t="shared" si="117"/>
        <v>0.7142857142857143</v>
      </c>
      <c r="AE102" s="78">
        <v>0.09</v>
      </c>
      <c r="AF102" s="78">
        <f t="shared" si="118"/>
        <v>0.11688311688311688</v>
      </c>
      <c r="AG102" s="79" t="s">
        <v>75</v>
      </c>
      <c r="AH102" s="78">
        <f t="shared" si="119"/>
        <v>0.75</v>
      </c>
      <c r="AI102" s="79" t="s">
        <v>75</v>
      </c>
      <c r="AJ102" s="79" t="s">
        <v>75</v>
      </c>
      <c r="AK102" s="79" t="s">
        <v>75</v>
      </c>
      <c r="AL102" s="79" t="s">
        <v>75</v>
      </c>
      <c r="AM102" s="79" t="s">
        <v>75</v>
      </c>
      <c r="AN102" s="79" t="s">
        <v>75</v>
      </c>
      <c r="AO102" s="79" t="s">
        <v>75</v>
      </c>
      <c r="AP102" s="78">
        <v>0.14000000000000001</v>
      </c>
      <c r="AQ102" s="78">
        <v>0.13</v>
      </c>
      <c r="AR102" s="78">
        <f t="shared" si="124"/>
        <v>0.10000000000000002</v>
      </c>
      <c r="AS102" s="78">
        <f t="shared" si="70"/>
        <v>1.0769230769230771</v>
      </c>
      <c r="AT102" s="78">
        <f t="shared" si="112"/>
        <v>0.18181818181818182</v>
      </c>
      <c r="AU102" s="79" t="s">
        <v>75</v>
      </c>
      <c r="AV102" s="79" t="s">
        <v>75</v>
      </c>
      <c r="AW102" s="79" t="s">
        <v>75</v>
      </c>
      <c r="AX102" s="114" t="s">
        <v>75</v>
      </c>
      <c r="AY102" s="215" t="s">
        <v>75</v>
      </c>
      <c r="AZ102" s="87">
        <v>13</v>
      </c>
      <c r="BA102" s="77"/>
      <c r="BB102" s="77"/>
      <c r="BC102" s="217"/>
    </row>
    <row r="103" spans="2:55" ht="12.75" customHeight="1" x14ac:dyDescent="0.2">
      <c r="B103" s="83">
        <v>21720</v>
      </c>
      <c r="C103" s="70" t="s">
        <v>261</v>
      </c>
      <c r="D103" s="71" t="s">
        <v>259</v>
      </c>
      <c r="E103" s="71" t="s">
        <v>177</v>
      </c>
      <c r="F103" s="72">
        <v>1.6</v>
      </c>
      <c r="G103" s="110" t="s">
        <v>75</v>
      </c>
      <c r="H103" s="110" t="s">
        <v>75</v>
      </c>
      <c r="I103" s="73" t="s">
        <v>75</v>
      </c>
      <c r="J103" s="73" t="s">
        <v>75</v>
      </c>
      <c r="K103" s="73" t="s">
        <v>75</v>
      </c>
      <c r="L103" s="73" t="s">
        <v>75</v>
      </c>
      <c r="M103" s="73" t="s">
        <v>75</v>
      </c>
      <c r="N103" s="73" t="s">
        <v>75</v>
      </c>
      <c r="O103" s="73" t="s">
        <v>75</v>
      </c>
      <c r="P103" s="73" t="s">
        <v>75</v>
      </c>
      <c r="Q103" s="73" t="s">
        <v>75</v>
      </c>
      <c r="R103" s="73" t="s">
        <v>75</v>
      </c>
      <c r="S103" s="73" t="s">
        <v>75</v>
      </c>
      <c r="T103" s="73" t="s">
        <v>75</v>
      </c>
      <c r="U103" s="72">
        <v>0.26</v>
      </c>
      <c r="V103" s="73" t="s">
        <v>75</v>
      </c>
      <c r="W103" s="72">
        <v>0.57999999999999996</v>
      </c>
      <c r="X103" s="72">
        <v>0.1</v>
      </c>
      <c r="Y103" s="72">
        <f t="shared" si="115"/>
        <v>5.7999999999999989</v>
      </c>
      <c r="Z103" s="72">
        <v>0.35</v>
      </c>
      <c r="AA103" s="72">
        <v>0.48</v>
      </c>
      <c r="AB103" s="72">
        <f t="shared" si="116"/>
        <v>0.3</v>
      </c>
      <c r="AC103" s="72">
        <v>1.1000000000000001</v>
      </c>
      <c r="AD103" s="72">
        <f t="shared" si="117"/>
        <v>0.6875</v>
      </c>
      <c r="AE103" s="72">
        <v>0.1</v>
      </c>
      <c r="AF103" s="73" t="s">
        <v>75</v>
      </c>
      <c r="AG103" s="73" t="s">
        <v>75</v>
      </c>
      <c r="AH103" s="73" t="s">
        <v>75</v>
      </c>
      <c r="AI103" s="72">
        <v>0.09</v>
      </c>
      <c r="AJ103" s="72">
        <v>0.05</v>
      </c>
      <c r="AK103" s="72">
        <f t="shared" si="67"/>
        <v>1.7999999999999998</v>
      </c>
      <c r="AL103" s="72">
        <f t="shared" si="72"/>
        <v>0.89999999999999991</v>
      </c>
      <c r="AM103" s="73" t="s">
        <v>75</v>
      </c>
      <c r="AN103" s="73" t="s">
        <v>75</v>
      </c>
      <c r="AO103" s="72">
        <f t="shared" si="68"/>
        <v>0.5625</v>
      </c>
      <c r="AP103" s="72">
        <v>0.16</v>
      </c>
      <c r="AQ103" s="72">
        <v>0.12</v>
      </c>
      <c r="AR103" s="72">
        <f t="shared" si="124"/>
        <v>9.9999999999999992E-2</v>
      </c>
      <c r="AS103" s="72">
        <f t="shared" si="70"/>
        <v>1.3333333333333335</v>
      </c>
      <c r="AT103" s="73" t="s">
        <v>75</v>
      </c>
      <c r="AU103" s="72">
        <v>0.1</v>
      </c>
      <c r="AV103" s="72">
        <v>0.12</v>
      </c>
      <c r="AW103" s="72">
        <f>AU103/AV103</f>
        <v>0.83333333333333337</v>
      </c>
      <c r="AX103" s="82">
        <f>AP103/AU103</f>
        <v>1.5999999999999999</v>
      </c>
      <c r="AY103" s="224" t="s">
        <v>75</v>
      </c>
      <c r="AZ103" s="225" t="s">
        <v>75</v>
      </c>
      <c r="BA103" s="71"/>
      <c r="BB103" s="71"/>
      <c r="BC103" s="226"/>
    </row>
    <row r="104" spans="2:55" ht="12.75" customHeight="1" x14ac:dyDescent="0.2">
      <c r="B104" s="119"/>
      <c r="C104" s="203"/>
      <c r="D104" s="203"/>
      <c r="E104" s="203"/>
      <c r="F104" s="121">
        <v>1.6</v>
      </c>
      <c r="G104" s="123" t="s">
        <v>75</v>
      </c>
      <c r="H104" s="123" t="s">
        <v>75</v>
      </c>
      <c r="I104" s="228" t="s">
        <v>75</v>
      </c>
      <c r="J104" s="228" t="s">
        <v>75</v>
      </c>
      <c r="K104" s="228" t="s">
        <v>75</v>
      </c>
      <c r="L104" s="228" t="s">
        <v>75</v>
      </c>
      <c r="M104" s="228" t="s">
        <v>75</v>
      </c>
      <c r="N104" s="228" t="s">
        <v>75</v>
      </c>
      <c r="O104" s="228" t="s">
        <v>75</v>
      </c>
      <c r="P104" s="228" t="s">
        <v>75</v>
      </c>
      <c r="Q104" s="228" t="s">
        <v>75</v>
      </c>
      <c r="R104" s="228" t="s">
        <v>75</v>
      </c>
      <c r="S104" s="228" t="s">
        <v>75</v>
      </c>
      <c r="T104" s="228" t="s">
        <v>75</v>
      </c>
      <c r="U104" s="121">
        <v>0.26</v>
      </c>
      <c r="V104" s="228" t="s">
        <v>75</v>
      </c>
      <c r="W104" s="121">
        <v>0.56000000000000005</v>
      </c>
      <c r="X104" s="121">
        <v>0.1</v>
      </c>
      <c r="Y104" s="121">
        <f t="shared" si="115"/>
        <v>5.6000000000000005</v>
      </c>
      <c r="Z104" s="121">
        <v>0.37</v>
      </c>
      <c r="AA104" s="121">
        <v>0.5</v>
      </c>
      <c r="AB104" s="121">
        <f t="shared" si="116"/>
        <v>0.3125</v>
      </c>
      <c r="AC104" s="121">
        <v>1</v>
      </c>
      <c r="AD104" s="121">
        <f t="shared" si="117"/>
        <v>0.625</v>
      </c>
      <c r="AE104" s="121">
        <v>0.09</v>
      </c>
      <c r="AF104" s="228" t="s">
        <v>75</v>
      </c>
      <c r="AG104" s="228" t="s">
        <v>75</v>
      </c>
      <c r="AH104" s="228" t="s">
        <v>75</v>
      </c>
      <c r="AI104" s="121">
        <v>0.09</v>
      </c>
      <c r="AJ104" s="121">
        <v>0.05</v>
      </c>
      <c r="AK104" s="121">
        <f t="shared" ref="AK104" si="127">AI104/AJ104</f>
        <v>1.7999999999999998</v>
      </c>
      <c r="AL104" s="121">
        <f t="shared" si="72"/>
        <v>1</v>
      </c>
      <c r="AM104" s="228" t="s">
        <v>75</v>
      </c>
      <c r="AN104" s="228" t="s">
        <v>75</v>
      </c>
      <c r="AO104" s="121">
        <f t="shared" ref="AO104" si="128">AI104/AP104</f>
        <v>0.52941176470588225</v>
      </c>
      <c r="AP104" s="121">
        <v>0.17</v>
      </c>
      <c r="AQ104" s="121">
        <v>0.15</v>
      </c>
      <c r="AR104" s="121">
        <f t="shared" si="124"/>
        <v>0.10625</v>
      </c>
      <c r="AS104" s="121">
        <f t="shared" si="70"/>
        <v>1.1333333333333335</v>
      </c>
      <c r="AT104" s="228" t="s">
        <v>75</v>
      </c>
      <c r="AU104" s="121">
        <v>0.1</v>
      </c>
      <c r="AV104" s="121">
        <v>0.12</v>
      </c>
      <c r="AW104" s="121">
        <f>AU104/AV104</f>
        <v>0.83333333333333337</v>
      </c>
      <c r="AX104" s="122">
        <f>AP104/AU104</f>
        <v>1.7</v>
      </c>
      <c r="AY104" s="229" t="s">
        <v>75</v>
      </c>
      <c r="AZ104" s="230" t="s">
        <v>75</v>
      </c>
      <c r="BA104" s="203"/>
      <c r="BB104" s="203"/>
      <c r="BC104" s="231"/>
    </row>
    <row r="105" spans="2:55" ht="12.75" customHeight="1" x14ac:dyDescent="0.2">
      <c r="E105" s="2" t="s">
        <v>25</v>
      </c>
      <c r="F105" s="8">
        <f>MIN(F3:F104)</f>
        <v>1.038</v>
      </c>
      <c r="G105" s="8">
        <f t="shared" ref="G105:AX105" si="129">MIN(G3:G104)</f>
        <v>3.29</v>
      </c>
      <c r="H105" s="8">
        <f t="shared" si="129"/>
        <v>1.9939393939393941</v>
      </c>
      <c r="I105" s="8">
        <f t="shared" si="129"/>
        <v>7.9000000000000001E-2</v>
      </c>
      <c r="J105" s="8">
        <f t="shared" si="129"/>
        <v>0.04</v>
      </c>
      <c r="K105" s="8">
        <f t="shared" si="129"/>
        <v>0.6</v>
      </c>
      <c r="L105" s="8">
        <f t="shared" si="129"/>
        <v>0.52</v>
      </c>
      <c r="M105" s="8">
        <f t="shared" si="129"/>
        <v>0.56000000000000005</v>
      </c>
      <c r="N105" s="8">
        <f t="shared" si="129"/>
        <v>9.8000000000000004E-2</v>
      </c>
      <c r="O105" s="8">
        <f t="shared" si="129"/>
        <v>0.9</v>
      </c>
      <c r="P105" s="8">
        <f t="shared" si="129"/>
        <v>1.02</v>
      </c>
      <c r="Q105" s="8">
        <f t="shared" si="129"/>
        <v>1.1797752808988764</v>
      </c>
      <c r="R105" s="8">
        <f t="shared" si="129"/>
        <v>0.64044943820224709</v>
      </c>
      <c r="S105" s="8">
        <f t="shared" si="129"/>
        <v>0.63440860215053752</v>
      </c>
      <c r="T105" s="8">
        <f t="shared" si="129"/>
        <v>7.5000000000000009</v>
      </c>
      <c r="U105" s="8">
        <f t="shared" si="129"/>
        <v>0.20300000000000001</v>
      </c>
      <c r="V105" s="8">
        <f t="shared" si="129"/>
        <v>11.749999999999998</v>
      </c>
      <c r="W105" s="8">
        <f t="shared" si="129"/>
        <v>0.45</v>
      </c>
      <c r="X105" s="8">
        <f t="shared" si="129"/>
        <v>7.0000000000000007E-2</v>
      </c>
      <c r="Y105" s="8">
        <f t="shared" si="129"/>
        <v>5.1818181818181817</v>
      </c>
      <c r="Z105" s="8">
        <f t="shared" si="129"/>
        <v>0.04</v>
      </c>
      <c r="AA105" s="8">
        <f t="shared" si="129"/>
        <v>0.40500000000000003</v>
      </c>
      <c r="AB105" s="8">
        <f t="shared" si="129"/>
        <v>0.27624309392265195</v>
      </c>
      <c r="AC105" s="8">
        <f t="shared" si="129"/>
        <v>0.84</v>
      </c>
      <c r="AD105" s="8">
        <f t="shared" si="129"/>
        <v>0.5524861878453039</v>
      </c>
      <c r="AE105" s="8">
        <f t="shared" si="129"/>
        <v>0.08</v>
      </c>
      <c r="AF105" s="8">
        <f t="shared" si="129"/>
        <v>9.355509355509356E-2</v>
      </c>
      <c r="AG105" s="8" t="e">
        <f t="shared" si="129"/>
        <v>#VALUE!</v>
      </c>
      <c r="AH105" s="8">
        <f t="shared" si="129"/>
        <v>0.6</v>
      </c>
      <c r="AI105" s="8">
        <f t="shared" si="129"/>
        <v>8.2000000000000003E-2</v>
      </c>
      <c r="AJ105" s="8">
        <f t="shared" si="129"/>
        <v>4.7E-2</v>
      </c>
      <c r="AK105" s="8">
        <f t="shared" si="129"/>
        <v>1.125</v>
      </c>
      <c r="AL105" s="8">
        <f t="shared" si="129"/>
        <v>0.81415929203539816</v>
      </c>
      <c r="AM105" s="8">
        <f t="shared" si="129"/>
        <v>0.60273972602739723</v>
      </c>
      <c r="AN105" s="8">
        <f t="shared" si="129"/>
        <v>9.0109890109890109E-2</v>
      </c>
      <c r="AO105" s="8">
        <f t="shared" si="129"/>
        <v>0.45412844036697247</v>
      </c>
      <c r="AP105" s="8">
        <f t="shared" si="129"/>
        <v>0.122</v>
      </c>
      <c r="AQ105" s="8">
        <f t="shared" si="129"/>
        <v>6.9000000000000006E-2</v>
      </c>
      <c r="AR105" s="8">
        <f t="shared" si="129"/>
        <v>7.7348066298342552E-2</v>
      </c>
      <c r="AS105" s="8">
        <f t="shared" si="129"/>
        <v>1</v>
      </c>
      <c r="AT105" s="8">
        <f t="shared" si="129"/>
        <v>0.14219114219114218</v>
      </c>
      <c r="AU105" s="8">
        <f t="shared" si="129"/>
        <v>7.0000000000000007E-2</v>
      </c>
      <c r="AV105" s="8">
        <f t="shared" si="129"/>
        <v>0.08</v>
      </c>
      <c r="AW105" s="8">
        <f t="shared" si="129"/>
        <v>0.60869565217391308</v>
      </c>
      <c r="AX105" s="8">
        <f t="shared" si="129"/>
        <v>1.0285714285714285</v>
      </c>
      <c r="AY105" s="9"/>
      <c r="AZ105" s="9">
        <f t="shared" ref="AZ105" si="130">MIN(AZ3:AZ104)</f>
        <v>11</v>
      </c>
    </row>
    <row r="106" spans="2:55" ht="12.75" customHeight="1" x14ac:dyDescent="0.2">
      <c r="E106" s="2" t="s">
        <v>26</v>
      </c>
      <c r="F106" s="8">
        <f>MAX(F3:F104)</f>
        <v>2.12</v>
      </c>
      <c r="G106" s="8">
        <f t="shared" ref="G106:AX106" si="131">MAX(G3:G104)</f>
        <v>5.16</v>
      </c>
      <c r="H106" s="8">
        <f t="shared" si="131"/>
        <v>3.3766859344894025</v>
      </c>
      <c r="I106" s="8">
        <f t="shared" si="131"/>
        <v>1.1000000000000001</v>
      </c>
      <c r="J106" s="8">
        <f t="shared" si="131"/>
        <v>6.0999999999999999E-2</v>
      </c>
      <c r="K106" s="8">
        <f t="shared" si="131"/>
        <v>1.0429999999999999</v>
      </c>
      <c r="L106" s="8">
        <f t="shared" si="131"/>
        <v>0.72699999999999998</v>
      </c>
      <c r="M106" s="8">
        <f t="shared" si="131"/>
        <v>0.77700000000000002</v>
      </c>
      <c r="N106" s="8">
        <f t="shared" si="131"/>
        <v>0.158</v>
      </c>
      <c r="O106" s="8">
        <f t="shared" si="131"/>
        <v>1.8360000000000001</v>
      </c>
      <c r="P106" s="8">
        <f t="shared" si="131"/>
        <v>1.9889999999999999</v>
      </c>
      <c r="Q106" s="8">
        <f t="shared" si="131"/>
        <v>2.2556894243641232</v>
      </c>
      <c r="R106" s="8">
        <f t="shared" si="131"/>
        <v>0.84415584415584421</v>
      </c>
      <c r="S106" s="8">
        <f t="shared" si="131"/>
        <v>0.78571428571428581</v>
      </c>
      <c r="T106" s="8">
        <f t="shared" si="131"/>
        <v>15.8</v>
      </c>
      <c r="U106" s="8">
        <f t="shared" si="131"/>
        <v>0.33</v>
      </c>
      <c r="V106" s="8">
        <f t="shared" si="131"/>
        <v>21.532019704433498</v>
      </c>
      <c r="W106" s="8">
        <f t="shared" si="131"/>
        <v>0.72</v>
      </c>
      <c r="X106" s="8">
        <f t="shared" si="131"/>
        <v>0.126</v>
      </c>
      <c r="Y106" s="8">
        <f t="shared" si="131"/>
        <v>9.242857142857142</v>
      </c>
      <c r="Z106" s="8">
        <f t="shared" si="131"/>
        <v>0.43</v>
      </c>
      <c r="AA106" s="8">
        <f t="shared" si="131"/>
        <v>0.65</v>
      </c>
      <c r="AB106" s="8">
        <f t="shared" si="131"/>
        <v>0.40269749518304426</v>
      </c>
      <c r="AC106" s="8">
        <f t="shared" si="131"/>
        <v>1.3380000000000001</v>
      </c>
      <c r="AD106" s="8">
        <f t="shared" si="131"/>
        <v>0.86473429951690806</v>
      </c>
      <c r="AE106" s="8">
        <f t="shared" si="131"/>
        <v>0.115</v>
      </c>
      <c r="AF106" s="8">
        <f t="shared" si="131"/>
        <v>0.12987012987012989</v>
      </c>
      <c r="AG106" s="8" t="e">
        <f t="shared" si="131"/>
        <v>#VALUE!</v>
      </c>
      <c r="AH106" s="8">
        <f t="shared" si="131"/>
        <v>1.0204081632653061</v>
      </c>
      <c r="AI106" s="8">
        <f t="shared" si="131"/>
        <v>0.10199999999999999</v>
      </c>
      <c r="AJ106" s="8">
        <f t="shared" si="131"/>
        <v>0.08</v>
      </c>
      <c r="AK106" s="8">
        <f t="shared" si="131"/>
        <v>1.9787234042553192</v>
      </c>
      <c r="AL106" s="8">
        <f t="shared" si="131"/>
        <v>1.125</v>
      </c>
      <c r="AM106" s="8">
        <f t="shared" si="131"/>
        <v>0.94</v>
      </c>
      <c r="AN106" s="8">
        <f t="shared" si="131"/>
        <v>0.15</v>
      </c>
      <c r="AO106" s="8">
        <f t="shared" si="131"/>
        <v>0.70491803278688525</v>
      </c>
      <c r="AP106" s="8">
        <f t="shared" si="131"/>
        <v>0.218</v>
      </c>
      <c r="AQ106" s="8">
        <f t="shared" si="131"/>
        <v>0.17</v>
      </c>
      <c r="AR106" s="8">
        <f t="shared" si="131"/>
        <v>0.1396917148362235</v>
      </c>
      <c r="AS106" s="8">
        <f t="shared" si="131"/>
        <v>2.125</v>
      </c>
      <c r="AT106" s="8">
        <f t="shared" si="131"/>
        <v>0.31666666666666671</v>
      </c>
      <c r="AU106" s="8">
        <f t="shared" si="131"/>
        <v>0.14000000000000001</v>
      </c>
      <c r="AV106" s="8">
        <f t="shared" si="131"/>
        <v>0.13100000000000001</v>
      </c>
      <c r="AW106" s="8">
        <f t="shared" si="131"/>
        <v>1.3084112149532712</v>
      </c>
      <c r="AX106" s="8">
        <f t="shared" si="131"/>
        <v>2.6296296296296293</v>
      </c>
      <c r="AY106" s="9"/>
      <c r="AZ106" s="9">
        <f t="shared" ref="AZ106" si="132">MAX(AZ3:AZ104)</f>
        <v>20</v>
      </c>
    </row>
    <row r="107" spans="2:55" ht="12.75" customHeight="1" x14ac:dyDescent="0.2"/>
    <row r="108" spans="2:55" ht="12.75" customHeight="1" x14ac:dyDescent="0.2"/>
    <row r="109" spans="2:55" ht="12.75" customHeight="1" x14ac:dyDescent="0.2"/>
    <row r="110" spans="2:55" ht="12.75" customHeight="1" x14ac:dyDescent="0.2"/>
    <row r="111" spans="2:55" ht="12.75" customHeight="1" x14ac:dyDescent="0.2"/>
    <row r="112" spans="2:55" ht="12.75" customHeight="1" x14ac:dyDescent="0.2"/>
    <row r="113" ht="12.75" customHeight="1" x14ac:dyDescent="0.2"/>
  </sheetData>
  <pageMargins left="0.7" right="0.7" top="0.75" bottom="0.75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BC44"/>
  <sheetViews>
    <sheetView zoomScaleNormal="100" workbookViewId="0"/>
  </sheetViews>
  <sheetFormatPr defaultColWidth="9.140625" defaultRowHeight="12.75" x14ac:dyDescent="0.25"/>
  <cols>
    <col min="1" max="1" width="1.7109375" style="5" customWidth="1"/>
    <col min="2" max="4" width="18.7109375" style="46" customWidth="1"/>
    <col min="5" max="5" width="36.7109375" style="46" customWidth="1"/>
    <col min="6" max="52" width="8.7109375" style="5" customWidth="1"/>
    <col min="53" max="55" width="10.7109375" style="5" customWidth="1"/>
    <col min="56" max="16384" width="9.140625" style="5"/>
  </cols>
  <sheetData>
    <row r="1" spans="2:55" ht="12" customHeight="1" x14ac:dyDescent="0.25">
      <c r="AN1" s="96"/>
    </row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5">
      <c r="B3" s="61">
        <v>14734</v>
      </c>
      <c r="C3" s="107" t="s">
        <v>32</v>
      </c>
      <c r="D3" s="108" t="s">
        <v>224</v>
      </c>
      <c r="E3" s="108" t="s">
        <v>263</v>
      </c>
      <c r="F3" s="64">
        <v>2.0329999999999999</v>
      </c>
      <c r="G3" s="65">
        <f>I3+J3+K3+L3+M3+N3+O3</f>
        <v>3.3180000000000001</v>
      </c>
      <c r="H3" s="65">
        <f t="shared" ref="H3:H30" si="0">G3/F3</f>
        <v>1.632070831283817</v>
      </c>
      <c r="I3" s="64">
        <v>0.09</v>
      </c>
      <c r="J3" s="64">
        <v>5.3999999999999999E-2</v>
      </c>
      <c r="K3" s="64">
        <v>0.89</v>
      </c>
      <c r="L3" s="64">
        <v>0.52600000000000002</v>
      </c>
      <c r="M3" s="64">
        <v>0.51100000000000001</v>
      </c>
      <c r="N3" s="64">
        <v>0.11799999999999999</v>
      </c>
      <c r="O3" s="64">
        <v>1.129</v>
      </c>
      <c r="P3" s="64">
        <f>N:N+O:O</f>
        <v>1.2469999999999999</v>
      </c>
      <c r="Q3" s="65">
        <f>(N3+O3)/K3</f>
        <v>1.4011235955056178</v>
      </c>
      <c r="R3" s="65">
        <f>M3/K3</f>
        <v>0.57415730337078652</v>
      </c>
      <c r="S3" s="65">
        <f t="shared" ref="S3:S21" si="1">L3/K3</f>
        <v>0.59101123595505622</v>
      </c>
      <c r="T3" s="65">
        <f>O3/N3</f>
        <v>9.5677966101694913</v>
      </c>
      <c r="U3" s="64">
        <v>0.318</v>
      </c>
      <c r="V3" s="64">
        <f>G3/U3</f>
        <v>10.433962264150944</v>
      </c>
      <c r="W3" s="64">
        <v>0.58899999999999997</v>
      </c>
      <c r="X3" s="64">
        <v>9.9000000000000005E-2</v>
      </c>
      <c r="Y3" s="64">
        <f>W:W/X:X</f>
        <v>5.9494949494949489</v>
      </c>
      <c r="Z3" s="64">
        <v>0.307</v>
      </c>
      <c r="AA3" s="64">
        <v>0.53400000000000003</v>
      </c>
      <c r="AB3" s="64">
        <f>AA3/F3</f>
        <v>0.26266601082144614</v>
      </c>
      <c r="AC3" s="64">
        <v>1.093</v>
      </c>
      <c r="AD3" s="64">
        <f>AC3/F3</f>
        <v>0.53762911952779147</v>
      </c>
      <c r="AE3" s="66" t="s">
        <v>75</v>
      </c>
      <c r="AF3" s="66" t="s">
        <v>75</v>
      </c>
      <c r="AG3" s="66" t="s">
        <v>75</v>
      </c>
      <c r="AH3" s="66" t="s">
        <v>75</v>
      </c>
      <c r="AI3" s="66" t="s">
        <v>75</v>
      </c>
      <c r="AJ3" s="66" t="s">
        <v>75</v>
      </c>
      <c r="AK3" s="66" t="s">
        <v>75</v>
      </c>
      <c r="AL3" s="66" t="s">
        <v>75</v>
      </c>
      <c r="AM3" s="66" t="s">
        <v>75</v>
      </c>
      <c r="AN3" s="66" t="s">
        <v>75</v>
      </c>
      <c r="AO3" s="66" t="s">
        <v>75</v>
      </c>
      <c r="AP3" s="64">
        <v>0.23799999999999999</v>
      </c>
      <c r="AQ3" s="64">
        <v>0.107</v>
      </c>
      <c r="AR3" s="64">
        <f t="shared" ref="AR3:AR14" si="2">AP3/F3</f>
        <v>0.11706837186424005</v>
      </c>
      <c r="AS3" s="64">
        <f t="shared" ref="AS3:AS30" si="3">AP3/AQ3</f>
        <v>2.2242990654205608</v>
      </c>
      <c r="AT3" s="64">
        <f t="shared" ref="AT3:AT14" si="4">AP3/K3</f>
        <v>0.26741573033707866</v>
      </c>
      <c r="AU3" s="64">
        <v>0.11</v>
      </c>
      <c r="AV3" s="64">
        <v>0.13800000000000001</v>
      </c>
      <c r="AW3" s="64">
        <f t="shared" ref="AW3:AW27" si="5">AU3/AV3</f>
        <v>0.79710144927536231</v>
      </c>
      <c r="AX3" s="65">
        <f t="shared" ref="AX3:AX27" si="6">AP3/AU3</f>
        <v>2.1636363636363636</v>
      </c>
      <c r="AY3" s="222" t="s">
        <v>75</v>
      </c>
      <c r="AZ3" s="67">
        <v>15</v>
      </c>
      <c r="BA3" s="222" t="s">
        <v>75</v>
      </c>
      <c r="BB3" s="222" t="s">
        <v>75</v>
      </c>
      <c r="BC3" s="236" t="s">
        <v>75</v>
      </c>
    </row>
    <row r="4" spans="2:55" ht="12.75" customHeight="1" x14ac:dyDescent="0.25">
      <c r="B4" s="69"/>
      <c r="C4" s="109"/>
      <c r="D4" s="109"/>
      <c r="E4" s="109"/>
      <c r="F4" s="72">
        <v>2.0329999999999999</v>
      </c>
      <c r="G4" s="82">
        <f>I4+J4+K4+L4+M4+N4+O4</f>
        <v>3.4109999999999996</v>
      </c>
      <c r="H4" s="82">
        <f t="shared" si="0"/>
        <v>1.6778160354156417</v>
      </c>
      <c r="I4" s="72">
        <v>9.9000000000000005E-2</v>
      </c>
      <c r="J4" s="72">
        <v>5.0999999999999997E-2</v>
      </c>
      <c r="K4" s="72">
        <v>0.90900000000000003</v>
      </c>
      <c r="L4" s="72">
        <v>0.55100000000000005</v>
      </c>
      <c r="M4" s="72">
        <v>0.53300000000000003</v>
      </c>
      <c r="N4" s="72">
        <v>0.122</v>
      </c>
      <c r="O4" s="72">
        <v>1.1459999999999999</v>
      </c>
      <c r="P4" s="72">
        <f>N:N+O:O</f>
        <v>1.2679999999999998</v>
      </c>
      <c r="Q4" s="82">
        <f>(N4+O4)/K4</f>
        <v>1.3949394939493946</v>
      </c>
      <c r="R4" s="82">
        <f>M4/K4</f>
        <v>0.58635863586358639</v>
      </c>
      <c r="S4" s="82">
        <f t="shared" si="1"/>
        <v>0.60616061606160621</v>
      </c>
      <c r="T4" s="82">
        <f>O4/N4</f>
        <v>9.3934426229508183</v>
      </c>
      <c r="U4" s="72">
        <v>0.318</v>
      </c>
      <c r="V4" s="72">
        <f t="shared" ref="V4:V30" si="7">G4/U4</f>
        <v>10.726415094339622</v>
      </c>
      <c r="W4" s="73" t="s">
        <v>75</v>
      </c>
      <c r="X4" s="73" t="s">
        <v>75</v>
      </c>
      <c r="Y4" s="73" t="s">
        <v>75</v>
      </c>
      <c r="Z4" s="72">
        <v>0.38</v>
      </c>
      <c r="AA4" s="73" t="s">
        <v>75</v>
      </c>
      <c r="AB4" s="73" t="s">
        <v>75</v>
      </c>
      <c r="AC4" s="73" t="s">
        <v>75</v>
      </c>
      <c r="AD4" s="73" t="s">
        <v>75</v>
      </c>
      <c r="AE4" s="73" t="s">
        <v>75</v>
      </c>
      <c r="AF4" s="73" t="s">
        <v>75</v>
      </c>
      <c r="AG4" s="73" t="s">
        <v>75</v>
      </c>
      <c r="AH4" s="73" t="s">
        <v>75</v>
      </c>
      <c r="AI4" s="73" t="s">
        <v>75</v>
      </c>
      <c r="AJ4" s="73" t="s">
        <v>75</v>
      </c>
      <c r="AK4" s="73" t="s">
        <v>75</v>
      </c>
      <c r="AL4" s="73" t="s">
        <v>75</v>
      </c>
      <c r="AM4" s="73" t="s">
        <v>75</v>
      </c>
      <c r="AN4" s="73" t="s">
        <v>75</v>
      </c>
      <c r="AO4" s="73" t="s">
        <v>75</v>
      </c>
      <c r="AP4" s="72">
        <v>0.23300000000000001</v>
      </c>
      <c r="AQ4" s="72">
        <v>0.11700000000000001</v>
      </c>
      <c r="AR4" s="72">
        <f t="shared" si="2"/>
        <v>0.11460895228726022</v>
      </c>
      <c r="AS4" s="72">
        <f t="shared" si="3"/>
        <v>1.9914529914529915</v>
      </c>
      <c r="AT4" s="72">
        <f t="shared" si="4"/>
        <v>0.25632563256325636</v>
      </c>
      <c r="AU4" s="72">
        <v>0.11</v>
      </c>
      <c r="AV4" s="72">
        <v>0.13800000000000001</v>
      </c>
      <c r="AW4" s="72">
        <f t="shared" ref="AW4" si="8">AU4/AV4</f>
        <v>0.79710144927536231</v>
      </c>
      <c r="AX4" s="82">
        <f t="shared" ref="AX4" si="9">AP4/AU4</f>
        <v>2.1181818181818182</v>
      </c>
      <c r="AY4" s="225" t="s">
        <v>75</v>
      </c>
      <c r="AZ4" s="225" t="s">
        <v>75</v>
      </c>
      <c r="BA4" s="225" t="s">
        <v>75</v>
      </c>
      <c r="BB4" s="225" t="s">
        <v>75</v>
      </c>
      <c r="BC4" s="237" t="s">
        <v>75</v>
      </c>
    </row>
    <row r="5" spans="2:55" ht="12.75" customHeight="1" x14ac:dyDescent="0.25">
      <c r="B5" s="86">
        <v>14734</v>
      </c>
      <c r="C5" s="112" t="s">
        <v>32</v>
      </c>
      <c r="D5" s="113" t="s">
        <v>224</v>
      </c>
      <c r="E5" s="113" t="s">
        <v>263</v>
      </c>
      <c r="F5" s="78">
        <v>2.0339999999999998</v>
      </c>
      <c r="G5" s="80">
        <f>I5+J5+K5+L5+M5+N5+O5</f>
        <v>3.581</v>
      </c>
      <c r="H5" s="80">
        <f t="shared" si="0"/>
        <v>1.7605703048180925</v>
      </c>
      <c r="I5" s="78">
        <v>9.1999999999999998E-2</v>
      </c>
      <c r="J5" s="78">
        <v>4.8000000000000001E-2</v>
      </c>
      <c r="K5" s="78">
        <v>0.84</v>
      </c>
      <c r="L5" s="78">
        <v>0.58199999999999996</v>
      </c>
      <c r="M5" s="78">
        <v>0.58699999999999997</v>
      </c>
      <c r="N5" s="78">
        <v>0.129</v>
      </c>
      <c r="O5" s="78">
        <v>1.3029999999999999</v>
      </c>
      <c r="P5" s="78">
        <f>N:N+O:O</f>
        <v>1.4319999999999999</v>
      </c>
      <c r="Q5" s="80">
        <f>(N5+O5)/K5</f>
        <v>1.7047619047619047</v>
      </c>
      <c r="R5" s="80">
        <f>M5/K5</f>
        <v>0.69880952380952377</v>
      </c>
      <c r="S5" s="80">
        <f t="shared" si="1"/>
        <v>0.69285714285714284</v>
      </c>
      <c r="T5" s="80">
        <f>O5/N5</f>
        <v>10.100775193798448</v>
      </c>
      <c r="U5" s="78">
        <v>0.29299999999999998</v>
      </c>
      <c r="V5" s="78">
        <f t="shared" si="7"/>
        <v>12.221843003412969</v>
      </c>
      <c r="W5" s="79" t="s">
        <v>75</v>
      </c>
      <c r="X5" s="78">
        <v>8.4000000000000005E-2</v>
      </c>
      <c r="Y5" s="79" t="s">
        <v>75</v>
      </c>
      <c r="Z5" s="78">
        <v>0.39600000000000002</v>
      </c>
      <c r="AA5" s="78">
        <v>0.39600000000000002</v>
      </c>
      <c r="AB5" s="78">
        <f>AA5/F5</f>
        <v>0.19469026548672569</v>
      </c>
      <c r="AC5" s="78">
        <v>1.163</v>
      </c>
      <c r="AD5" s="78">
        <f>AC5/F5</f>
        <v>0.57177974434611611</v>
      </c>
      <c r="AE5" s="79" t="s">
        <v>75</v>
      </c>
      <c r="AF5" s="79" t="s">
        <v>75</v>
      </c>
      <c r="AG5" s="79" t="s">
        <v>75</v>
      </c>
      <c r="AH5" s="79" t="s">
        <v>75</v>
      </c>
      <c r="AI5" s="79" t="s">
        <v>75</v>
      </c>
      <c r="AJ5" s="79" t="s">
        <v>75</v>
      </c>
      <c r="AK5" s="79" t="s">
        <v>75</v>
      </c>
      <c r="AL5" s="79" t="s">
        <v>75</v>
      </c>
      <c r="AM5" s="79" t="s">
        <v>75</v>
      </c>
      <c r="AN5" s="79" t="s">
        <v>75</v>
      </c>
      <c r="AO5" s="79" t="s">
        <v>75</v>
      </c>
      <c r="AP5" s="78">
        <v>0.23899999999999999</v>
      </c>
      <c r="AQ5" s="78">
        <v>0.113</v>
      </c>
      <c r="AR5" s="78">
        <f t="shared" si="2"/>
        <v>0.11750245821042282</v>
      </c>
      <c r="AS5" s="78">
        <f t="shared" si="3"/>
        <v>2.1150442477876106</v>
      </c>
      <c r="AT5" s="78">
        <f t="shared" si="4"/>
        <v>0.28452380952380951</v>
      </c>
      <c r="AU5" s="78">
        <v>0.10100000000000001</v>
      </c>
      <c r="AV5" s="78">
        <v>0.153</v>
      </c>
      <c r="AW5" s="78">
        <f t="shared" si="5"/>
        <v>0.66013071895424846</v>
      </c>
      <c r="AX5" s="80">
        <f t="shared" si="6"/>
        <v>2.3663366336633662</v>
      </c>
      <c r="AY5" s="216" t="s">
        <v>75</v>
      </c>
      <c r="AZ5" s="216" t="s">
        <v>75</v>
      </c>
      <c r="BA5" s="216" t="s">
        <v>75</v>
      </c>
      <c r="BB5" s="216" t="s">
        <v>75</v>
      </c>
      <c r="BC5" s="232" t="s">
        <v>75</v>
      </c>
    </row>
    <row r="6" spans="2:55" ht="12.75" customHeight="1" x14ac:dyDescent="0.25">
      <c r="B6" s="75"/>
      <c r="C6" s="113"/>
      <c r="D6" s="113"/>
      <c r="E6" s="113"/>
      <c r="F6" s="78">
        <v>2.0339999999999998</v>
      </c>
      <c r="G6" s="80">
        <f>I6+J6+K6+L6+M6+N6+O6</f>
        <v>3.601</v>
      </c>
      <c r="H6" s="80">
        <f t="shared" si="0"/>
        <v>1.7704031465093413</v>
      </c>
      <c r="I6" s="78">
        <v>8.5999999999999993E-2</v>
      </c>
      <c r="J6" s="78">
        <v>5.1999999999999998E-2</v>
      </c>
      <c r="K6" s="78">
        <v>0.85099999999999998</v>
      </c>
      <c r="L6" s="78">
        <v>0.57399999999999995</v>
      </c>
      <c r="M6" s="78">
        <v>0.623</v>
      </c>
      <c r="N6" s="78">
        <v>0.12</v>
      </c>
      <c r="O6" s="78">
        <v>1.2949999999999999</v>
      </c>
      <c r="P6" s="78">
        <f>N:N+O:O</f>
        <v>1.415</v>
      </c>
      <c r="Q6" s="80">
        <f>(N6+O6)/K6</f>
        <v>1.6627497062279673</v>
      </c>
      <c r="R6" s="80">
        <f>M6/K6</f>
        <v>0.73207990599294948</v>
      </c>
      <c r="S6" s="80">
        <f t="shared" si="1"/>
        <v>0.67450058754406572</v>
      </c>
      <c r="T6" s="80">
        <f>O6/N6</f>
        <v>10.791666666666666</v>
      </c>
      <c r="U6" s="78">
        <v>0.29299999999999998</v>
      </c>
      <c r="V6" s="78">
        <f t="shared" si="7"/>
        <v>12.290102389078498</v>
      </c>
      <c r="W6" s="79" t="s">
        <v>75</v>
      </c>
      <c r="X6" s="79" t="s">
        <v>75</v>
      </c>
      <c r="Y6" s="79" t="s">
        <v>75</v>
      </c>
      <c r="Z6" s="79" t="s">
        <v>75</v>
      </c>
      <c r="AA6" s="79" t="s">
        <v>75</v>
      </c>
      <c r="AB6" s="79" t="s">
        <v>75</v>
      </c>
      <c r="AC6" s="79" t="s">
        <v>75</v>
      </c>
      <c r="AD6" s="79" t="s">
        <v>75</v>
      </c>
      <c r="AE6" s="79" t="s">
        <v>75</v>
      </c>
      <c r="AF6" s="79" t="s">
        <v>75</v>
      </c>
      <c r="AG6" s="79" t="s">
        <v>75</v>
      </c>
      <c r="AH6" s="79" t="s">
        <v>75</v>
      </c>
      <c r="AI6" s="79" t="s">
        <v>75</v>
      </c>
      <c r="AJ6" s="79" t="s">
        <v>75</v>
      </c>
      <c r="AK6" s="79" t="s">
        <v>75</v>
      </c>
      <c r="AL6" s="79" t="s">
        <v>75</v>
      </c>
      <c r="AM6" s="79" t="s">
        <v>75</v>
      </c>
      <c r="AN6" s="79" t="s">
        <v>75</v>
      </c>
      <c r="AO6" s="79" t="s">
        <v>75</v>
      </c>
      <c r="AP6" s="78">
        <v>0.249</v>
      </c>
      <c r="AQ6" s="78">
        <v>0.11600000000000001</v>
      </c>
      <c r="AR6" s="78">
        <f t="shared" si="2"/>
        <v>0.1224188790560472</v>
      </c>
      <c r="AS6" s="78">
        <f t="shared" si="3"/>
        <v>2.146551724137931</v>
      </c>
      <c r="AT6" s="78">
        <f t="shared" si="4"/>
        <v>0.29259694477085785</v>
      </c>
      <c r="AU6" s="78">
        <v>0.10100000000000001</v>
      </c>
      <c r="AV6" s="78">
        <v>0.153</v>
      </c>
      <c r="AW6" s="78">
        <f t="shared" ref="AW6" si="10">AU6/AV6</f>
        <v>0.66013071895424846</v>
      </c>
      <c r="AX6" s="80">
        <f t="shared" ref="AX6" si="11">AP6/AU6</f>
        <v>2.4653465346534653</v>
      </c>
      <c r="AY6" s="216" t="s">
        <v>75</v>
      </c>
      <c r="AZ6" s="216" t="s">
        <v>75</v>
      </c>
      <c r="BA6" s="216" t="s">
        <v>75</v>
      </c>
      <c r="BB6" s="216" t="s">
        <v>75</v>
      </c>
      <c r="BC6" s="232" t="s">
        <v>75</v>
      </c>
    </row>
    <row r="7" spans="2:55" ht="12.75" customHeight="1" x14ac:dyDescent="0.25">
      <c r="B7" s="83">
        <v>14734</v>
      </c>
      <c r="C7" s="116" t="s">
        <v>32</v>
      </c>
      <c r="D7" s="109" t="s">
        <v>224</v>
      </c>
      <c r="E7" s="109" t="s">
        <v>263</v>
      </c>
      <c r="F7" s="72">
        <v>2.3359999999999999</v>
      </c>
      <c r="G7" s="82">
        <f>I7+J7+K7+L7+M7+N7+O7</f>
        <v>3.4240000000000004</v>
      </c>
      <c r="H7" s="82">
        <f t="shared" si="0"/>
        <v>1.4657534246575346</v>
      </c>
      <c r="I7" s="72">
        <v>9.5000000000000001E-2</v>
      </c>
      <c r="J7" s="72">
        <v>5.1999999999999998E-2</v>
      </c>
      <c r="K7" s="72">
        <v>0.85099999999999998</v>
      </c>
      <c r="L7" s="72">
        <v>0.52200000000000002</v>
      </c>
      <c r="M7" s="72">
        <v>0.55000000000000004</v>
      </c>
      <c r="N7" s="72">
        <v>0.122</v>
      </c>
      <c r="O7" s="72">
        <v>1.232</v>
      </c>
      <c r="P7" s="72">
        <f>N:N+O:O</f>
        <v>1.3540000000000001</v>
      </c>
      <c r="Q7" s="82">
        <f>(N7+O7)/K7</f>
        <v>1.5910693301997652</v>
      </c>
      <c r="R7" s="82">
        <f>M7/K7</f>
        <v>0.64629847238542892</v>
      </c>
      <c r="S7" s="82">
        <f t="shared" si="1"/>
        <v>0.6133960047003526</v>
      </c>
      <c r="T7" s="82">
        <f>O7/N7</f>
        <v>10.098360655737705</v>
      </c>
      <c r="U7" s="72">
        <v>0.28499999999999998</v>
      </c>
      <c r="V7" s="72">
        <f t="shared" si="7"/>
        <v>12.0140350877193</v>
      </c>
      <c r="W7" s="72">
        <v>0.59599999999999997</v>
      </c>
      <c r="X7" s="73" t="s">
        <v>75</v>
      </c>
      <c r="Y7" s="73" t="s">
        <v>75</v>
      </c>
      <c r="Z7" s="72">
        <v>0.44</v>
      </c>
      <c r="AA7" s="72">
        <v>0.44</v>
      </c>
      <c r="AB7" s="72">
        <f t="shared" ref="AB7:AB17" si="12">AA7/F7</f>
        <v>0.18835616438356165</v>
      </c>
      <c r="AC7" s="72">
        <v>1.081</v>
      </c>
      <c r="AD7" s="72">
        <f t="shared" ref="AD7:AD17" si="13">AC7/F7</f>
        <v>0.4627568493150685</v>
      </c>
      <c r="AE7" s="73" t="s">
        <v>75</v>
      </c>
      <c r="AF7" s="73" t="s">
        <v>75</v>
      </c>
      <c r="AG7" s="73" t="s">
        <v>75</v>
      </c>
      <c r="AH7" s="73" t="s">
        <v>75</v>
      </c>
      <c r="AI7" s="73" t="s">
        <v>75</v>
      </c>
      <c r="AJ7" s="73" t="s">
        <v>75</v>
      </c>
      <c r="AK7" s="73" t="s">
        <v>75</v>
      </c>
      <c r="AL7" s="73" t="s">
        <v>75</v>
      </c>
      <c r="AM7" s="73" t="s">
        <v>75</v>
      </c>
      <c r="AN7" s="73" t="s">
        <v>75</v>
      </c>
      <c r="AO7" s="73" t="s">
        <v>75</v>
      </c>
      <c r="AP7" s="72">
        <v>0.22</v>
      </c>
      <c r="AQ7" s="72">
        <v>0.14799999999999999</v>
      </c>
      <c r="AR7" s="72">
        <f t="shared" si="2"/>
        <v>9.4178082191780824E-2</v>
      </c>
      <c r="AS7" s="72">
        <f t="shared" si="3"/>
        <v>1.4864864864864866</v>
      </c>
      <c r="AT7" s="72">
        <f t="shared" si="4"/>
        <v>0.25851938895417159</v>
      </c>
      <c r="AU7" s="72">
        <v>0.129</v>
      </c>
      <c r="AV7" s="72">
        <v>0.161</v>
      </c>
      <c r="AW7" s="72">
        <f t="shared" si="5"/>
        <v>0.80124223602484468</v>
      </c>
      <c r="AX7" s="82">
        <f t="shared" si="6"/>
        <v>1.7054263565891472</v>
      </c>
      <c r="AY7" s="225" t="s">
        <v>75</v>
      </c>
      <c r="AZ7" s="225" t="s">
        <v>75</v>
      </c>
      <c r="BA7" s="225" t="s">
        <v>75</v>
      </c>
      <c r="BB7" s="225" t="s">
        <v>75</v>
      </c>
      <c r="BC7" s="237" t="s">
        <v>75</v>
      </c>
    </row>
    <row r="8" spans="2:55" ht="12.75" customHeight="1" x14ac:dyDescent="0.25">
      <c r="B8" s="69"/>
      <c r="C8" s="109"/>
      <c r="D8" s="109"/>
      <c r="E8" s="109"/>
      <c r="F8" s="72">
        <v>2.3359999999999999</v>
      </c>
      <c r="G8" s="110" t="s">
        <v>75</v>
      </c>
      <c r="H8" s="110" t="s">
        <v>75</v>
      </c>
      <c r="I8" s="72">
        <v>9.9000000000000005E-2</v>
      </c>
      <c r="J8" s="72">
        <v>5.1999999999999998E-2</v>
      </c>
      <c r="K8" s="72">
        <v>0.86199999999999999</v>
      </c>
      <c r="L8" s="72">
        <v>0.53800000000000003</v>
      </c>
      <c r="M8" s="73" t="s">
        <v>75</v>
      </c>
      <c r="N8" s="73" t="s">
        <v>75</v>
      </c>
      <c r="O8" s="73" t="s">
        <v>75</v>
      </c>
      <c r="P8" s="73" t="s">
        <v>75</v>
      </c>
      <c r="Q8" s="110" t="s">
        <v>75</v>
      </c>
      <c r="R8" s="110" t="s">
        <v>75</v>
      </c>
      <c r="S8" s="82">
        <f t="shared" si="1"/>
        <v>0.62412993039443165</v>
      </c>
      <c r="T8" s="110" t="s">
        <v>75</v>
      </c>
      <c r="U8" s="72">
        <v>0.28499999999999998</v>
      </c>
      <c r="V8" s="73" t="s">
        <v>75</v>
      </c>
      <c r="W8" s="73" t="s">
        <v>75</v>
      </c>
      <c r="X8" s="73" t="s">
        <v>75</v>
      </c>
      <c r="Y8" s="73" t="s">
        <v>75</v>
      </c>
      <c r="Z8" s="72">
        <v>0.43</v>
      </c>
      <c r="AA8" s="72">
        <v>0.43</v>
      </c>
      <c r="AB8" s="72">
        <f t="shared" si="12"/>
        <v>0.18407534246575344</v>
      </c>
      <c r="AC8" s="72">
        <v>1.087</v>
      </c>
      <c r="AD8" s="72">
        <f t="shared" si="13"/>
        <v>0.46532534246575347</v>
      </c>
      <c r="AE8" s="73" t="s">
        <v>75</v>
      </c>
      <c r="AF8" s="73" t="s">
        <v>75</v>
      </c>
      <c r="AG8" s="73" t="s">
        <v>75</v>
      </c>
      <c r="AH8" s="73" t="s">
        <v>75</v>
      </c>
      <c r="AI8" s="73" t="s">
        <v>75</v>
      </c>
      <c r="AJ8" s="73" t="s">
        <v>75</v>
      </c>
      <c r="AK8" s="73" t="s">
        <v>75</v>
      </c>
      <c r="AL8" s="73" t="s">
        <v>75</v>
      </c>
      <c r="AM8" s="73" t="s">
        <v>75</v>
      </c>
      <c r="AN8" s="73" t="s">
        <v>75</v>
      </c>
      <c r="AO8" s="73" t="s">
        <v>75</v>
      </c>
      <c r="AP8" s="72">
        <v>0.23200000000000001</v>
      </c>
      <c r="AQ8" s="72">
        <v>0.17699999999999999</v>
      </c>
      <c r="AR8" s="72">
        <f t="shared" si="2"/>
        <v>9.9315068493150693E-2</v>
      </c>
      <c r="AS8" s="72">
        <f t="shared" si="3"/>
        <v>1.3107344632768363</v>
      </c>
      <c r="AT8" s="72">
        <f t="shared" si="4"/>
        <v>0.26914153132250584</v>
      </c>
      <c r="AU8" s="72">
        <v>0.129</v>
      </c>
      <c r="AV8" s="72">
        <v>0.161</v>
      </c>
      <c r="AW8" s="72">
        <f t="shared" ref="AW8" si="14">AU8/AV8</f>
        <v>0.80124223602484468</v>
      </c>
      <c r="AX8" s="82">
        <f t="shared" ref="AX8" si="15">AP8/AU8</f>
        <v>1.7984496124031009</v>
      </c>
      <c r="AY8" s="225" t="s">
        <v>75</v>
      </c>
      <c r="AZ8" s="225" t="s">
        <v>75</v>
      </c>
      <c r="BA8" s="225" t="s">
        <v>75</v>
      </c>
      <c r="BB8" s="225" t="s">
        <v>75</v>
      </c>
      <c r="BC8" s="237" t="s">
        <v>75</v>
      </c>
    </row>
    <row r="9" spans="2:55" ht="12.75" customHeight="1" x14ac:dyDescent="0.25">
      <c r="B9" s="86">
        <v>14734</v>
      </c>
      <c r="C9" s="112" t="s">
        <v>32</v>
      </c>
      <c r="D9" s="113" t="s">
        <v>262</v>
      </c>
      <c r="E9" s="113" t="s">
        <v>263</v>
      </c>
      <c r="F9" s="78">
        <f>1.47+0.63</f>
        <v>2.1</v>
      </c>
      <c r="G9" s="80">
        <f>I9+J9+K9+L9+M9+N9+O9</f>
        <v>3.2240000000000002</v>
      </c>
      <c r="H9" s="80">
        <f t="shared" si="0"/>
        <v>1.5352380952380953</v>
      </c>
      <c r="I9" s="78">
        <v>9.2999999999999999E-2</v>
      </c>
      <c r="J9" s="78">
        <v>6.0999999999999999E-2</v>
      </c>
      <c r="K9" s="78">
        <v>0.9</v>
      </c>
      <c r="L9" s="78">
        <v>0.63</v>
      </c>
      <c r="M9" s="78">
        <v>0.59</v>
      </c>
      <c r="N9" s="78">
        <v>0.12</v>
      </c>
      <c r="O9" s="78">
        <f>0.55+0.28</f>
        <v>0.83000000000000007</v>
      </c>
      <c r="P9" s="78">
        <f>N:N+O:O</f>
        <v>0.95000000000000007</v>
      </c>
      <c r="Q9" s="80">
        <f>(N9+O9)/K9</f>
        <v>1.0555555555555556</v>
      </c>
      <c r="R9" s="80">
        <f>M9/K9</f>
        <v>0.65555555555555556</v>
      </c>
      <c r="S9" s="80">
        <f t="shared" si="1"/>
        <v>0.7</v>
      </c>
      <c r="T9" s="80">
        <f>O9/N9</f>
        <v>6.9166666666666679</v>
      </c>
      <c r="U9" s="78">
        <v>0.37</v>
      </c>
      <c r="V9" s="78">
        <f t="shared" si="7"/>
        <v>8.7135135135135133</v>
      </c>
      <c r="W9" s="78">
        <v>0.6</v>
      </c>
      <c r="X9" s="78">
        <v>0.1</v>
      </c>
      <c r="Y9" s="78">
        <f>W:W/X:X</f>
        <v>5.9999999999999991</v>
      </c>
      <c r="Z9" s="78">
        <v>0.44</v>
      </c>
      <c r="AA9" s="78">
        <v>0.59</v>
      </c>
      <c r="AB9" s="78">
        <f t="shared" si="12"/>
        <v>0.28095238095238095</v>
      </c>
      <c r="AC9" s="78">
        <v>1.2</v>
      </c>
      <c r="AD9" s="78">
        <f t="shared" si="13"/>
        <v>0.5714285714285714</v>
      </c>
      <c r="AE9" s="78">
        <v>0.11</v>
      </c>
      <c r="AF9" s="78">
        <f t="shared" ref="AF9:AF17" si="16">AE9/K9</f>
        <v>0.12222222222222222</v>
      </c>
      <c r="AG9" s="78">
        <f>AE:AE/P:P</f>
        <v>0.11578947368421053</v>
      </c>
      <c r="AH9" s="78">
        <f t="shared" ref="AH9:AH15" si="17">AE9/N9</f>
        <v>0.91666666666666674</v>
      </c>
      <c r="AI9" s="79" t="s">
        <v>75</v>
      </c>
      <c r="AJ9" s="79" t="s">
        <v>75</v>
      </c>
      <c r="AK9" s="79" t="s">
        <v>75</v>
      </c>
      <c r="AL9" s="79" t="s">
        <v>75</v>
      </c>
      <c r="AM9" s="79" t="s">
        <v>75</v>
      </c>
      <c r="AN9" s="79" t="s">
        <v>75</v>
      </c>
      <c r="AO9" s="79" t="s">
        <v>75</v>
      </c>
      <c r="AP9" s="78">
        <v>0.25700000000000001</v>
      </c>
      <c r="AQ9" s="78">
        <v>0.12</v>
      </c>
      <c r="AR9" s="78">
        <f t="shared" si="2"/>
        <v>0.12238095238095238</v>
      </c>
      <c r="AS9" s="78">
        <f t="shared" si="3"/>
        <v>2.1416666666666666</v>
      </c>
      <c r="AT9" s="78">
        <f t="shared" si="4"/>
        <v>0.28555555555555556</v>
      </c>
      <c r="AU9" s="78">
        <v>0.13300000000000001</v>
      </c>
      <c r="AV9" s="78">
        <v>0.13500000000000001</v>
      </c>
      <c r="AW9" s="78">
        <f t="shared" si="5"/>
        <v>0.98518518518518516</v>
      </c>
      <c r="AX9" s="80">
        <f t="shared" si="6"/>
        <v>1.9323308270676691</v>
      </c>
      <c r="AY9" s="87">
        <v>5</v>
      </c>
      <c r="AZ9" s="87">
        <v>12</v>
      </c>
      <c r="BA9" s="216" t="s">
        <v>75</v>
      </c>
      <c r="BB9" s="87">
        <v>5</v>
      </c>
      <c r="BC9" s="88">
        <v>5</v>
      </c>
    </row>
    <row r="10" spans="2:55" ht="12.75" customHeight="1" x14ac:dyDescent="0.25">
      <c r="B10" s="75"/>
      <c r="C10" s="113"/>
      <c r="D10" s="113"/>
      <c r="E10" s="113"/>
      <c r="F10" s="78">
        <f>1.47+0.63</f>
        <v>2.1</v>
      </c>
      <c r="G10" s="80">
        <f>I10+J10+K10+L10+M10+N10+O10</f>
        <v>3.7529999999999997</v>
      </c>
      <c r="H10" s="80">
        <f t="shared" si="0"/>
        <v>1.7871428571428569</v>
      </c>
      <c r="I10" s="78">
        <v>0.1</v>
      </c>
      <c r="J10" s="78">
        <v>6.3E-2</v>
      </c>
      <c r="K10" s="78">
        <v>0.94</v>
      </c>
      <c r="L10" s="78">
        <v>0.6</v>
      </c>
      <c r="M10" s="78">
        <v>0.59</v>
      </c>
      <c r="N10" s="78">
        <v>0.13</v>
      </c>
      <c r="O10" s="78">
        <f>0.84+0.49</f>
        <v>1.33</v>
      </c>
      <c r="P10" s="78">
        <f>N:N+O:O</f>
        <v>1.46</v>
      </c>
      <c r="Q10" s="80">
        <f>(N10+O10)/K10</f>
        <v>1.5531914893617023</v>
      </c>
      <c r="R10" s="80">
        <f>M10/K10</f>
        <v>0.62765957446808507</v>
      </c>
      <c r="S10" s="80">
        <f t="shared" si="1"/>
        <v>0.63829787234042556</v>
      </c>
      <c r="T10" s="80">
        <f>O10/N10</f>
        <v>10.230769230769232</v>
      </c>
      <c r="U10" s="78">
        <v>0.37</v>
      </c>
      <c r="V10" s="78">
        <f t="shared" si="7"/>
        <v>10.143243243243242</v>
      </c>
      <c r="W10" s="78">
        <v>0.61</v>
      </c>
      <c r="X10" s="78">
        <v>0.1</v>
      </c>
      <c r="Y10" s="78">
        <f>W:W/X:X</f>
        <v>6.1</v>
      </c>
      <c r="Z10" s="78">
        <v>0.42</v>
      </c>
      <c r="AA10" s="78">
        <v>0.57999999999999996</v>
      </c>
      <c r="AB10" s="78">
        <f t="shared" si="12"/>
        <v>0.27619047619047615</v>
      </c>
      <c r="AC10" s="78">
        <v>1.25</v>
      </c>
      <c r="AD10" s="78">
        <f t="shared" si="13"/>
        <v>0.59523809523809523</v>
      </c>
      <c r="AE10" s="78">
        <v>0.11</v>
      </c>
      <c r="AF10" s="78">
        <f t="shared" si="16"/>
        <v>0.11702127659574468</v>
      </c>
      <c r="AG10" s="78">
        <f>AE:AE/P:P</f>
        <v>7.5342465753424653E-2</v>
      </c>
      <c r="AH10" s="78">
        <f t="shared" si="17"/>
        <v>0.84615384615384615</v>
      </c>
      <c r="AI10" s="79" t="s">
        <v>75</v>
      </c>
      <c r="AJ10" s="79" t="s">
        <v>75</v>
      </c>
      <c r="AK10" s="79" t="s">
        <v>75</v>
      </c>
      <c r="AL10" s="79" t="s">
        <v>75</v>
      </c>
      <c r="AM10" s="79" t="s">
        <v>75</v>
      </c>
      <c r="AN10" s="79" t="s">
        <v>75</v>
      </c>
      <c r="AO10" s="79" t="s">
        <v>75</v>
      </c>
      <c r="AP10" s="78">
        <v>0.26300000000000001</v>
      </c>
      <c r="AQ10" s="78">
        <v>0.107</v>
      </c>
      <c r="AR10" s="78">
        <f t="shared" si="2"/>
        <v>0.12523809523809523</v>
      </c>
      <c r="AS10" s="78">
        <f t="shared" si="3"/>
        <v>2.457943925233645</v>
      </c>
      <c r="AT10" s="78">
        <f t="shared" si="4"/>
        <v>0.27978723404255323</v>
      </c>
      <c r="AU10" s="78">
        <v>0.13300000000000001</v>
      </c>
      <c r="AV10" s="78">
        <v>0.13500000000000001</v>
      </c>
      <c r="AW10" s="78">
        <f t="shared" ref="AW10" si="18">AU10/AV10</f>
        <v>0.98518518518518516</v>
      </c>
      <c r="AX10" s="80">
        <f t="shared" ref="AX10" si="19">AP10/AU10</f>
        <v>1.9774436090225564</v>
      </c>
      <c r="AY10" s="216" t="s">
        <v>75</v>
      </c>
      <c r="AZ10" s="87">
        <v>11</v>
      </c>
      <c r="BA10" s="216" t="s">
        <v>75</v>
      </c>
      <c r="BB10" s="216" t="s">
        <v>75</v>
      </c>
      <c r="BC10" s="232" t="s">
        <v>75</v>
      </c>
    </row>
    <row r="11" spans="2:55" ht="12.75" customHeight="1" x14ac:dyDescent="0.25">
      <c r="B11" s="83">
        <v>14734</v>
      </c>
      <c r="C11" s="116" t="s">
        <v>32</v>
      </c>
      <c r="D11" s="109" t="s">
        <v>262</v>
      </c>
      <c r="E11" s="109" t="s">
        <v>263</v>
      </c>
      <c r="F11" s="72">
        <f>1.156+1.265</f>
        <v>2.4209999999999998</v>
      </c>
      <c r="G11" s="110" t="s">
        <v>75</v>
      </c>
      <c r="H11" s="110" t="s">
        <v>75</v>
      </c>
      <c r="I11" s="72">
        <v>0.106</v>
      </c>
      <c r="J11" s="72">
        <v>5.8000000000000003E-2</v>
      </c>
      <c r="K11" s="72">
        <v>0.95</v>
      </c>
      <c r="L11" s="72">
        <v>0.56999999999999995</v>
      </c>
      <c r="M11" s="72">
        <v>0.59</v>
      </c>
      <c r="N11" s="72">
        <v>0.13</v>
      </c>
      <c r="O11" s="73" t="s">
        <v>75</v>
      </c>
      <c r="P11" s="73" t="s">
        <v>75</v>
      </c>
      <c r="Q11" s="110" t="s">
        <v>75</v>
      </c>
      <c r="R11" s="82">
        <f>M11/K11</f>
        <v>0.62105263157894741</v>
      </c>
      <c r="S11" s="82">
        <f t="shared" si="1"/>
        <v>0.6</v>
      </c>
      <c r="T11" s="110" t="s">
        <v>75</v>
      </c>
      <c r="U11" s="72">
        <v>0.39</v>
      </c>
      <c r="V11" s="73" t="s">
        <v>75</v>
      </c>
      <c r="W11" s="72">
        <v>0.62</v>
      </c>
      <c r="X11" s="72">
        <v>0.1</v>
      </c>
      <c r="Y11" s="72">
        <f>W:W/X:X</f>
        <v>6.1999999999999993</v>
      </c>
      <c r="Z11" s="72">
        <v>0.44</v>
      </c>
      <c r="AA11" s="72">
        <v>0.61</v>
      </c>
      <c r="AB11" s="72">
        <f t="shared" si="12"/>
        <v>0.25196199917389511</v>
      </c>
      <c r="AC11" s="72">
        <v>1.25</v>
      </c>
      <c r="AD11" s="72">
        <f t="shared" si="13"/>
        <v>0.51631557207765388</v>
      </c>
      <c r="AE11" s="72">
        <v>0.11</v>
      </c>
      <c r="AF11" s="72">
        <f t="shared" si="16"/>
        <v>0.11578947368421053</v>
      </c>
      <c r="AG11" s="73" t="s">
        <v>75</v>
      </c>
      <c r="AH11" s="72">
        <f t="shared" si="17"/>
        <v>0.84615384615384615</v>
      </c>
      <c r="AI11" s="73" t="s">
        <v>75</v>
      </c>
      <c r="AJ11" s="73" t="s">
        <v>75</v>
      </c>
      <c r="AK11" s="73" t="s">
        <v>75</v>
      </c>
      <c r="AL11" s="73" t="s">
        <v>75</v>
      </c>
      <c r="AM11" s="73" t="s">
        <v>75</v>
      </c>
      <c r="AN11" s="73" t="s">
        <v>75</v>
      </c>
      <c r="AO11" s="73" t="s">
        <v>75</v>
      </c>
      <c r="AP11" s="72">
        <v>0.28000000000000003</v>
      </c>
      <c r="AQ11" s="72">
        <v>0.13600000000000001</v>
      </c>
      <c r="AR11" s="72">
        <f t="shared" si="2"/>
        <v>0.11565468814539448</v>
      </c>
      <c r="AS11" s="72">
        <f t="shared" si="3"/>
        <v>2.0588235294117649</v>
      </c>
      <c r="AT11" s="72">
        <f t="shared" si="4"/>
        <v>0.29473684210526319</v>
      </c>
      <c r="AU11" s="72">
        <v>0.13100000000000001</v>
      </c>
      <c r="AV11" s="72">
        <v>0.16600000000000001</v>
      </c>
      <c r="AW11" s="72">
        <f t="shared" si="5"/>
        <v>0.78915662650602414</v>
      </c>
      <c r="AX11" s="82">
        <f t="shared" si="6"/>
        <v>2.1374045801526718</v>
      </c>
      <c r="AY11" s="84">
        <v>5</v>
      </c>
      <c r="AZ11" s="84">
        <v>12</v>
      </c>
      <c r="BA11" s="225" t="s">
        <v>75</v>
      </c>
      <c r="BB11" s="84">
        <v>5</v>
      </c>
      <c r="BC11" s="85">
        <v>5</v>
      </c>
    </row>
    <row r="12" spans="2:55" ht="12.75" customHeight="1" x14ac:dyDescent="0.25">
      <c r="B12" s="69"/>
      <c r="C12" s="109"/>
      <c r="D12" s="109"/>
      <c r="E12" s="109"/>
      <c r="F12" s="72">
        <f>1.156+1.265</f>
        <v>2.4209999999999998</v>
      </c>
      <c r="G12" s="110" t="s">
        <v>75</v>
      </c>
      <c r="H12" s="110" t="s">
        <v>75</v>
      </c>
      <c r="I12" s="72">
        <v>0.107</v>
      </c>
      <c r="J12" s="72">
        <v>5.8000000000000003E-2</v>
      </c>
      <c r="K12" s="72">
        <v>0.96</v>
      </c>
      <c r="L12" s="72">
        <v>0.59</v>
      </c>
      <c r="M12" s="72">
        <v>0.59</v>
      </c>
      <c r="N12" s="72">
        <v>0.13</v>
      </c>
      <c r="O12" s="73" t="s">
        <v>75</v>
      </c>
      <c r="P12" s="73" t="s">
        <v>75</v>
      </c>
      <c r="Q12" s="110" t="s">
        <v>75</v>
      </c>
      <c r="R12" s="110" t="s">
        <v>75</v>
      </c>
      <c r="S12" s="82">
        <f t="shared" si="1"/>
        <v>0.61458333333333337</v>
      </c>
      <c r="T12" s="110" t="s">
        <v>75</v>
      </c>
      <c r="U12" s="72">
        <v>0.39</v>
      </c>
      <c r="V12" s="73" t="s">
        <v>75</v>
      </c>
      <c r="W12" s="73" t="s">
        <v>75</v>
      </c>
      <c r="X12" s="73" t="s">
        <v>75</v>
      </c>
      <c r="Y12" s="73" t="s">
        <v>75</v>
      </c>
      <c r="Z12" s="72">
        <v>0.45</v>
      </c>
      <c r="AA12" s="72">
        <v>0.6</v>
      </c>
      <c r="AB12" s="72">
        <f t="shared" si="12"/>
        <v>0.24783147459727387</v>
      </c>
      <c r="AC12" s="72">
        <v>1.3</v>
      </c>
      <c r="AD12" s="72">
        <f t="shared" si="13"/>
        <v>0.53696819496076009</v>
      </c>
      <c r="AE12" s="72">
        <v>0.11</v>
      </c>
      <c r="AF12" s="72">
        <f t="shared" si="16"/>
        <v>0.11458333333333334</v>
      </c>
      <c r="AG12" s="73" t="s">
        <v>75</v>
      </c>
      <c r="AH12" s="72">
        <f t="shared" si="17"/>
        <v>0.84615384615384615</v>
      </c>
      <c r="AI12" s="73" t="s">
        <v>75</v>
      </c>
      <c r="AJ12" s="73" t="s">
        <v>75</v>
      </c>
      <c r="AK12" s="73" t="s">
        <v>75</v>
      </c>
      <c r="AL12" s="73" t="s">
        <v>75</v>
      </c>
      <c r="AM12" s="73" t="s">
        <v>75</v>
      </c>
      <c r="AN12" s="73" t="s">
        <v>75</v>
      </c>
      <c r="AO12" s="73" t="s">
        <v>75</v>
      </c>
      <c r="AP12" s="72">
        <v>0.28999999999999998</v>
      </c>
      <c r="AQ12" s="72">
        <v>0.108</v>
      </c>
      <c r="AR12" s="72">
        <f t="shared" si="2"/>
        <v>0.1197852127220157</v>
      </c>
      <c r="AS12" s="72">
        <f t="shared" si="3"/>
        <v>2.6851851851851851</v>
      </c>
      <c r="AT12" s="72">
        <f t="shared" si="4"/>
        <v>0.30208333333333331</v>
      </c>
      <c r="AU12" s="72">
        <v>0.13100000000000001</v>
      </c>
      <c r="AV12" s="72">
        <v>0.16600000000000001</v>
      </c>
      <c r="AW12" s="72">
        <f t="shared" ref="AW12" si="20">AU12/AV12</f>
        <v>0.78915662650602414</v>
      </c>
      <c r="AX12" s="82">
        <f t="shared" ref="AX12" si="21">AP12/AU12</f>
        <v>2.2137404580152671</v>
      </c>
      <c r="AY12" s="225" t="s">
        <v>75</v>
      </c>
      <c r="AZ12" s="84">
        <v>10</v>
      </c>
      <c r="BA12" s="225" t="s">
        <v>75</v>
      </c>
      <c r="BB12" s="225" t="s">
        <v>75</v>
      </c>
      <c r="BC12" s="237" t="s">
        <v>75</v>
      </c>
    </row>
    <row r="13" spans="2:55" ht="12.75" customHeight="1" x14ac:dyDescent="0.25">
      <c r="B13" s="86">
        <v>14734</v>
      </c>
      <c r="C13" s="112" t="s">
        <v>32</v>
      </c>
      <c r="D13" s="113" t="s">
        <v>262</v>
      </c>
      <c r="E13" s="113" t="s">
        <v>263</v>
      </c>
      <c r="F13" s="78">
        <f>1.084+1.45</f>
        <v>2.5339999999999998</v>
      </c>
      <c r="G13" s="80">
        <f>I13+J13+K13+L13+M13+N13+O13</f>
        <v>3.3119999999999998</v>
      </c>
      <c r="H13" s="80">
        <f t="shared" ref="H13" si="22">G13/F13</f>
        <v>1.3070244672454618</v>
      </c>
      <c r="I13" s="78">
        <v>0.1</v>
      </c>
      <c r="J13" s="78">
        <v>6.2E-2</v>
      </c>
      <c r="K13" s="78">
        <v>0.98</v>
      </c>
      <c r="L13" s="78">
        <v>0.56999999999999995</v>
      </c>
      <c r="M13" s="78">
        <v>0.56999999999999995</v>
      </c>
      <c r="N13" s="78">
        <v>0.14000000000000001</v>
      </c>
      <c r="O13" s="78">
        <v>0.89</v>
      </c>
      <c r="P13" s="78">
        <f>N:N+O:O</f>
        <v>1.03</v>
      </c>
      <c r="Q13" s="80">
        <f>(N13+O13)/K13</f>
        <v>1.0510204081632653</v>
      </c>
      <c r="R13" s="80">
        <f>M13/K13</f>
        <v>0.58163265306122447</v>
      </c>
      <c r="S13" s="80">
        <f t="shared" si="1"/>
        <v>0.58163265306122447</v>
      </c>
      <c r="T13" s="80">
        <f>O13/N13</f>
        <v>6.3571428571428568</v>
      </c>
      <c r="U13" s="78">
        <v>0.32200000000000001</v>
      </c>
      <c r="V13" s="78">
        <f t="shared" si="7"/>
        <v>10.285714285714285</v>
      </c>
      <c r="W13" s="78">
        <v>0.65</v>
      </c>
      <c r="X13" s="78">
        <v>0.11</v>
      </c>
      <c r="Y13" s="78">
        <f>W:W/X:X</f>
        <v>5.9090909090909092</v>
      </c>
      <c r="Z13" s="78">
        <v>0.46</v>
      </c>
      <c r="AA13" s="78">
        <v>0.66</v>
      </c>
      <c r="AB13" s="78">
        <f t="shared" si="12"/>
        <v>0.260457774269929</v>
      </c>
      <c r="AC13" s="78">
        <v>1.2</v>
      </c>
      <c r="AD13" s="78">
        <f t="shared" si="13"/>
        <v>0.47355958958168903</v>
      </c>
      <c r="AE13" s="78">
        <v>0.11</v>
      </c>
      <c r="AF13" s="78">
        <f t="shared" si="16"/>
        <v>0.11224489795918367</v>
      </c>
      <c r="AG13" s="78">
        <f>AE:AE/P:P</f>
        <v>0.10679611650485436</v>
      </c>
      <c r="AH13" s="78">
        <f t="shared" si="17"/>
        <v>0.7857142857142857</v>
      </c>
      <c r="AI13" s="78">
        <v>0.105</v>
      </c>
      <c r="AJ13" s="78">
        <v>5.3999999999999999E-2</v>
      </c>
      <c r="AK13" s="78">
        <f t="shared" ref="AK13:AK29" si="23">AI13/AJ13</f>
        <v>1.9444444444444444</v>
      </c>
      <c r="AL13" s="78">
        <f>AI13/AE13</f>
        <v>0.95454545454545447</v>
      </c>
      <c r="AM13" s="78">
        <f>AI13/N13</f>
        <v>0.74999999999999989</v>
      </c>
      <c r="AN13" s="78">
        <f>AI13/K13</f>
        <v>0.10714285714285714</v>
      </c>
      <c r="AO13" s="78">
        <f t="shared" ref="AO13:AO29" si="24">AI13/AP13</f>
        <v>0.35</v>
      </c>
      <c r="AP13" s="78">
        <v>0.3</v>
      </c>
      <c r="AQ13" s="78">
        <v>0.12</v>
      </c>
      <c r="AR13" s="78">
        <f t="shared" si="2"/>
        <v>0.11838989739542226</v>
      </c>
      <c r="AS13" s="78">
        <f t="shared" si="3"/>
        <v>2.5</v>
      </c>
      <c r="AT13" s="78">
        <f t="shared" si="4"/>
        <v>0.30612244897959184</v>
      </c>
      <c r="AU13" s="78">
        <v>0.13500000000000001</v>
      </c>
      <c r="AV13" s="78">
        <v>0.125</v>
      </c>
      <c r="AW13" s="78">
        <f t="shared" si="5"/>
        <v>1.08</v>
      </c>
      <c r="AX13" s="80">
        <f t="shared" si="6"/>
        <v>2.2222222222222219</v>
      </c>
      <c r="AY13" s="87">
        <v>4</v>
      </c>
      <c r="AZ13" s="87">
        <v>10</v>
      </c>
      <c r="BA13" s="87">
        <v>6</v>
      </c>
      <c r="BB13" s="87">
        <v>4</v>
      </c>
      <c r="BC13" s="88">
        <v>5</v>
      </c>
    </row>
    <row r="14" spans="2:55" ht="12.75" customHeight="1" x14ac:dyDescent="0.25">
      <c r="B14" s="75"/>
      <c r="C14" s="113"/>
      <c r="D14" s="113"/>
      <c r="E14" s="113"/>
      <c r="F14" s="78">
        <f>1.084+1.45</f>
        <v>2.5339999999999998</v>
      </c>
      <c r="G14" s="80">
        <f>I14+J14+K14+L14+M14+N14+O14</f>
        <v>3.8249999999999997</v>
      </c>
      <c r="H14" s="80">
        <f t="shared" si="0"/>
        <v>1.5094711917916337</v>
      </c>
      <c r="I14" s="78">
        <v>0.10199999999999999</v>
      </c>
      <c r="J14" s="78">
        <v>6.3E-2</v>
      </c>
      <c r="K14" s="78">
        <v>0.95</v>
      </c>
      <c r="L14" s="78">
        <v>0.6</v>
      </c>
      <c r="M14" s="78">
        <v>0.59</v>
      </c>
      <c r="N14" s="78">
        <v>0.14000000000000001</v>
      </c>
      <c r="O14" s="78">
        <f>0.51+0.87</f>
        <v>1.38</v>
      </c>
      <c r="P14" s="78">
        <f>N:N+O:O</f>
        <v>1.52</v>
      </c>
      <c r="Q14" s="80">
        <f>(N14+O14)/K14</f>
        <v>1.6</v>
      </c>
      <c r="R14" s="80">
        <f>M14/K14</f>
        <v>0.62105263157894741</v>
      </c>
      <c r="S14" s="80">
        <f t="shared" si="1"/>
        <v>0.63157894736842102</v>
      </c>
      <c r="T14" s="80">
        <f>O14/N14</f>
        <v>9.8571428571428559</v>
      </c>
      <c r="U14" s="78">
        <v>0.32200000000000001</v>
      </c>
      <c r="V14" s="78">
        <f t="shared" si="7"/>
        <v>11.878881987577639</v>
      </c>
      <c r="W14" s="78">
        <v>0.66</v>
      </c>
      <c r="X14" s="78">
        <v>0.11</v>
      </c>
      <c r="Y14" s="78">
        <f>W:W/X:X</f>
        <v>6</v>
      </c>
      <c r="Z14" s="78">
        <v>0.45</v>
      </c>
      <c r="AA14" s="78">
        <v>0.66</v>
      </c>
      <c r="AB14" s="78">
        <f t="shared" si="12"/>
        <v>0.260457774269929</v>
      </c>
      <c r="AC14" s="78">
        <v>1.3</v>
      </c>
      <c r="AD14" s="78">
        <f t="shared" si="13"/>
        <v>0.51302288871349655</v>
      </c>
      <c r="AE14" s="78">
        <v>0.12</v>
      </c>
      <c r="AF14" s="78">
        <f t="shared" si="16"/>
        <v>0.12631578947368421</v>
      </c>
      <c r="AG14" s="78">
        <f>AE:AE/P:P</f>
        <v>7.8947368421052627E-2</v>
      </c>
      <c r="AH14" s="78">
        <f t="shared" si="17"/>
        <v>0.85714285714285698</v>
      </c>
      <c r="AI14" s="78">
        <v>0.105</v>
      </c>
      <c r="AJ14" s="78">
        <v>5.3999999999999999E-2</v>
      </c>
      <c r="AK14" s="78">
        <f t="shared" si="23"/>
        <v>1.9444444444444444</v>
      </c>
      <c r="AL14" s="78">
        <f>AI14/AE14</f>
        <v>0.875</v>
      </c>
      <c r="AM14" s="78">
        <f>AI14/N14</f>
        <v>0.74999999999999989</v>
      </c>
      <c r="AN14" s="78">
        <f>AI14/K14</f>
        <v>0.11052631578947368</v>
      </c>
      <c r="AO14" s="78">
        <f t="shared" si="24"/>
        <v>0.37499999999999994</v>
      </c>
      <c r="AP14" s="78">
        <v>0.28000000000000003</v>
      </c>
      <c r="AQ14" s="78">
        <v>0.105</v>
      </c>
      <c r="AR14" s="78">
        <f t="shared" si="2"/>
        <v>0.1104972375690608</v>
      </c>
      <c r="AS14" s="78">
        <f t="shared" si="3"/>
        <v>2.666666666666667</v>
      </c>
      <c r="AT14" s="78">
        <f t="shared" si="4"/>
        <v>0.29473684210526319</v>
      </c>
      <c r="AU14" s="78">
        <v>0.13500000000000001</v>
      </c>
      <c r="AV14" s="78">
        <v>0.125</v>
      </c>
      <c r="AW14" s="78">
        <f t="shared" ref="AW14" si="25">AU14/AV14</f>
        <v>1.08</v>
      </c>
      <c r="AX14" s="80">
        <f t="shared" ref="AX14" si="26">AP14/AU14</f>
        <v>2.074074074074074</v>
      </c>
      <c r="AY14" s="216" t="s">
        <v>75</v>
      </c>
      <c r="AZ14" s="87">
        <v>11</v>
      </c>
      <c r="BA14" s="216" t="s">
        <v>75</v>
      </c>
      <c r="BB14" s="216" t="s">
        <v>75</v>
      </c>
      <c r="BC14" s="232" t="s">
        <v>75</v>
      </c>
    </row>
    <row r="15" spans="2:55" ht="12.75" customHeight="1" x14ac:dyDescent="0.25">
      <c r="B15" s="83">
        <v>14734</v>
      </c>
      <c r="C15" s="116" t="s">
        <v>32</v>
      </c>
      <c r="D15" s="109" t="s">
        <v>262</v>
      </c>
      <c r="E15" s="109" t="s">
        <v>263</v>
      </c>
      <c r="F15" s="72">
        <f>1.093+1.196</f>
        <v>2.2889999999999997</v>
      </c>
      <c r="G15" s="110" t="s">
        <v>75</v>
      </c>
      <c r="H15" s="110" t="s">
        <v>75</v>
      </c>
      <c r="I15" s="72">
        <v>9.7000000000000003E-2</v>
      </c>
      <c r="J15" s="72">
        <v>6.4000000000000001E-2</v>
      </c>
      <c r="K15" s="72">
        <v>0.96</v>
      </c>
      <c r="L15" s="72">
        <v>0.6</v>
      </c>
      <c r="M15" s="72">
        <v>0.6</v>
      </c>
      <c r="N15" s="72">
        <v>0.12</v>
      </c>
      <c r="O15" s="73" t="s">
        <v>75</v>
      </c>
      <c r="P15" s="73" t="s">
        <v>75</v>
      </c>
      <c r="Q15" s="110" t="s">
        <v>75</v>
      </c>
      <c r="R15" s="82">
        <f>M15/K15</f>
        <v>0.625</v>
      </c>
      <c r="S15" s="82">
        <f t="shared" si="1"/>
        <v>0.625</v>
      </c>
      <c r="T15" s="110" t="s">
        <v>75</v>
      </c>
      <c r="U15" s="72">
        <v>0.33</v>
      </c>
      <c r="V15" s="73" t="s">
        <v>75</v>
      </c>
      <c r="W15" s="72">
        <v>0.65</v>
      </c>
      <c r="X15" s="72">
        <v>9.6000000000000002E-2</v>
      </c>
      <c r="Y15" s="72">
        <f>W:W/X:X</f>
        <v>6.770833333333333</v>
      </c>
      <c r="Z15" s="72">
        <v>0.44</v>
      </c>
      <c r="AA15" s="72">
        <v>0.59</v>
      </c>
      <c r="AB15" s="72">
        <f t="shared" si="12"/>
        <v>0.25775447793796419</v>
      </c>
      <c r="AC15" s="72">
        <v>1.25</v>
      </c>
      <c r="AD15" s="72">
        <f t="shared" si="13"/>
        <v>0.54608999563128013</v>
      </c>
      <c r="AE15" s="72">
        <v>0.13</v>
      </c>
      <c r="AF15" s="72">
        <f t="shared" si="16"/>
        <v>0.13541666666666669</v>
      </c>
      <c r="AG15" s="73" t="s">
        <v>75</v>
      </c>
      <c r="AH15" s="72">
        <f t="shared" si="17"/>
        <v>1.0833333333333335</v>
      </c>
      <c r="AI15" s="73" t="s">
        <v>75</v>
      </c>
      <c r="AJ15" s="73" t="s">
        <v>75</v>
      </c>
      <c r="AK15" s="73" t="s">
        <v>75</v>
      </c>
      <c r="AL15" s="73" t="s">
        <v>75</v>
      </c>
      <c r="AM15" s="73" t="s">
        <v>75</v>
      </c>
      <c r="AN15" s="73" t="s">
        <v>75</v>
      </c>
      <c r="AO15" s="73" t="s">
        <v>75</v>
      </c>
      <c r="AP15" s="73" t="s">
        <v>75</v>
      </c>
      <c r="AQ15" s="73" t="s">
        <v>75</v>
      </c>
      <c r="AR15" s="73" t="s">
        <v>75</v>
      </c>
      <c r="AS15" s="73" t="s">
        <v>75</v>
      </c>
      <c r="AT15" s="73" t="s">
        <v>75</v>
      </c>
      <c r="AU15" s="72">
        <v>0.13100000000000001</v>
      </c>
      <c r="AV15" s="72">
        <v>0.16600000000000001</v>
      </c>
      <c r="AW15" s="72">
        <f t="shared" si="5"/>
        <v>0.78915662650602414</v>
      </c>
      <c r="AX15" s="110" t="s">
        <v>75</v>
      </c>
      <c r="AY15" s="84">
        <v>5</v>
      </c>
      <c r="AZ15" s="225" t="s">
        <v>75</v>
      </c>
      <c r="BA15" s="225" t="s">
        <v>75</v>
      </c>
      <c r="BB15" s="84">
        <v>5</v>
      </c>
      <c r="BC15" s="85">
        <v>5</v>
      </c>
    </row>
    <row r="16" spans="2:55" ht="12.75" customHeight="1" x14ac:dyDescent="0.25">
      <c r="B16" s="69"/>
      <c r="C16" s="109"/>
      <c r="D16" s="109"/>
      <c r="E16" s="109"/>
      <c r="F16" s="72">
        <f>1.093+1.196</f>
        <v>2.2889999999999997</v>
      </c>
      <c r="G16" s="110" t="s">
        <v>75</v>
      </c>
      <c r="H16" s="110" t="s">
        <v>75</v>
      </c>
      <c r="I16" s="72">
        <v>9.8000000000000004E-2</v>
      </c>
      <c r="J16" s="72">
        <v>6.0999999999999999E-2</v>
      </c>
      <c r="K16" s="72">
        <v>0.99</v>
      </c>
      <c r="L16" s="72">
        <v>0.59</v>
      </c>
      <c r="M16" s="72">
        <v>0.65</v>
      </c>
      <c r="N16" s="73" t="s">
        <v>75</v>
      </c>
      <c r="O16" s="73" t="s">
        <v>75</v>
      </c>
      <c r="P16" s="73" t="s">
        <v>75</v>
      </c>
      <c r="Q16" s="110" t="s">
        <v>75</v>
      </c>
      <c r="R16" s="82">
        <f>M16/K16</f>
        <v>0.65656565656565657</v>
      </c>
      <c r="S16" s="82">
        <f t="shared" si="1"/>
        <v>0.59595959595959591</v>
      </c>
      <c r="T16" s="110" t="s">
        <v>75</v>
      </c>
      <c r="U16" s="72">
        <v>0.33</v>
      </c>
      <c r="V16" s="73" t="s">
        <v>75</v>
      </c>
      <c r="W16" s="73" t="s">
        <v>75</v>
      </c>
      <c r="X16" s="73" t="s">
        <v>75</v>
      </c>
      <c r="Y16" s="73" t="s">
        <v>75</v>
      </c>
      <c r="Z16" s="72">
        <v>0.45</v>
      </c>
      <c r="AA16" s="72">
        <v>0.62</v>
      </c>
      <c r="AB16" s="72">
        <f t="shared" si="12"/>
        <v>0.27086063783311493</v>
      </c>
      <c r="AC16" s="72">
        <v>1.2</v>
      </c>
      <c r="AD16" s="72">
        <f t="shared" si="13"/>
        <v>0.52424639580602883</v>
      </c>
      <c r="AE16" s="72">
        <v>0.12</v>
      </c>
      <c r="AF16" s="72">
        <f t="shared" si="16"/>
        <v>0.12121212121212122</v>
      </c>
      <c r="AG16" s="73" t="s">
        <v>75</v>
      </c>
      <c r="AH16" s="73" t="s">
        <v>75</v>
      </c>
      <c r="AI16" s="73" t="s">
        <v>75</v>
      </c>
      <c r="AJ16" s="73" t="s">
        <v>75</v>
      </c>
      <c r="AK16" s="73" t="s">
        <v>75</v>
      </c>
      <c r="AL16" s="73" t="s">
        <v>75</v>
      </c>
      <c r="AM16" s="73" t="s">
        <v>75</v>
      </c>
      <c r="AN16" s="73" t="s">
        <v>75</v>
      </c>
      <c r="AO16" s="73" t="s">
        <v>75</v>
      </c>
      <c r="AP16" s="73" t="s">
        <v>75</v>
      </c>
      <c r="AQ16" s="73" t="s">
        <v>75</v>
      </c>
      <c r="AR16" s="73" t="s">
        <v>75</v>
      </c>
      <c r="AS16" s="73" t="s">
        <v>75</v>
      </c>
      <c r="AT16" s="73" t="s">
        <v>75</v>
      </c>
      <c r="AU16" s="72">
        <v>0.13100000000000001</v>
      </c>
      <c r="AV16" s="72">
        <v>0.16600000000000001</v>
      </c>
      <c r="AW16" s="72">
        <f t="shared" ref="AW16" si="27">AU16/AV16</f>
        <v>0.78915662650602414</v>
      </c>
      <c r="AX16" s="110" t="s">
        <v>75</v>
      </c>
      <c r="AY16" s="225" t="s">
        <v>75</v>
      </c>
      <c r="AZ16" s="225" t="s">
        <v>75</v>
      </c>
      <c r="BA16" s="225" t="s">
        <v>75</v>
      </c>
      <c r="BB16" s="225" t="s">
        <v>75</v>
      </c>
      <c r="BC16" s="237" t="s">
        <v>75</v>
      </c>
    </row>
    <row r="17" spans="2:55" ht="12.75" customHeight="1" x14ac:dyDescent="0.25">
      <c r="B17" s="86">
        <v>14734</v>
      </c>
      <c r="C17" s="112" t="s">
        <v>32</v>
      </c>
      <c r="D17" s="113" t="s">
        <v>262</v>
      </c>
      <c r="E17" s="113" t="s">
        <v>263</v>
      </c>
      <c r="F17" s="78">
        <f>1.276+1.166</f>
        <v>2.4420000000000002</v>
      </c>
      <c r="G17" s="114" t="s">
        <v>75</v>
      </c>
      <c r="H17" s="114" t="s">
        <v>75</v>
      </c>
      <c r="I17" s="78">
        <v>0.11</v>
      </c>
      <c r="J17" s="78">
        <v>6.2E-2</v>
      </c>
      <c r="K17" s="78">
        <v>0.99</v>
      </c>
      <c r="L17" s="78">
        <v>0.64</v>
      </c>
      <c r="M17" s="79" t="s">
        <v>75</v>
      </c>
      <c r="N17" s="79" t="s">
        <v>75</v>
      </c>
      <c r="O17" s="79" t="s">
        <v>75</v>
      </c>
      <c r="P17" s="79" t="s">
        <v>75</v>
      </c>
      <c r="Q17" s="114" t="s">
        <v>75</v>
      </c>
      <c r="R17" s="114" t="s">
        <v>75</v>
      </c>
      <c r="S17" s="80">
        <f t="shared" si="1"/>
        <v>0.64646464646464652</v>
      </c>
      <c r="T17" s="114" t="s">
        <v>75</v>
      </c>
      <c r="U17" s="79" t="s">
        <v>75</v>
      </c>
      <c r="V17" s="79" t="s">
        <v>75</v>
      </c>
      <c r="W17" s="78">
        <v>0.65</v>
      </c>
      <c r="X17" s="78">
        <v>0.122</v>
      </c>
      <c r="Y17" s="78">
        <f>W:W/X:X</f>
        <v>5.3278688524590168</v>
      </c>
      <c r="Z17" s="78">
        <v>0.44900000000000001</v>
      </c>
      <c r="AA17" s="78">
        <v>0.66</v>
      </c>
      <c r="AB17" s="78">
        <f t="shared" si="12"/>
        <v>0.27027027027027029</v>
      </c>
      <c r="AC17" s="78">
        <v>1.38</v>
      </c>
      <c r="AD17" s="78">
        <f t="shared" si="13"/>
        <v>0.56511056511056501</v>
      </c>
      <c r="AE17" s="78">
        <v>0.11</v>
      </c>
      <c r="AF17" s="78">
        <f t="shared" si="16"/>
        <v>0.11111111111111112</v>
      </c>
      <c r="AG17" s="79" t="s">
        <v>75</v>
      </c>
      <c r="AH17" s="79" t="s">
        <v>75</v>
      </c>
      <c r="AI17" s="78">
        <v>0.104</v>
      </c>
      <c r="AJ17" s="78">
        <v>4.7E-2</v>
      </c>
      <c r="AK17" s="78">
        <f t="shared" si="23"/>
        <v>2.2127659574468086</v>
      </c>
      <c r="AL17" s="78">
        <f>AI17/AE17</f>
        <v>0.94545454545454544</v>
      </c>
      <c r="AM17" s="79" t="s">
        <v>75</v>
      </c>
      <c r="AN17" s="78">
        <f>AI17/K17</f>
        <v>0.10505050505050505</v>
      </c>
      <c r="AO17" s="78">
        <f t="shared" si="24"/>
        <v>0.38951310861423216</v>
      </c>
      <c r="AP17" s="78">
        <v>0.26700000000000002</v>
      </c>
      <c r="AQ17" s="78">
        <v>0.184</v>
      </c>
      <c r="AR17" s="78">
        <f t="shared" ref="AR17:AR30" si="28">AP17/F17</f>
        <v>0.10933660933660934</v>
      </c>
      <c r="AS17" s="78">
        <f t="shared" si="3"/>
        <v>1.4510869565217392</v>
      </c>
      <c r="AT17" s="78">
        <f>AP17/K17</f>
        <v>0.26969696969696971</v>
      </c>
      <c r="AU17" s="78">
        <v>0.127</v>
      </c>
      <c r="AV17" s="79" t="s">
        <v>75</v>
      </c>
      <c r="AW17" s="79" t="s">
        <v>75</v>
      </c>
      <c r="AX17" s="80">
        <f t="shared" si="6"/>
        <v>2.1023622047244097</v>
      </c>
      <c r="AY17" s="87">
        <v>4</v>
      </c>
      <c r="AZ17" s="87">
        <v>10</v>
      </c>
      <c r="BA17" s="87">
        <v>4</v>
      </c>
      <c r="BB17" s="87">
        <v>5</v>
      </c>
      <c r="BC17" s="88">
        <v>8</v>
      </c>
    </row>
    <row r="18" spans="2:55" ht="12.75" customHeight="1" x14ac:dyDescent="0.25">
      <c r="B18" s="75"/>
      <c r="C18" s="113"/>
      <c r="D18" s="113"/>
      <c r="E18" s="113"/>
      <c r="F18" s="78">
        <f>1.276+1.166</f>
        <v>2.4420000000000002</v>
      </c>
      <c r="G18" s="114" t="s">
        <v>75</v>
      </c>
      <c r="H18" s="114" t="s">
        <v>75</v>
      </c>
      <c r="I18" s="78">
        <v>8.2000000000000003E-2</v>
      </c>
      <c r="J18" s="78">
        <v>5.1999999999999998E-2</v>
      </c>
      <c r="K18" s="78">
        <f>0.84+0.47</f>
        <v>1.31</v>
      </c>
      <c r="L18" s="78">
        <v>0.72</v>
      </c>
      <c r="M18" s="78">
        <v>1.52</v>
      </c>
      <c r="N18" s="79" t="s">
        <v>75</v>
      </c>
      <c r="O18" s="79" t="s">
        <v>75</v>
      </c>
      <c r="P18" s="79" t="s">
        <v>75</v>
      </c>
      <c r="Q18" s="114" t="s">
        <v>75</v>
      </c>
      <c r="R18" s="80">
        <f t="shared" ref="R18:R21" si="29">M18/K18</f>
        <v>1.1603053435114503</v>
      </c>
      <c r="S18" s="80">
        <f t="shared" si="1"/>
        <v>0.54961832061068694</v>
      </c>
      <c r="T18" s="114" t="s">
        <v>75</v>
      </c>
      <c r="U18" s="79" t="s">
        <v>75</v>
      </c>
      <c r="V18" s="79" t="s">
        <v>75</v>
      </c>
      <c r="W18" s="79" t="s">
        <v>75</v>
      </c>
      <c r="X18" s="79" t="s">
        <v>75</v>
      </c>
      <c r="Y18" s="79" t="s">
        <v>75</v>
      </c>
      <c r="Z18" s="78">
        <v>0.45700000000000002</v>
      </c>
      <c r="AA18" s="79" t="s">
        <v>75</v>
      </c>
      <c r="AB18" s="79" t="s">
        <v>75</v>
      </c>
      <c r="AC18" s="79" t="s">
        <v>75</v>
      </c>
      <c r="AD18" s="79" t="s">
        <v>75</v>
      </c>
      <c r="AE18" s="79" t="s">
        <v>75</v>
      </c>
      <c r="AF18" s="79" t="s">
        <v>75</v>
      </c>
      <c r="AG18" s="79" t="s">
        <v>75</v>
      </c>
      <c r="AH18" s="79" t="s">
        <v>75</v>
      </c>
      <c r="AI18" s="78">
        <v>0.104</v>
      </c>
      <c r="AJ18" s="78">
        <v>4.7E-2</v>
      </c>
      <c r="AK18" s="78">
        <f t="shared" si="23"/>
        <v>2.2127659574468086</v>
      </c>
      <c r="AL18" s="79" t="s">
        <v>75</v>
      </c>
      <c r="AM18" s="79" t="s">
        <v>75</v>
      </c>
      <c r="AN18" s="78">
        <f>AI18/K18</f>
        <v>7.9389312977099225E-2</v>
      </c>
      <c r="AO18" s="78">
        <f t="shared" si="24"/>
        <v>0.37956204379562042</v>
      </c>
      <c r="AP18" s="78">
        <v>0.27400000000000002</v>
      </c>
      <c r="AQ18" s="78">
        <v>0.14199999999999999</v>
      </c>
      <c r="AR18" s="78">
        <f t="shared" si="28"/>
        <v>0.1122031122031122</v>
      </c>
      <c r="AS18" s="78">
        <f t="shared" si="3"/>
        <v>1.9295774647887327</v>
      </c>
      <c r="AT18" s="78">
        <f>AP18/K18</f>
        <v>0.20916030534351146</v>
      </c>
      <c r="AU18" s="78">
        <v>0.127</v>
      </c>
      <c r="AV18" s="79" t="s">
        <v>75</v>
      </c>
      <c r="AW18" s="79" t="s">
        <v>75</v>
      </c>
      <c r="AX18" s="80">
        <f t="shared" ref="AX18" si="30">AP18/AU18</f>
        <v>2.1574803149606301</v>
      </c>
      <c r="AY18" s="216" t="s">
        <v>75</v>
      </c>
      <c r="AZ18" s="87">
        <v>12</v>
      </c>
      <c r="BA18" s="216" t="s">
        <v>75</v>
      </c>
      <c r="BB18" s="216" t="s">
        <v>75</v>
      </c>
      <c r="BC18" s="232" t="s">
        <v>75</v>
      </c>
    </row>
    <row r="19" spans="2:55" ht="12.75" customHeight="1" x14ac:dyDescent="0.25">
      <c r="B19" s="83">
        <v>14734</v>
      </c>
      <c r="C19" s="116" t="s">
        <v>32</v>
      </c>
      <c r="D19" s="109" t="s">
        <v>262</v>
      </c>
      <c r="E19" s="109" t="s">
        <v>263</v>
      </c>
      <c r="F19" s="72">
        <f>1.233+1.238</f>
        <v>2.4710000000000001</v>
      </c>
      <c r="G19" s="82">
        <f t="shared" ref="G19:G30" si="31">I19+J19+K19+L19+M19+N19+O19</f>
        <v>3.4950000000000001</v>
      </c>
      <c r="H19" s="82">
        <f t="shared" si="0"/>
        <v>1.41440712262242</v>
      </c>
      <c r="I19" s="72">
        <v>0.108</v>
      </c>
      <c r="J19" s="72">
        <v>5.7000000000000002E-2</v>
      </c>
      <c r="K19" s="72">
        <v>0.95799999999999996</v>
      </c>
      <c r="L19" s="72">
        <v>0.62</v>
      </c>
      <c r="M19" s="72">
        <v>0.6</v>
      </c>
      <c r="N19" s="72">
        <v>0.13</v>
      </c>
      <c r="O19" s="72">
        <v>1.022</v>
      </c>
      <c r="P19" s="72">
        <f>N:N+O:O</f>
        <v>1.1520000000000001</v>
      </c>
      <c r="Q19" s="82">
        <f t="shared" ref="Q19:Q30" si="32">(N19+O19)/K19</f>
        <v>1.2025052192066807</v>
      </c>
      <c r="R19" s="82">
        <f t="shared" si="29"/>
        <v>0.62630480167014613</v>
      </c>
      <c r="S19" s="82">
        <f t="shared" si="1"/>
        <v>0.64718162839248439</v>
      </c>
      <c r="T19" s="82">
        <f t="shared" ref="T19:T30" si="33">O19/N19</f>
        <v>7.8615384615384611</v>
      </c>
      <c r="U19" s="72">
        <v>0.38</v>
      </c>
      <c r="V19" s="72">
        <f t="shared" si="7"/>
        <v>9.1973684210526319</v>
      </c>
      <c r="W19" s="72">
        <v>0.65</v>
      </c>
      <c r="X19" s="72">
        <v>0.1</v>
      </c>
      <c r="Y19" s="72">
        <f>W:W/X:X</f>
        <v>6.5</v>
      </c>
      <c r="Z19" s="72">
        <v>0.44</v>
      </c>
      <c r="AA19" s="72">
        <v>0.63</v>
      </c>
      <c r="AB19" s="72">
        <f t="shared" ref="AB19:AB30" si="34">AA19/F19</f>
        <v>0.25495750708215298</v>
      </c>
      <c r="AC19" s="72">
        <v>1.26</v>
      </c>
      <c r="AD19" s="72">
        <f>AC19/F19</f>
        <v>0.50991501416430596</v>
      </c>
      <c r="AE19" s="72">
        <v>0.12</v>
      </c>
      <c r="AF19" s="72">
        <f>AE19/K19</f>
        <v>0.12526096033402923</v>
      </c>
      <c r="AG19" s="72">
        <f>AE:AE/P:P</f>
        <v>0.10416666666666666</v>
      </c>
      <c r="AH19" s="72">
        <f>AE19/N19</f>
        <v>0.92307692307692302</v>
      </c>
      <c r="AI19" s="73" t="s">
        <v>75</v>
      </c>
      <c r="AJ19" s="73" t="s">
        <v>75</v>
      </c>
      <c r="AK19" s="73" t="s">
        <v>75</v>
      </c>
      <c r="AL19" s="73" t="s">
        <v>75</v>
      </c>
      <c r="AM19" s="73" t="s">
        <v>75</v>
      </c>
      <c r="AN19" s="73" t="s">
        <v>75</v>
      </c>
      <c r="AO19" s="73" t="s">
        <v>75</v>
      </c>
      <c r="AP19" s="72">
        <v>0.28999999999999998</v>
      </c>
      <c r="AQ19" s="72">
        <v>0.121</v>
      </c>
      <c r="AR19" s="72">
        <f t="shared" si="28"/>
        <v>0.11736139214892755</v>
      </c>
      <c r="AS19" s="72">
        <f t="shared" si="3"/>
        <v>2.3966942148760331</v>
      </c>
      <c r="AT19" s="72">
        <f>AP19/K19</f>
        <v>0.30271398747390393</v>
      </c>
      <c r="AU19" s="72">
        <v>0.11799999999999999</v>
      </c>
      <c r="AV19" s="72">
        <v>0.13</v>
      </c>
      <c r="AW19" s="72">
        <f t="shared" si="5"/>
        <v>0.90769230769230758</v>
      </c>
      <c r="AX19" s="82">
        <f t="shared" si="6"/>
        <v>2.4576271186440679</v>
      </c>
      <c r="AY19" s="84">
        <v>4</v>
      </c>
      <c r="AZ19" s="84">
        <v>11</v>
      </c>
      <c r="BA19" s="225" t="s">
        <v>75</v>
      </c>
      <c r="BB19" s="84">
        <v>4</v>
      </c>
      <c r="BC19" s="85">
        <v>5</v>
      </c>
    </row>
    <row r="20" spans="2:55" ht="12.75" customHeight="1" x14ac:dyDescent="0.25">
      <c r="B20" s="69"/>
      <c r="C20" s="109"/>
      <c r="D20" s="109"/>
      <c r="E20" s="109"/>
      <c r="F20" s="72">
        <f>1.233+1.238</f>
        <v>2.4710000000000001</v>
      </c>
      <c r="G20" s="82">
        <f t="shared" si="31"/>
        <v>3.8150000000000004</v>
      </c>
      <c r="H20" s="82">
        <f t="shared" si="0"/>
        <v>1.5439093484419264</v>
      </c>
      <c r="I20" s="72">
        <v>0.10299999999999999</v>
      </c>
      <c r="J20" s="72">
        <v>0.06</v>
      </c>
      <c r="K20" s="72">
        <v>0.94799999999999995</v>
      </c>
      <c r="L20" s="72">
        <v>0.65</v>
      </c>
      <c r="M20" s="72">
        <v>0.6</v>
      </c>
      <c r="N20" s="72">
        <v>0.13</v>
      </c>
      <c r="O20" s="72">
        <f>0.644+0.68</f>
        <v>1.3240000000000001</v>
      </c>
      <c r="P20" s="72">
        <f>N:N+O:O</f>
        <v>1.4540000000000002</v>
      </c>
      <c r="Q20" s="82">
        <f t="shared" si="32"/>
        <v>1.5337552742616036</v>
      </c>
      <c r="R20" s="82">
        <f t="shared" si="29"/>
        <v>0.63291139240506333</v>
      </c>
      <c r="S20" s="82">
        <f t="shared" si="1"/>
        <v>0.68565400843881863</v>
      </c>
      <c r="T20" s="82">
        <f t="shared" si="33"/>
        <v>10.184615384615384</v>
      </c>
      <c r="U20" s="72">
        <v>0.38</v>
      </c>
      <c r="V20" s="72">
        <f t="shared" si="7"/>
        <v>10.039473684210527</v>
      </c>
      <c r="W20" s="73" t="s">
        <v>75</v>
      </c>
      <c r="X20" s="73" t="s">
        <v>75</v>
      </c>
      <c r="Y20" s="73" t="s">
        <v>75</v>
      </c>
      <c r="Z20" s="72">
        <v>0.45</v>
      </c>
      <c r="AA20" s="72">
        <v>0.64</v>
      </c>
      <c r="AB20" s="72">
        <f t="shared" si="34"/>
        <v>0.25900445163901253</v>
      </c>
      <c r="AC20" s="72">
        <v>1.26</v>
      </c>
      <c r="AD20" s="72">
        <f>AC20/F20</f>
        <v>0.50991501416430596</v>
      </c>
      <c r="AE20" s="72">
        <v>0.11</v>
      </c>
      <c r="AF20" s="72">
        <f>AE20/K20</f>
        <v>0.11603375527426162</v>
      </c>
      <c r="AG20" s="72">
        <f>AE:AE/P:P</f>
        <v>7.5653370013755147E-2</v>
      </c>
      <c r="AH20" s="72">
        <f>AE20/N20</f>
        <v>0.84615384615384615</v>
      </c>
      <c r="AI20" s="73" t="s">
        <v>75</v>
      </c>
      <c r="AJ20" s="73" t="s">
        <v>75</v>
      </c>
      <c r="AK20" s="73" t="s">
        <v>75</v>
      </c>
      <c r="AL20" s="73" t="s">
        <v>75</v>
      </c>
      <c r="AM20" s="73" t="s">
        <v>75</v>
      </c>
      <c r="AN20" s="73" t="s">
        <v>75</v>
      </c>
      <c r="AO20" s="73" t="s">
        <v>75</v>
      </c>
      <c r="AP20" s="72">
        <v>0.28000000000000003</v>
      </c>
      <c r="AQ20" s="72">
        <v>0.16</v>
      </c>
      <c r="AR20" s="72">
        <f t="shared" si="28"/>
        <v>0.11331444759206799</v>
      </c>
      <c r="AS20" s="72">
        <f t="shared" si="3"/>
        <v>1.7500000000000002</v>
      </c>
      <c r="AT20" s="72">
        <f>AP20/K20</f>
        <v>0.29535864978902959</v>
      </c>
      <c r="AU20" s="72">
        <v>0.11799999999999999</v>
      </c>
      <c r="AV20" s="72">
        <v>0.13</v>
      </c>
      <c r="AW20" s="72">
        <f t="shared" ref="AW20" si="35">AU20/AV20</f>
        <v>0.90769230769230758</v>
      </c>
      <c r="AX20" s="82">
        <f t="shared" ref="AX20" si="36">AP20/AU20</f>
        <v>2.3728813559322037</v>
      </c>
      <c r="AY20" s="225" t="s">
        <v>75</v>
      </c>
      <c r="AZ20" s="84">
        <v>12</v>
      </c>
      <c r="BA20" s="225" t="s">
        <v>75</v>
      </c>
      <c r="BB20" s="225" t="s">
        <v>75</v>
      </c>
      <c r="BC20" s="237" t="s">
        <v>75</v>
      </c>
    </row>
    <row r="21" spans="2:55" ht="12.75" customHeight="1" x14ac:dyDescent="0.25">
      <c r="B21" s="86">
        <v>22435</v>
      </c>
      <c r="C21" s="112" t="s">
        <v>32</v>
      </c>
      <c r="D21" s="113" t="s">
        <v>225</v>
      </c>
      <c r="E21" s="113" t="s">
        <v>264</v>
      </c>
      <c r="F21" s="78">
        <f>1.31+0.97</f>
        <v>2.2800000000000002</v>
      </c>
      <c r="G21" s="80">
        <f t="shared" si="31"/>
        <v>3.89</v>
      </c>
      <c r="H21" s="80">
        <f t="shared" si="0"/>
        <v>1.7061403508771928</v>
      </c>
      <c r="I21" s="78">
        <v>0.12</v>
      </c>
      <c r="J21" s="78">
        <v>0.06</v>
      </c>
      <c r="K21" s="78">
        <v>1.01</v>
      </c>
      <c r="L21" s="78">
        <v>0.6</v>
      </c>
      <c r="M21" s="78">
        <v>0.62</v>
      </c>
      <c r="N21" s="78">
        <v>0.13</v>
      </c>
      <c r="O21" s="78">
        <v>1.35</v>
      </c>
      <c r="P21" s="78">
        <f>N:N+O:O</f>
        <v>1.48</v>
      </c>
      <c r="Q21" s="80">
        <f t="shared" si="32"/>
        <v>1.4653465346534653</v>
      </c>
      <c r="R21" s="80">
        <f t="shared" si="29"/>
        <v>0.61386138613861385</v>
      </c>
      <c r="S21" s="80">
        <f t="shared" si="1"/>
        <v>0.59405940594059403</v>
      </c>
      <c r="T21" s="80">
        <f t="shared" si="33"/>
        <v>10.384615384615385</v>
      </c>
      <c r="U21" s="78">
        <v>0.32</v>
      </c>
      <c r="V21" s="78">
        <f t="shared" si="7"/>
        <v>12.15625</v>
      </c>
      <c r="W21" s="78">
        <v>0.65</v>
      </c>
      <c r="X21" s="78">
        <v>0.13</v>
      </c>
      <c r="Y21" s="78">
        <f t="shared" ref="Y21:Y30" si="37">W:W/X:X</f>
        <v>5</v>
      </c>
      <c r="Z21" s="78">
        <v>0.43</v>
      </c>
      <c r="AA21" s="78">
        <v>0.6</v>
      </c>
      <c r="AB21" s="78">
        <f t="shared" si="34"/>
        <v>0.26315789473684209</v>
      </c>
      <c r="AC21" s="78">
        <v>1.28</v>
      </c>
      <c r="AD21" s="78">
        <f>AC21/F21</f>
        <v>0.56140350877192979</v>
      </c>
      <c r="AE21" s="78">
        <v>0.13</v>
      </c>
      <c r="AF21" s="78">
        <f>AE21/K21</f>
        <v>0.12871287128712872</v>
      </c>
      <c r="AG21" s="78">
        <f>AE:AE/P:P</f>
        <v>8.7837837837837843E-2</v>
      </c>
      <c r="AH21" s="78">
        <f>AE21/N21</f>
        <v>1</v>
      </c>
      <c r="AI21" s="78">
        <v>0.1</v>
      </c>
      <c r="AJ21" s="78">
        <v>0.05</v>
      </c>
      <c r="AK21" s="78">
        <f t="shared" si="23"/>
        <v>2</v>
      </c>
      <c r="AL21" s="78">
        <f>AI21/AE21</f>
        <v>0.76923076923076927</v>
      </c>
      <c r="AM21" s="78">
        <f>AI21/N21</f>
        <v>0.76923076923076927</v>
      </c>
      <c r="AN21" s="78">
        <f>AI21/K21</f>
        <v>9.9009900990099015E-2</v>
      </c>
      <c r="AO21" s="78">
        <f t="shared" si="24"/>
        <v>0.37037037037037035</v>
      </c>
      <c r="AP21" s="78">
        <v>0.27</v>
      </c>
      <c r="AQ21" s="78">
        <v>0.13</v>
      </c>
      <c r="AR21" s="78">
        <f t="shared" si="28"/>
        <v>0.11842105263157894</v>
      </c>
      <c r="AS21" s="78">
        <f t="shared" si="3"/>
        <v>2.0769230769230771</v>
      </c>
      <c r="AT21" s="78">
        <f>AP21/K21</f>
        <v>0.26732673267326734</v>
      </c>
      <c r="AU21" s="78">
        <v>0.14000000000000001</v>
      </c>
      <c r="AV21" s="79" t="s">
        <v>75</v>
      </c>
      <c r="AW21" s="79" t="s">
        <v>75</v>
      </c>
      <c r="AX21" s="80">
        <f t="shared" si="6"/>
        <v>1.9285714285714286</v>
      </c>
      <c r="AY21" s="87">
        <v>6</v>
      </c>
      <c r="AZ21" s="87">
        <v>10</v>
      </c>
      <c r="BA21" s="87">
        <v>6</v>
      </c>
      <c r="BB21" s="87">
        <v>8</v>
      </c>
      <c r="BC21" s="88">
        <v>10</v>
      </c>
    </row>
    <row r="22" spans="2:55" ht="12.75" customHeight="1" x14ac:dyDescent="0.25">
      <c r="B22" s="75"/>
      <c r="C22" s="113"/>
      <c r="D22" s="113"/>
      <c r="E22" s="113"/>
      <c r="F22" s="78">
        <f>1.31+0.97</f>
        <v>2.2800000000000002</v>
      </c>
      <c r="G22" s="114" t="s">
        <v>75</v>
      </c>
      <c r="H22" s="114" t="s">
        <v>75</v>
      </c>
      <c r="I22" s="79" t="s">
        <v>75</v>
      </c>
      <c r="J22" s="79" t="s">
        <v>75</v>
      </c>
      <c r="K22" s="79" t="s">
        <v>75</v>
      </c>
      <c r="L22" s="79" t="s">
        <v>75</v>
      </c>
      <c r="M22" s="79" t="s">
        <v>75</v>
      </c>
      <c r="N22" s="79" t="s">
        <v>75</v>
      </c>
      <c r="O22" s="79" t="s">
        <v>75</v>
      </c>
      <c r="P22" s="79" t="s">
        <v>75</v>
      </c>
      <c r="Q22" s="114" t="s">
        <v>75</v>
      </c>
      <c r="R22" s="114" t="s">
        <v>75</v>
      </c>
      <c r="S22" s="114" t="s">
        <v>75</v>
      </c>
      <c r="T22" s="114" t="s">
        <v>75</v>
      </c>
      <c r="U22" s="78">
        <v>0.32</v>
      </c>
      <c r="V22" s="79" t="s">
        <v>75</v>
      </c>
      <c r="W22" s="78">
        <v>0.63</v>
      </c>
      <c r="X22" s="78">
        <v>0.12</v>
      </c>
      <c r="Y22" s="78">
        <f t="shared" si="37"/>
        <v>5.25</v>
      </c>
      <c r="Z22" s="79" t="s">
        <v>75</v>
      </c>
      <c r="AA22" s="78">
        <v>0.62</v>
      </c>
      <c r="AB22" s="78">
        <f t="shared" si="34"/>
        <v>0.27192982456140347</v>
      </c>
      <c r="AC22" s="78">
        <v>1.28</v>
      </c>
      <c r="AD22" s="78">
        <f>AC22/F22</f>
        <v>0.56140350877192979</v>
      </c>
      <c r="AE22" s="78">
        <v>0.12</v>
      </c>
      <c r="AF22" s="79" t="s">
        <v>75</v>
      </c>
      <c r="AG22" s="79" t="s">
        <v>75</v>
      </c>
      <c r="AH22" s="79" t="s">
        <v>75</v>
      </c>
      <c r="AI22" s="78">
        <v>0.1</v>
      </c>
      <c r="AJ22" s="78">
        <v>0.05</v>
      </c>
      <c r="AK22" s="78">
        <f t="shared" si="23"/>
        <v>2</v>
      </c>
      <c r="AL22" s="78">
        <f>AI22/AE22</f>
        <v>0.83333333333333337</v>
      </c>
      <c r="AM22" s="79" t="s">
        <v>75</v>
      </c>
      <c r="AN22" s="79" t="s">
        <v>75</v>
      </c>
      <c r="AO22" s="78">
        <f t="shared" si="24"/>
        <v>0.38461538461538464</v>
      </c>
      <c r="AP22" s="78">
        <v>0.26</v>
      </c>
      <c r="AQ22" s="78">
        <v>0.14000000000000001</v>
      </c>
      <c r="AR22" s="78">
        <f t="shared" si="28"/>
        <v>0.11403508771929824</v>
      </c>
      <c r="AS22" s="78">
        <f t="shared" si="3"/>
        <v>1.857142857142857</v>
      </c>
      <c r="AT22" s="79" t="s">
        <v>75</v>
      </c>
      <c r="AU22" s="78">
        <v>0.14000000000000001</v>
      </c>
      <c r="AV22" s="79" t="s">
        <v>75</v>
      </c>
      <c r="AW22" s="79" t="s">
        <v>75</v>
      </c>
      <c r="AX22" s="80">
        <f t="shared" ref="AX22" si="38">AP22/AU22</f>
        <v>1.857142857142857</v>
      </c>
      <c r="AY22" s="216" t="s">
        <v>75</v>
      </c>
      <c r="AZ22" s="87">
        <v>11</v>
      </c>
      <c r="BA22" s="216" t="s">
        <v>75</v>
      </c>
      <c r="BB22" s="216" t="s">
        <v>75</v>
      </c>
      <c r="BC22" s="232" t="s">
        <v>75</v>
      </c>
    </row>
    <row r="23" spans="2:55" ht="12.75" customHeight="1" x14ac:dyDescent="0.25">
      <c r="B23" s="83">
        <v>20707</v>
      </c>
      <c r="C23" s="116" t="s">
        <v>32</v>
      </c>
      <c r="D23" s="109" t="s">
        <v>72</v>
      </c>
      <c r="E23" s="109" t="s">
        <v>212</v>
      </c>
      <c r="F23" s="72">
        <f>1.09+0.76</f>
        <v>1.85</v>
      </c>
      <c r="G23" s="110" t="s">
        <v>75</v>
      </c>
      <c r="H23" s="110" t="s">
        <v>75</v>
      </c>
      <c r="I23" s="72">
        <v>0.09</v>
      </c>
      <c r="J23" s="72">
        <v>0.05</v>
      </c>
      <c r="K23" s="72">
        <v>0.81</v>
      </c>
      <c r="L23" s="72">
        <v>0.62</v>
      </c>
      <c r="M23" s="72">
        <v>0.66</v>
      </c>
      <c r="N23" s="72">
        <v>0.12</v>
      </c>
      <c r="O23" s="73" t="s">
        <v>75</v>
      </c>
      <c r="P23" s="73" t="s">
        <v>75</v>
      </c>
      <c r="Q23" s="110" t="s">
        <v>75</v>
      </c>
      <c r="R23" s="82">
        <f>M23/K23</f>
        <v>0.81481481481481477</v>
      </c>
      <c r="S23" s="82">
        <f>L23/K23</f>
        <v>0.76543209876543206</v>
      </c>
      <c r="T23" s="110" t="s">
        <v>75</v>
      </c>
      <c r="U23" s="73" t="s">
        <v>75</v>
      </c>
      <c r="V23" s="73" t="s">
        <v>75</v>
      </c>
      <c r="W23" s="72">
        <v>0.53</v>
      </c>
      <c r="X23" s="72">
        <v>0.12</v>
      </c>
      <c r="Y23" s="72">
        <f t="shared" si="37"/>
        <v>4.416666666666667</v>
      </c>
      <c r="Z23" s="73" t="s">
        <v>75</v>
      </c>
      <c r="AA23" s="72">
        <v>0.47</v>
      </c>
      <c r="AB23" s="72">
        <f t="shared" si="34"/>
        <v>0.25405405405405401</v>
      </c>
      <c r="AC23" s="72">
        <v>1.03</v>
      </c>
      <c r="AD23" s="72">
        <f>AC23/F23</f>
        <v>0.55675675675675673</v>
      </c>
      <c r="AE23" s="72">
        <v>0.1</v>
      </c>
      <c r="AF23" s="72">
        <f>AE23/K23</f>
        <v>0.12345679012345678</v>
      </c>
      <c r="AG23" s="73" t="s">
        <v>75</v>
      </c>
      <c r="AH23" s="72">
        <f>AE23/N23</f>
        <v>0.83333333333333337</v>
      </c>
      <c r="AI23" s="72">
        <v>0.09</v>
      </c>
      <c r="AJ23" s="72">
        <v>0.06</v>
      </c>
      <c r="AK23" s="72">
        <f t="shared" si="23"/>
        <v>1.5</v>
      </c>
      <c r="AL23" s="72">
        <f>AI23/AE23</f>
        <v>0.89999999999999991</v>
      </c>
      <c r="AM23" s="72">
        <f>AI23/N23</f>
        <v>0.75</v>
      </c>
      <c r="AN23" s="72">
        <f>AI23/K23</f>
        <v>0.1111111111111111</v>
      </c>
      <c r="AO23" s="72">
        <f t="shared" si="24"/>
        <v>0.42857142857142855</v>
      </c>
      <c r="AP23" s="72">
        <v>0.21</v>
      </c>
      <c r="AQ23" s="72">
        <v>0.12</v>
      </c>
      <c r="AR23" s="72">
        <f t="shared" si="28"/>
        <v>0.11351351351351351</v>
      </c>
      <c r="AS23" s="72">
        <f t="shared" si="3"/>
        <v>1.75</v>
      </c>
      <c r="AT23" s="72">
        <f t="shared" ref="AT23:AT30" si="39">AP23/K23</f>
        <v>0.25925925925925924</v>
      </c>
      <c r="AU23" s="72">
        <v>0.09</v>
      </c>
      <c r="AV23" s="72">
        <v>0.12</v>
      </c>
      <c r="AW23" s="72">
        <f t="shared" si="5"/>
        <v>0.75</v>
      </c>
      <c r="AX23" s="82">
        <f t="shared" si="6"/>
        <v>2.3333333333333335</v>
      </c>
      <c r="AY23" s="84">
        <v>5</v>
      </c>
      <c r="AZ23" s="84">
        <v>10</v>
      </c>
      <c r="BA23" s="84">
        <v>6</v>
      </c>
      <c r="BB23" s="84">
        <v>7</v>
      </c>
      <c r="BC23" s="85">
        <v>5</v>
      </c>
    </row>
    <row r="24" spans="2:55" ht="12.75" customHeight="1" x14ac:dyDescent="0.25">
      <c r="B24" s="69"/>
      <c r="C24" s="109"/>
      <c r="D24" s="109"/>
      <c r="E24" s="109"/>
      <c r="F24" s="72">
        <f>1.09+0.76</f>
        <v>1.85</v>
      </c>
      <c r="G24" s="110" t="s">
        <v>75</v>
      </c>
      <c r="H24" s="110" t="s">
        <v>75</v>
      </c>
      <c r="I24" s="72">
        <v>0.1</v>
      </c>
      <c r="J24" s="72">
        <v>0.05</v>
      </c>
      <c r="K24" s="72">
        <v>0.81</v>
      </c>
      <c r="L24" s="72">
        <v>0.64</v>
      </c>
      <c r="M24" s="72">
        <v>0.66</v>
      </c>
      <c r="N24" s="72">
        <v>0.12</v>
      </c>
      <c r="O24" s="73" t="s">
        <v>75</v>
      </c>
      <c r="P24" s="73" t="s">
        <v>75</v>
      </c>
      <c r="Q24" s="110" t="s">
        <v>75</v>
      </c>
      <c r="R24" s="82">
        <f t="shared" ref="R24:R30" si="40">M24/K24</f>
        <v>0.81481481481481477</v>
      </c>
      <c r="S24" s="82">
        <f t="shared" ref="S24:S30" si="41">L24/K24</f>
        <v>0.79012345679012341</v>
      </c>
      <c r="T24" s="110" t="s">
        <v>75</v>
      </c>
      <c r="U24" s="73" t="s">
        <v>75</v>
      </c>
      <c r="V24" s="73" t="s">
        <v>75</v>
      </c>
      <c r="W24" s="72">
        <v>0.53</v>
      </c>
      <c r="X24" s="72">
        <v>0.12</v>
      </c>
      <c r="Y24" s="72">
        <f t="shared" si="37"/>
        <v>4.416666666666667</v>
      </c>
      <c r="Z24" s="73" t="s">
        <v>75</v>
      </c>
      <c r="AA24" s="72">
        <v>0.46</v>
      </c>
      <c r="AB24" s="72">
        <f t="shared" si="34"/>
        <v>0.24864864864864863</v>
      </c>
      <c r="AC24" s="73" t="s">
        <v>75</v>
      </c>
      <c r="AD24" s="73" t="s">
        <v>75</v>
      </c>
      <c r="AE24" s="73" t="s">
        <v>75</v>
      </c>
      <c r="AF24" s="73" t="s">
        <v>75</v>
      </c>
      <c r="AG24" s="73" t="s">
        <v>75</v>
      </c>
      <c r="AH24" s="73" t="s">
        <v>75</v>
      </c>
      <c r="AI24" s="72">
        <v>0.09</v>
      </c>
      <c r="AJ24" s="72">
        <v>0.06</v>
      </c>
      <c r="AK24" s="72">
        <f t="shared" si="23"/>
        <v>1.5</v>
      </c>
      <c r="AL24" s="73" t="s">
        <v>75</v>
      </c>
      <c r="AM24" s="72">
        <f>AI24/N24</f>
        <v>0.75</v>
      </c>
      <c r="AN24" s="72">
        <f>AI24/K24</f>
        <v>0.1111111111111111</v>
      </c>
      <c r="AO24" s="72">
        <f t="shared" si="24"/>
        <v>0.42857142857142855</v>
      </c>
      <c r="AP24" s="72">
        <v>0.21</v>
      </c>
      <c r="AQ24" s="72">
        <v>0.12</v>
      </c>
      <c r="AR24" s="72">
        <f t="shared" si="28"/>
        <v>0.11351351351351351</v>
      </c>
      <c r="AS24" s="72">
        <f t="shared" si="3"/>
        <v>1.75</v>
      </c>
      <c r="AT24" s="72">
        <f t="shared" si="39"/>
        <v>0.25925925925925924</v>
      </c>
      <c r="AU24" s="72">
        <v>0.09</v>
      </c>
      <c r="AV24" s="72">
        <v>0.12</v>
      </c>
      <c r="AW24" s="72">
        <f t="shared" ref="AW24" si="42">AU24/AV24</f>
        <v>0.75</v>
      </c>
      <c r="AX24" s="82">
        <f t="shared" ref="AX24" si="43">AP24/AU24</f>
        <v>2.3333333333333335</v>
      </c>
      <c r="AY24" s="225" t="s">
        <v>75</v>
      </c>
      <c r="AZ24" s="84">
        <v>9</v>
      </c>
      <c r="BA24" s="225" t="s">
        <v>75</v>
      </c>
      <c r="BB24" s="225" t="s">
        <v>75</v>
      </c>
      <c r="BC24" s="237" t="s">
        <v>75</v>
      </c>
    </row>
    <row r="25" spans="2:55" ht="12.75" customHeight="1" x14ac:dyDescent="0.25">
      <c r="B25" s="159">
        <v>22435</v>
      </c>
      <c r="C25" s="112" t="s">
        <v>32</v>
      </c>
      <c r="D25" s="113" t="s">
        <v>31</v>
      </c>
      <c r="E25" s="113"/>
      <c r="F25" s="78">
        <f>1.197+1.339</f>
        <v>2.536</v>
      </c>
      <c r="G25" s="80">
        <f t="shared" si="31"/>
        <v>4.9089999999999998</v>
      </c>
      <c r="H25" s="80">
        <f t="shared" si="0"/>
        <v>1.935725552050473</v>
      </c>
      <c r="I25" s="78">
        <v>0.12</v>
      </c>
      <c r="J25" s="78">
        <v>0.06</v>
      </c>
      <c r="K25" s="78">
        <f>0.617+0.591</f>
        <v>1.208</v>
      </c>
      <c r="L25" s="78">
        <v>0.85399999999999998</v>
      </c>
      <c r="M25" s="78">
        <v>0.82099999999999995</v>
      </c>
      <c r="N25" s="78">
        <v>0.15</v>
      </c>
      <c r="O25" s="78">
        <v>1.696</v>
      </c>
      <c r="P25" s="78">
        <f t="shared" ref="P25:P30" si="44">N:N+O:O</f>
        <v>1.8459999999999999</v>
      </c>
      <c r="Q25" s="80">
        <f t="shared" si="32"/>
        <v>1.5281456953642383</v>
      </c>
      <c r="R25" s="80">
        <f t="shared" si="40"/>
        <v>0.67963576158940397</v>
      </c>
      <c r="S25" s="80">
        <f t="shared" si="41"/>
        <v>0.70695364238410596</v>
      </c>
      <c r="T25" s="80">
        <f t="shared" si="33"/>
        <v>11.306666666666667</v>
      </c>
      <c r="U25" s="78">
        <v>0.34</v>
      </c>
      <c r="V25" s="78">
        <f t="shared" si="7"/>
        <v>14.438235294117645</v>
      </c>
      <c r="W25" s="78">
        <v>0.53</v>
      </c>
      <c r="X25" s="78">
        <v>0.12</v>
      </c>
      <c r="Y25" s="78">
        <f t="shared" si="37"/>
        <v>4.416666666666667</v>
      </c>
      <c r="Z25" s="78">
        <v>0.51</v>
      </c>
      <c r="AA25" s="78">
        <v>0.62</v>
      </c>
      <c r="AB25" s="78">
        <f t="shared" si="34"/>
        <v>0.24447949526813881</v>
      </c>
      <c r="AC25" s="78">
        <v>1.427</v>
      </c>
      <c r="AD25" s="78">
        <f t="shared" ref="AD25:AD30" si="45">AC25/F25</f>
        <v>0.56269716088328081</v>
      </c>
      <c r="AE25" s="78">
        <v>0.11</v>
      </c>
      <c r="AF25" s="78">
        <f t="shared" ref="AF25:AF30" si="46">AE25/K25</f>
        <v>9.105960264900663E-2</v>
      </c>
      <c r="AG25" s="78">
        <f t="shared" ref="AG25:AG30" si="47">AE:AE/P:P</f>
        <v>5.9588299024918745E-2</v>
      </c>
      <c r="AH25" s="78">
        <f t="shared" ref="AH25:AH30" si="48">AE25/N25</f>
        <v>0.73333333333333339</v>
      </c>
      <c r="AI25" s="78">
        <v>0.1</v>
      </c>
      <c r="AJ25" s="78">
        <v>7.0000000000000007E-2</v>
      </c>
      <c r="AK25" s="78">
        <f t="shared" si="23"/>
        <v>1.4285714285714286</v>
      </c>
      <c r="AL25" s="78">
        <f>AI25/AE25</f>
        <v>0.90909090909090917</v>
      </c>
      <c r="AM25" s="78">
        <f>AI25/N25</f>
        <v>0.66666666666666674</v>
      </c>
      <c r="AN25" s="78">
        <f>AI25/K25</f>
        <v>8.2781456953642391E-2</v>
      </c>
      <c r="AO25" s="78">
        <f t="shared" si="24"/>
        <v>0.42016806722689082</v>
      </c>
      <c r="AP25" s="78">
        <v>0.23799999999999999</v>
      </c>
      <c r="AQ25" s="78">
        <v>0.155</v>
      </c>
      <c r="AR25" s="78">
        <f t="shared" si="28"/>
        <v>9.3848580441640378E-2</v>
      </c>
      <c r="AS25" s="78">
        <f t="shared" si="3"/>
        <v>1.5354838709677419</v>
      </c>
      <c r="AT25" s="78">
        <f t="shared" si="39"/>
        <v>0.19701986754966888</v>
      </c>
      <c r="AU25" s="78">
        <v>0.14799999999999999</v>
      </c>
      <c r="AV25" s="78">
        <v>0.13</v>
      </c>
      <c r="AW25" s="78">
        <f t="shared" si="5"/>
        <v>1.1384615384615384</v>
      </c>
      <c r="AX25" s="80">
        <f t="shared" si="6"/>
        <v>1.6081081081081081</v>
      </c>
      <c r="AY25" s="87">
        <v>5</v>
      </c>
      <c r="AZ25" s="87">
        <v>16</v>
      </c>
      <c r="BA25" s="216" t="s">
        <v>75</v>
      </c>
      <c r="BB25" s="87">
        <v>7</v>
      </c>
      <c r="BC25" s="88">
        <v>10</v>
      </c>
    </row>
    <row r="26" spans="2:55" ht="12.75" customHeight="1" x14ac:dyDescent="0.25">
      <c r="B26" s="75"/>
      <c r="C26" s="113"/>
      <c r="D26" s="113"/>
      <c r="E26" s="113"/>
      <c r="F26" s="78">
        <f>1.197+1.339</f>
        <v>2.536</v>
      </c>
      <c r="G26" s="80">
        <f t="shared" si="31"/>
        <v>4.8190000000000008</v>
      </c>
      <c r="H26" s="80">
        <f t="shared" si="0"/>
        <v>1.9002365930599372</v>
      </c>
      <c r="I26" s="78">
        <v>0.11</v>
      </c>
      <c r="J26" s="78">
        <v>0.05</v>
      </c>
      <c r="K26" s="78">
        <v>1.2110000000000001</v>
      </c>
      <c r="L26" s="78">
        <v>0.81</v>
      </c>
      <c r="M26" s="78">
        <v>0.83799999999999997</v>
      </c>
      <c r="N26" s="78">
        <v>0.16</v>
      </c>
      <c r="O26" s="78">
        <f>0.875+0.765</f>
        <v>1.6400000000000001</v>
      </c>
      <c r="P26" s="78">
        <f t="shared" si="44"/>
        <v>1.8</v>
      </c>
      <c r="Q26" s="80">
        <f t="shared" si="32"/>
        <v>1.4863748967795209</v>
      </c>
      <c r="R26" s="80">
        <f t="shared" si="40"/>
        <v>0.69199009083402141</v>
      </c>
      <c r="S26" s="80">
        <f t="shared" si="41"/>
        <v>0.66886870355078443</v>
      </c>
      <c r="T26" s="80">
        <f t="shared" si="33"/>
        <v>10.25</v>
      </c>
      <c r="U26" s="78">
        <v>0.34</v>
      </c>
      <c r="V26" s="78">
        <f t="shared" si="7"/>
        <v>14.173529411764708</v>
      </c>
      <c r="W26" s="78">
        <v>0.53</v>
      </c>
      <c r="X26" s="78">
        <v>0.12</v>
      </c>
      <c r="Y26" s="78">
        <f t="shared" si="37"/>
        <v>4.416666666666667</v>
      </c>
      <c r="Z26" s="78">
        <v>0.49</v>
      </c>
      <c r="AA26" s="78">
        <v>0.66</v>
      </c>
      <c r="AB26" s="78">
        <f t="shared" si="34"/>
        <v>0.26025236593059936</v>
      </c>
      <c r="AC26" s="78">
        <v>1.393</v>
      </c>
      <c r="AD26" s="78">
        <f t="shared" si="45"/>
        <v>0.5492902208201893</v>
      </c>
      <c r="AE26" s="78">
        <v>0.12</v>
      </c>
      <c r="AF26" s="78">
        <f t="shared" si="46"/>
        <v>9.9091659785301392E-2</v>
      </c>
      <c r="AG26" s="78">
        <f t="shared" si="47"/>
        <v>6.6666666666666666E-2</v>
      </c>
      <c r="AH26" s="78">
        <f t="shared" si="48"/>
        <v>0.75</v>
      </c>
      <c r="AI26" s="79" t="s">
        <v>75</v>
      </c>
      <c r="AJ26" s="79" t="s">
        <v>75</v>
      </c>
      <c r="AK26" s="79" t="s">
        <v>75</v>
      </c>
      <c r="AL26" s="79" t="s">
        <v>75</v>
      </c>
      <c r="AM26" s="79" t="s">
        <v>75</v>
      </c>
      <c r="AN26" s="79" t="s">
        <v>75</v>
      </c>
      <c r="AO26" s="79" t="s">
        <v>75</v>
      </c>
      <c r="AP26" s="78">
        <v>0.23899999999999999</v>
      </c>
      <c r="AQ26" s="78">
        <v>0.156</v>
      </c>
      <c r="AR26" s="78">
        <f t="shared" si="28"/>
        <v>9.424290220820189E-2</v>
      </c>
      <c r="AS26" s="78">
        <f t="shared" si="3"/>
        <v>1.5320512820512819</v>
      </c>
      <c r="AT26" s="78">
        <f t="shared" si="39"/>
        <v>0.19735755573905861</v>
      </c>
      <c r="AU26" s="78">
        <v>0.14799999999999999</v>
      </c>
      <c r="AV26" s="78">
        <v>0.13</v>
      </c>
      <c r="AW26" s="78">
        <f t="shared" ref="AW26" si="49">AU26/AV26</f>
        <v>1.1384615384615384</v>
      </c>
      <c r="AX26" s="80">
        <f t="shared" ref="AX26" si="50">AP26/AU26</f>
        <v>1.6148648648648649</v>
      </c>
      <c r="AY26" s="216" t="s">
        <v>75</v>
      </c>
      <c r="AZ26" s="87">
        <v>17</v>
      </c>
      <c r="BA26" s="216" t="s">
        <v>75</v>
      </c>
      <c r="BB26" s="216" t="s">
        <v>75</v>
      </c>
      <c r="BC26" s="232" t="s">
        <v>75</v>
      </c>
    </row>
    <row r="27" spans="2:55" ht="12.75" customHeight="1" x14ac:dyDescent="0.25">
      <c r="B27" s="160">
        <v>22435</v>
      </c>
      <c r="C27" s="116" t="s">
        <v>32</v>
      </c>
      <c r="D27" s="109" t="s">
        <v>31</v>
      </c>
      <c r="E27" s="109"/>
      <c r="F27" s="72">
        <f>1.382+1.281</f>
        <v>2.6629999999999998</v>
      </c>
      <c r="G27" s="82">
        <f t="shared" si="31"/>
        <v>4.375</v>
      </c>
      <c r="H27" s="82">
        <f t="shared" si="0"/>
        <v>1.6428839654524974</v>
      </c>
      <c r="I27" s="72">
        <v>0.1</v>
      </c>
      <c r="J27" s="72">
        <v>0.06</v>
      </c>
      <c r="K27" s="72">
        <v>1.0309999999999999</v>
      </c>
      <c r="L27" s="72">
        <v>0.79</v>
      </c>
      <c r="M27" s="72">
        <v>0.71</v>
      </c>
      <c r="N27" s="72">
        <v>0.15</v>
      </c>
      <c r="O27" s="72">
        <f>0.526+1.008</f>
        <v>1.534</v>
      </c>
      <c r="P27" s="72">
        <f t="shared" si="44"/>
        <v>1.6839999999999999</v>
      </c>
      <c r="Q27" s="82">
        <f t="shared" si="32"/>
        <v>1.6333656644034917</v>
      </c>
      <c r="R27" s="82">
        <f t="shared" si="40"/>
        <v>0.68865179437439383</v>
      </c>
      <c r="S27" s="82">
        <f t="shared" si="41"/>
        <v>0.76624636275460722</v>
      </c>
      <c r="T27" s="82">
        <f t="shared" si="33"/>
        <v>10.226666666666667</v>
      </c>
      <c r="U27" s="72">
        <v>0.34</v>
      </c>
      <c r="V27" s="72">
        <f t="shared" si="7"/>
        <v>12.867647058823529</v>
      </c>
      <c r="W27" s="72">
        <v>0.67600000000000005</v>
      </c>
      <c r="X27" s="72">
        <v>0.14000000000000001</v>
      </c>
      <c r="Y27" s="72">
        <f t="shared" si="37"/>
        <v>4.8285714285714283</v>
      </c>
      <c r="Z27" s="72">
        <v>0.47</v>
      </c>
      <c r="AA27" s="72">
        <v>0.67</v>
      </c>
      <c r="AB27" s="72">
        <f t="shared" si="34"/>
        <v>0.25159594442358246</v>
      </c>
      <c r="AC27" s="72">
        <v>1.452</v>
      </c>
      <c r="AD27" s="72">
        <f t="shared" si="45"/>
        <v>0.54524971836274883</v>
      </c>
      <c r="AE27" s="72">
        <v>0.11</v>
      </c>
      <c r="AF27" s="72">
        <f t="shared" si="46"/>
        <v>0.10669253152279341</v>
      </c>
      <c r="AG27" s="72">
        <f t="shared" si="47"/>
        <v>6.5320665083135401E-2</v>
      </c>
      <c r="AH27" s="72">
        <f t="shared" si="48"/>
        <v>0.73333333333333339</v>
      </c>
      <c r="AI27" s="72">
        <v>0.1</v>
      </c>
      <c r="AJ27" s="72">
        <v>0.06</v>
      </c>
      <c r="AK27" s="72">
        <f t="shared" si="23"/>
        <v>1.6666666666666667</v>
      </c>
      <c r="AL27" s="72">
        <f>AI27/AE27</f>
        <v>0.90909090909090917</v>
      </c>
      <c r="AM27" s="72">
        <f>AI27/N27</f>
        <v>0.66666666666666674</v>
      </c>
      <c r="AN27" s="72">
        <f>AI27/K27</f>
        <v>9.6993210475266739E-2</v>
      </c>
      <c r="AO27" s="72">
        <f t="shared" si="24"/>
        <v>0.36764705882352938</v>
      </c>
      <c r="AP27" s="72">
        <v>0.27200000000000002</v>
      </c>
      <c r="AQ27" s="72">
        <v>0.16200000000000001</v>
      </c>
      <c r="AR27" s="72">
        <f t="shared" si="28"/>
        <v>0.10214044310927527</v>
      </c>
      <c r="AS27" s="72">
        <f t="shared" si="3"/>
        <v>1.6790123456790125</v>
      </c>
      <c r="AT27" s="72">
        <f t="shared" si="39"/>
        <v>0.26382153249272555</v>
      </c>
      <c r="AU27" s="72">
        <v>0.13700000000000001</v>
      </c>
      <c r="AV27" s="72">
        <v>0.13</v>
      </c>
      <c r="AW27" s="72">
        <f t="shared" si="5"/>
        <v>1.0538461538461539</v>
      </c>
      <c r="AX27" s="82">
        <f t="shared" si="6"/>
        <v>1.9854014598540146</v>
      </c>
      <c r="AY27" s="84">
        <v>5</v>
      </c>
      <c r="AZ27" s="84">
        <v>15</v>
      </c>
      <c r="BA27" s="225" t="s">
        <v>75</v>
      </c>
      <c r="BB27" s="84">
        <v>7</v>
      </c>
      <c r="BC27" s="85">
        <v>9</v>
      </c>
    </row>
    <row r="28" spans="2:55" ht="12.75" customHeight="1" x14ac:dyDescent="0.25">
      <c r="B28" s="69"/>
      <c r="C28" s="109"/>
      <c r="D28" s="109"/>
      <c r="E28" s="109"/>
      <c r="F28" s="72">
        <f>1.382+1.281</f>
        <v>2.6629999999999998</v>
      </c>
      <c r="G28" s="82">
        <f t="shared" si="31"/>
        <v>4.3410000000000002</v>
      </c>
      <c r="H28" s="82">
        <f t="shared" si="0"/>
        <v>1.6301164100638379</v>
      </c>
      <c r="I28" s="72">
        <v>0.12</v>
      </c>
      <c r="J28" s="72">
        <v>0.06</v>
      </c>
      <c r="K28" s="72">
        <v>1.06</v>
      </c>
      <c r="L28" s="72">
        <v>0.76</v>
      </c>
      <c r="M28" s="72">
        <v>0.74</v>
      </c>
      <c r="N28" s="72">
        <v>0.15</v>
      </c>
      <c r="O28" s="72">
        <v>1.4510000000000001</v>
      </c>
      <c r="P28" s="72">
        <f t="shared" si="44"/>
        <v>1.601</v>
      </c>
      <c r="Q28" s="82">
        <f t="shared" si="32"/>
        <v>1.510377358490566</v>
      </c>
      <c r="R28" s="82">
        <f t="shared" si="40"/>
        <v>0.69811320754716977</v>
      </c>
      <c r="S28" s="82">
        <f t="shared" si="41"/>
        <v>0.71698113207547165</v>
      </c>
      <c r="T28" s="82">
        <f t="shared" si="33"/>
        <v>9.6733333333333338</v>
      </c>
      <c r="U28" s="72">
        <v>0.34</v>
      </c>
      <c r="V28" s="72">
        <f t="shared" si="7"/>
        <v>12.767647058823529</v>
      </c>
      <c r="W28" s="72">
        <v>0.67800000000000005</v>
      </c>
      <c r="X28" s="72">
        <v>0.15</v>
      </c>
      <c r="Y28" s="72">
        <f t="shared" si="37"/>
        <v>4.5200000000000005</v>
      </c>
      <c r="Z28" s="73" t="s">
        <v>75</v>
      </c>
      <c r="AA28" s="72">
        <v>0.65</v>
      </c>
      <c r="AB28" s="72">
        <f t="shared" si="34"/>
        <v>0.24408561772437104</v>
      </c>
      <c r="AC28" s="72">
        <v>1.373</v>
      </c>
      <c r="AD28" s="72">
        <f t="shared" si="45"/>
        <v>0.51558392790086371</v>
      </c>
      <c r="AE28" s="72">
        <v>0.1</v>
      </c>
      <c r="AF28" s="72">
        <f t="shared" si="46"/>
        <v>9.4339622641509441E-2</v>
      </c>
      <c r="AG28" s="72">
        <f t="shared" si="47"/>
        <v>6.2460961898813248E-2</v>
      </c>
      <c r="AH28" s="72">
        <f t="shared" si="48"/>
        <v>0.66666666666666674</v>
      </c>
      <c r="AI28" s="72">
        <v>0.1</v>
      </c>
      <c r="AJ28" s="72">
        <v>0.06</v>
      </c>
      <c r="AK28" s="72">
        <f t="shared" ref="AK28" si="51">AI28/AJ28</f>
        <v>1.6666666666666667</v>
      </c>
      <c r="AL28" s="72">
        <f>AI28/AE28</f>
        <v>1</v>
      </c>
      <c r="AM28" s="72">
        <f>AI28/N28</f>
        <v>0.66666666666666674</v>
      </c>
      <c r="AN28" s="72">
        <f>AI28/K28</f>
        <v>9.4339622641509441E-2</v>
      </c>
      <c r="AO28" s="72">
        <f t="shared" ref="AO28" si="52">AI28/AP28</f>
        <v>0.41841004184100422</v>
      </c>
      <c r="AP28" s="72">
        <v>0.23899999999999999</v>
      </c>
      <c r="AQ28" s="72">
        <v>0.17899999999999999</v>
      </c>
      <c r="AR28" s="72">
        <f t="shared" si="28"/>
        <v>8.9748404055576422E-2</v>
      </c>
      <c r="AS28" s="72">
        <f t="shared" si="3"/>
        <v>1.3351955307262571</v>
      </c>
      <c r="AT28" s="72">
        <f t="shared" si="39"/>
        <v>0.22547169811320752</v>
      </c>
      <c r="AU28" s="72">
        <v>0.13700000000000001</v>
      </c>
      <c r="AV28" s="72">
        <v>0.13</v>
      </c>
      <c r="AW28" s="72">
        <f t="shared" ref="AW28" si="53">AU28/AV28</f>
        <v>1.0538461538461539</v>
      </c>
      <c r="AX28" s="82">
        <f t="shared" ref="AX28" si="54">AP28/AU28</f>
        <v>1.7445255474452552</v>
      </c>
      <c r="AY28" s="225" t="s">
        <v>75</v>
      </c>
      <c r="AZ28" s="84">
        <v>16</v>
      </c>
      <c r="BA28" s="225" t="s">
        <v>75</v>
      </c>
      <c r="BB28" s="225" t="s">
        <v>75</v>
      </c>
      <c r="BC28" s="237" t="s">
        <v>75</v>
      </c>
    </row>
    <row r="29" spans="2:55" ht="12.75" customHeight="1" x14ac:dyDescent="0.25">
      <c r="B29" s="159">
        <v>22435</v>
      </c>
      <c r="C29" s="112" t="s">
        <v>32</v>
      </c>
      <c r="D29" s="113" t="s">
        <v>31</v>
      </c>
      <c r="E29" s="113"/>
      <c r="F29" s="78">
        <f>1.243+1.437</f>
        <v>2.68</v>
      </c>
      <c r="G29" s="80">
        <f t="shared" si="31"/>
        <v>4.431</v>
      </c>
      <c r="H29" s="80">
        <f t="shared" si="0"/>
        <v>1.6533582089552239</v>
      </c>
      <c r="I29" s="78">
        <v>0.12</v>
      </c>
      <c r="J29" s="78">
        <v>0.06</v>
      </c>
      <c r="K29" s="78">
        <v>1.1759999999999999</v>
      </c>
      <c r="L29" s="78">
        <v>0.81899999999999995</v>
      </c>
      <c r="M29" s="78">
        <v>0.61599999999999999</v>
      </c>
      <c r="N29" s="78">
        <v>0.14000000000000001</v>
      </c>
      <c r="O29" s="78">
        <v>1.5</v>
      </c>
      <c r="P29" s="78">
        <f t="shared" si="44"/>
        <v>1.6400000000000001</v>
      </c>
      <c r="Q29" s="80">
        <f t="shared" si="32"/>
        <v>1.3945578231292519</v>
      </c>
      <c r="R29" s="80">
        <f t="shared" si="40"/>
        <v>0.52380952380952384</v>
      </c>
      <c r="S29" s="80">
        <f t="shared" si="41"/>
        <v>0.6964285714285714</v>
      </c>
      <c r="T29" s="80">
        <f t="shared" si="33"/>
        <v>10.714285714285714</v>
      </c>
      <c r="U29" s="78">
        <v>0.34</v>
      </c>
      <c r="V29" s="78">
        <f t="shared" si="7"/>
        <v>13.03235294117647</v>
      </c>
      <c r="W29" s="78">
        <v>0.70699999999999996</v>
      </c>
      <c r="X29" s="78">
        <v>0.13600000000000001</v>
      </c>
      <c r="Y29" s="78">
        <f t="shared" si="37"/>
        <v>5.1985294117647056</v>
      </c>
      <c r="Z29" s="78">
        <v>0.49</v>
      </c>
      <c r="AA29" s="78">
        <v>0.65500000000000003</v>
      </c>
      <c r="AB29" s="78">
        <f t="shared" si="34"/>
        <v>0.24440298507462685</v>
      </c>
      <c r="AC29" s="78">
        <v>1.399</v>
      </c>
      <c r="AD29" s="78">
        <f t="shared" si="45"/>
        <v>0.52201492537313432</v>
      </c>
      <c r="AE29" s="78">
        <v>0.11700000000000001</v>
      </c>
      <c r="AF29" s="78">
        <f t="shared" si="46"/>
        <v>9.948979591836736E-2</v>
      </c>
      <c r="AG29" s="78">
        <f t="shared" si="47"/>
        <v>7.134146341463414E-2</v>
      </c>
      <c r="AH29" s="78">
        <f t="shared" si="48"/>
        <v>0.83571428571428563</v>
      </c>
      <c r="AI29" s="78">
        <v>0.1</v>
      </c>
      <c r="AJ29" s="78">
        <v>7.0000000000000007E-2</v>
      </c>
      <c r="AK29" s="78">
        <f t="shared" si="23"/>
        <v>1.4285714285714286</v>
      </c>
      <c r="AL29" s="78">
        <f>AI29/AE29</f>
        <v>0.85470085470085466</v>
      </c>
      <c r="AM29" s="78">
        <f>AI29/N29</f>
        <v>0.7142857142857143</v>
      </c>
      <c r="AN29" s="78">
        <f>AI29/K29</f>
        <v>8.5034013605442188E-2</v>
      </c>
      <c r="AO29" s="78">
        <f t="shared" si="24"/>
        <v>0.42016806722689082</v>
      </c>
      <c r="AP29" s="78">
        <v>0.23799999999999999</v>
      </c>
      <c r="AQ29" s="78">
        <v>0.185</v>
      </c>
      <c r="AR29" s="78">
        <f t="shared" si="28"/>
        <v>8.8805970149253718E-2</v>
      </c>
      <c r="AS29" s="78">
        <f t="shared" si="3"/>
        <v>1.2864864864864864</v>
      </c>
      <c r="AT29" s="78">
        <f t="shared" si="39"/>
        <v>0.20238095238095238</v>
      </c>
      <c r="AU29" s="79" t="s">
        <v>75</v>
      </c>
      <c r="AV29" s="79" t="s">
        <v>75</v>
      </c>
      <c r="AW29" s="79" t="s">
        <v>75</v>
      </c>
      <c r="AX29" s="114" t="s">
        <v>75</v>
      </c>
      <c r="AY29" s="87">
        <v>5</v>
      </c>
      <c r="AZ29" s="87">
        <v>12</v>
      </c>
      <c r="BA29" s="87">
        <v>8</v>
      </c>
      <c r="BB29" s="87">
        <v>7</v>
      </c>
      <c r="BC29" s="88">
        <v>7</v>
      </c>
    </row>
    <row r="30" spans="2:55" ht="12.75" customHeight="1" x14ac:dyDescent="0.25">
      <c r="B30" s="153"/>
      <c r="C30" s="154"/>
      <c r="D30" s="154"/>
      <c r="E30" s="154"/>
      <c r="F30" s="92">
        <f>1.243+1.437</f>
        <v>2.68</v>
      </c>
      <c r="G30" s="94">
        <f t="shared" si="31"/>
        <v>4.7270000000000003</v>
      </c>
      <c r="H30" s="94">
        <f t="shared" si="0"/>
        <v>1.7638059701492537</v>
      </c>
      <c r="I30" s="92">
        <v>0.13</v>
      </c>
      <c r="J30" s="92">
        <v>0.06</v>
      </c>
      <c r="K30" s="92">
        <v>1.204</v>
      </c>
      <c r="L30" s="92">
        <v>0.86499999999999999</v>
      </c>
      <c r="M30" s="233">
        <v>0.64</v>
      </c>
      <c r="N30" s="233">
        <v>0.15</v>
      </c>
      <c r="O30" s="233">
        <v>1.6779999999999999</v>
      </c>
      <c r="P30" s="233">
        <f t="shared" si="44"/>
        <v>1.8279999999999998</v>
      </c>
      <c r="Q30" s="234">
        <f t="shared" si="32"/>
        <v>1.5182724252491693</v>
      </c>
      <c r="R30" s="234">
        <f t="shared" si="40"/>
        <v>0.53156146179401997</v>
      </c>
      <c r="S30" s="94">
        <f t="shared" si="41"/>
        <v>0.71843853820598014</v>
      </c>
      <c r="T30" s="94">
        <f t="shared" si="33"/>
        <v>11.186666666666667</v>
      </c>
      <c r="U30" s="92">
        <v>0.34</v>
      </c>
      <c r="V30" s="92">
        <f t="shared" si="7"/>
        <v>13.902941176470588</v>
      </c>
      <c r="W30" s="92">
        <v>0.7</v>
      </c>
      <c r="X30" s="92">
        <v>0.15</v>
      </c>
      <c r="Y30" s="92">
        <f t="shared" si="37"/>
        <v>4.666666666666667</v>
      </c>
      <c r="Z30" s="93" t="s">
        <v>75</v>
      </c>
      <c r="AA30" s="92">
        <v>0.65900000000000003</v>
      </c>
      <c r="AB30" s="92">
        <f t="shared" si="34"/>
        <v>0.2458955223880597</v>
      </c>
      <c r="AC30" s="92">
        <v>1.4139999999999999</v>
      </c>
      <c r="AD30" s="92">
        <f t="shared" si="45"/>
        <v>0.52761194029850744</v>
      </c>
      <c r="AE30" s="92">
        <v>0.127</v>
      </c>
      <c r="AF30" s="92">
        <f t="shared" si="46"/>
        <v>0.10548172757475084</v>
      </c>
      <c r="AG30" s="92">
        <f t="shared" si="47"/>
        <v>6.9474835886214448E-2</v>
      </c>
      <c r="AH30" s="92">
        <f t="shared" si="48"/>
        <v>0.84666666666666668</v>
      </c>
      <c r="AI30" s="92">
        <v>0.1</v>
      </c>
      <c r="AJ30" s="92">
        <v>7.0000000000000007E-2</v>
      </c>
      <c r="AK30" s="92">
        <f t="shared" ref="AK30" si="55">AI30/AJ30</f>
        <v>1.4285714285714286</v>
      </c>
      <c r="AL30" s="92">
        <f>AI30/AE30</f>
        <v>0.78740157480314965</v>
      </c>
      <c r="AM30" s="92">
        <f>AI30/N30</f>
        <v>0.66666666666666674</v>
      </c>
      <c r="AN30" s="92">
        <f>AI30/K30</f>
        <v>8.3056478405315617E-2</v>
      </c>
      <c r="AO30" s="92">
        <f t="shared" ref="AO30" si="56">AI30/AP30</f>
        <v>0.45454545454545459</v>
      </c>
      <c r="AP30" s="92">
        <v>0.22</v>
      </c>
      <c r="AQ30" s="92">
        <v>0.17699999999999999</v>
      </c>
      <c r="AR30" s="92">
        <f t="shared" si="28"/>
        <v>8.2089552238805971E-2</v>
      </c>
      <c r="AS30" s="92">
        <f t="shared" si="3"/>
        <v>1.2429378531073447</v>
      </c>
      <c r="AT30" s="92">
        <f t="shared" si="39"/>
        <v>0.18272425249169436</v>
      </c>
      <c r="AU30" s="93" t="s">
        <v>75</v>
      </c>
      <c r="AV30" s="93" t="s">
        <v>75</v>
      </c>
      <c r="AW30" s="93" t="s">
        <v>75</v>
      </c>
      <c r="AX30" s="219" t="s">
        <v>75</v>
      </c>
      <c r="AY30" s="220" t="s">
        <v>75</v>
      </c>
      <c r="AZ30" s="148">
        <v>16</v>
      </c>
      <c r="BA30" s="220" t="s">
        <v>75</v>
      </c>
      <c r="BB30" s="220" t="s">
        <v>75</v>
      </c>
      <c r="BC30" s="235" t="s">
        <v>75</v>
      </c>
    </row>
    <row r="31" spans="2:55" ht="12.75" customHeight="1" x14ac:dyDescent="0.25">
      <c r="E31" s="2" t="s">
        <v>25</v>
      </c>
      <c r="F31" s="8">
        <f>MIN(F3:F30)</f>
        <v>1.85</v>
      </c>
      <c r="G31" s="8">
        <f t="shared" ref="G31:AO31" si="57">MIN(G3:G30)</f>
        <v>3.2240000000000002</v>
      </c>
      <c r="H31" s="8">
        <f t="shared" si="57"/>
        <v>1.3070244672454618</v>
      </c>
      <c r="I31" s="8">
        <f t="shared" si="57"/>
        <v>8.2000000000000003E-2</v>
      </c>
      <c r="J31" s="8">
        <f t="shared" si="57"/>
        <v>4.8000000000000001E-2</v>
      </c>
      <c r="K31" s="8">
        <f t="shared" si="57"/>
        <v>0.81</v>
      </c>
      <c r="L31" s="8">
        <f t="shared" si="57"/>
        <v>0.52200000000000002</v>
      </c>
      <c r="M31" s="8">
        <f t="shared" si="57"/>
        <v>0.51100000000000001</v>
      </c>
      <c r="N31" s="8">
        <f t="shared" si="57"/>
        <v>0.11799999999999999</v>
      </c>
      <c r="O31" s="8">
        <f t="shared" si="57"/>
        <v>0.83000000000000007</v>
      </c>
      <c r="P31" s="8">
        <f t="shared" si="57"/>
        <v>0.95000000000000007</v>
      </c>
      <c r="Q31" s="8">
        <f t="shared" si="57"/>
        <v>1.0510204081632653</v>
      </c>
      <c r="R31" s="8">
        <f t="shared" si="57"/>
        <v>0.52380952380952384</v>
      </c>
      <c r="S31" s="8">
        <f t="shared" si="57"/>
        <v>0.54961832061068694</v>
      </c>
      <c r="T31" s="8">
        <f t="shared" si="57"/>
        <v>6.3571428571428568</v>
      </c>
      <c r="U31" s="8">
        <f t="shared" si="57"/>
        <v>0.28499999999999998</v>
      </c>
      <c r="V31" s="8">
        <f t="shared" si="57"/>
        <v>8.7135135135135133</v>
      </c>
      <c r="W31" s="8">
        <f t="shared" si="57"/>
        <v>0.53</v>
      </c>
      <c r="X31" s="8">
        <f t="shared" si="57"/>
        <v>8.4000000000000005E-2</v>
      </c>
      <c r="Y31" s="8">
        <f t="shared" si="57"/>
        <v>4.416666666666667</v>
      </c>
      <c r="Z31" s="8">
        <f t="shared" si="57"/>
        <v>0.307</v>
      </c>
      <c r="AA31" s="8">
        <f t="shared" si="57"/>
        <v>0.39600000000000002</v>
      </c>
      <c r="AB31" s="8">
        <f t="shared" si="57"/>
        <v>0.18407534246575344</v>
      </c>
      <c r="AC31" s="8">
        <f t="shared" si="57"/>
        <v>1.03</v>
      </c>
      <c r="AD31" s="8">
        <f t="shared" si="57"/>
        <v>0.4627568493150685</v>
      </c>
      <c r="AE31" s="8">
        <f t="shared" si="57"/>
        <v>0.1</v>
      </c>
      <c r="AF31" s="8">
        <f t="shared" si="57"/>
        <v>9.105960264900663E-2</v>
      </c>
      <c r="AG31" s="8">
        <f t="shared" si="57"/>
        <v>5.9588299024918745E-2</v>
      </c>
      <c r="AH31" s="8">
        <f t="shared" si="57"/>
        <v>0.66666666666666674</v>
      </c>
      <c r="AI31" s="8">
        <f t="shared" si="57"/>
        <v>0.09</v>
      </c>
      <c r="AJ31" s="8">
        <f t="shared" si="57"/>
        <v>4.7E-2</v>
      </c>
      <c r="AK31" s="8">
        <f t="shared" si="57"/>
        <v>1.4285714285714286</v>
      </c>
      <c r="AL31" s="8">
        <f t="shared" si="57"/>
        <v>0.76923076923076927</v>
      </c>
      <c r="AM31" s="8">
        <f t="shared" si="57"/>
        <v>0.66666666666666674</v>
      </c>
      <c r="AN31" s="8">
        <f t="shared" si="57"/>
        <v>7.9389312977099225E-2</v>
      </c>
      <c r="AO31" s="8">
        <f t="shared" si="57"/>
        <v>0.35</v>
      </c>
      <c r="AP31" s="8">
        <f t="shared" ref="AP31:BC31" si="58">MIN(AP3:AP30)</f>
        <v>0.21</v>
      </c>
      <c r="AQ31" s="8">
        <f t="shared" si="58"/>
        <v>0.105</v>
      </c>
      <c r="AR31" s="8">
        <f t="shared" si="58"/>
        <v>8.2089552238805971E-2</v>
      </c>
      <c r="AS31" s="8">
        <f t="shared" si="58"/>
        <v>1.2429378531073447</v>
      </c>
      <c r="AT31" s="8">
        <f t="shared" si="58"/>
        <v>0.18272425249169436</v>
      </c>
      <c r="AU31" s="8">
        <f t="shared" si="58"/>
        <v>0.09</v>
      </c>
      <c r="AV31" s="8">
        <f t="shared" si="58"/>
        <v>0.12</v>
      </c>
      <c r="AW31" s="8">
        <f t="shared" si="58"/>
        <v>0.66013071895424846</v>
      </c>
      <c r="AX31" s="8">
        <f t="shared" si="58"/>
        <v>1.6081081081081081</v>
      </c>
      <c r="AY31" s="5">
        <f t="shared" si="58"/>
        <v>4</v>
      </c>
      <c r="AZ31" s="5">
        <f t="shared" si="58"/>
        <v>9</v>
      </c>
      <c r="BA31" s="5">
        <f t="shared" si="58"/>
        <v>4</v>
      </c>
      <c r="BB31" s="5">
        <f t="shared" si="58"/>
        <v>4</v>
      </c>
      <c r="BC31" s="5">
        <f t="shared" si="58"/>
        <v>5</v>
      </c>
    </row>
    <row r="32" spans="2:55" ht="12.75" customHeight="1" x14ac:dyDescent="0.25">
      <c r="E32" s="2" t="s">
        <v>26</v>
      </c>
      <c r="F32" s="8">
        <f>MAX(F3:F31)</f>
        <v>2.68</v>
      </c>
      <c r="G32" s="8">
        <f t="shared" ref="G32:AO32" si="59">MAX(G3:G31)</f>
        <v>4.9089999999999998</v>
      </c>
      <c r="H32" s="8">
        <f t="shared" si="59"/>
        <v>1.935725552050473</v>
      </c>
      <c r="I32" s="8">
        <f t="shared" si="59"/>
        <v>0.13</v>
      </c>
      <c r="J32" s="8">
        <f t="shared" si="59"/>
        <v>6.4000000000000001E-2</v>
      </c>
      <c r="K32" s="8">
        <f t="shared" si="59"/>
        <v>1.31</v>
      </c>
      <c r="L32" s="8">
        <f t="shared" si="59"/>
        <v>0.86499999999999999</v>
      </c>
      <c r="M32" s="8">
        <f t="shared" si="59"/>
        <v>1.52</v>
      </c>
      <c r="N32" s="8">
        <f t="shared" si="59"/>
        <v>0.16</v>
      </c>
      <c r="O32" s="8">
        <f t="shared" si="59"/>
        <v>1.696</v>
      </c>
      <c r="P32" s="8">
        <f t="shared" si="59"/>
        <v>1.8459999999999999</v>
      </c>
      <c r="Q32" s="8">
        <f t="shared" si="59"/>
        <v>1.7047619047619047</v>
      </c>
      <c r="R32" s="8">
        <f t="shared" si="59"/>
        <v>1.1603053435114503</v>
      </c>
      <c r="S32" s="8">
        <f t="shared" si="59"/>
        <v>0.79012345679012341</v>
      </c>
      <c r="T32" s="8">
        <f t="shared" si="59"/>
        <v>11.306666666666667</v>
      </c>
      <c r="U32" s="8">
        <f t="shared" si="59"/>
        <v>0.39</v>
      </c>
      <c r="V32" s="8">
        <f t="shared" si="59"/>
        <v>14.438235294117645</v>
      </c>
      <c r="W32" s="8">
        <f t="shared" si="59"/>
        <v>0.70699999999999996</v>
      </c>
      <c r="X32" s="8">
        <f t="shared" si="59"/>
        <v>0.15</v>
      </c>
      <c r="Y32" s="8">
        <f t="shared" si="59"/>
        <v>6.770833333333333</v>
      </c>
      <c r="Z32" s="8">
        <f t="shared" si="59"/>
        <v>0.51</v>
      </c>
      <c r="AA32" s="8">
        <f t="shared" si="59"/>
        <v>0.67</v>
      </c>
      <c r="AB32" s="8">
        <f t="shared" si="59"/>
        <v>0.28095238095238095</v>
      </c>
      <c r="AC32" s="8">
        <f t="shared" si="59"/>
        <v>1.452</v>
      </c>
      <c r="AD32" s="8">
        <f t="shared" si="59"/>
        <v>0.59523809523809523</v>
      </c>
      <c r="AE32" s="8">
        <f t="shared" si="59"/>
        <v>0.13</v>
      </c>
      <c r="AF32" s="8">
        <f t="shared" si="59"/>
        <v>0.13541666666666669</v>
      </c>
      <c r="AG32" s="8">
        <f t="shared" si="59"/>
        <v>0.11578947368421053</v>
      </c>
      <c r="AH32" s="8">
        <f t="shared" si="59"/>
        <v>1.0833333333333335</v>
      </c>
      <c r="AI32" s="8">
        <f t="shared" si="59"/>
        <v>0.105</v>
      </c>
      <c r="AJ32" s="8">
        <f t="shared" si="59"/>
        <v>7.0000000000000007E-2</v>
      </c>
      <c r="AK32" s="8">
        <f t="shared" si="59"/>
        <v>2.2127659574468086</v>
      </c>
      <c r="AL32" s="8">
        <f t="shared" si="59"/>
        <v>1</v>
      </c>
      <c r="AM32" s="8">
        <f t="shared" si="59"/>
        <v>0.76923076923076927</v>
      </c>
      <c r="AN32" s="8">
        <f t="shared" si="59"/>
        <v>0.1111111111111111</v>
      </c>
      <c r="AO32" s="8">
        <f t="shared" si="59"/>
        <v>0.45454545454545459</v>
      </c>
      <c r="AP32" s="8">
        <f t="shared" ref="AP32:BC32" si="60">MAX(AP3:AP31)</f>
        <v>0.3</v>
      </c>
      <c r="AQ32" s="8">
        <f t="shared" si="60"/>
        <v>0.185</v>
      </c>
      <c r="AR32" s="8">
        <f t="shared" si="60"/>
        <v>0.12523809523809523</v>
      </c>
      <c r="AS32" s="8">
        <f t="shared" si="60"/>
        <v>2.6851851851851851</v>
      </c>
      <c r="AT32" s="8">
        <f t="shared" si="60"/>
        <v>0.30612244897959184</v>
      </c>
      <c r="AU32" s="8">
        <f t="shared" si="60"/>
        <v>0.14799999999999999</v>
      </c>
      <c r="AV32" s="8">
        <f t="shared" si="60"/>
        <v>0.16600000000000001</v>
      </c>
      <c r="AW32" s="8">
        <f t="shared" si="60"/>
        <v>1.1384615384615384</v>
      </c>
      <c r="AX32" s="8">
        <f t="shared" si="60"/>
        <v>2.4653465346534653</v>
      </c>
      <c r="AY32" s="5">
        <f t="shared" si="60"/>
        <v>6</v>
      </c>
      <c r="AZ32" s="5">
        <f t="shared" si="60"/>
        <v>17</v>
      </c>
      <c r="BA32" s="5">
        <f t="shared" si="60"/>
        <v>8</v>
      </c>
      <c r="BB32" s="5">
        <f t="shared" si="60"/>
        <v>8</v>
      </c>
      <c r="BC32" s="5">
        <f t="shared" si="60"/>
        <v>10</v>
      </c>
    </row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BC31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2" width="18.7109375" style="175" customWidth="1"/>
    <col min="3" max="4" width="18.7109375" style="1" customWidth="1"/>
    <col min="5" max="5" width="36.7109375" style="1" customWidth="1"/>
    <col min="6" max="52" width="8.7109375" style="1" customWidth="1"/>
    <col min="53" max="55" width="10.7109375" style="1" customWidth="1"/>
    <col min="56" max="16384" width="9.140625" style="1"/>
  </cols>
  <sheetData>
    <row r="1" spans="2:55" ht="12" customHeight="1" x14ac:dyDescent="0.2">
      <c r="AG1" s="96"/>
      <c r="AM1" s="96"/>
    </row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21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">
      <c r="B3" s="244">
        <v>24277</v>
      </c>
      <c r="C3" s="62" t="s">
        <v>265</v>
      </c>
      <c r="D3" s="63" t="s">
        <v>266</v>
      </c>
      <c r="E3" s="63" t="s">
        <v>179</v>
      </c>
      <c r="F3" s="64">
        <v>1.22</v>
      </c>
      <c r="G3" s="65">
        <f>I3+J3+K3+L3+M3+N3+O3</f>
        <v>3.9090000000000003</v>
      </c>
      <c r="H3" s="65">
        <f>G3/F3</f>
        <v>3.2040983606557378</v>
      </c>
      <c r="I3" s="64">
        <v>7.3999999999999996E-2</v>
      </c>
      <c r="J3" s="64">
        <v>4.4999999999999998E-2</v>
      </c>
      <c r="K3" s="64">
        <v>0.73799999999999999</v>
      </c>
      <c r="L3" s="64">
        <v>0.53600000000000003</v>
      </c>
      <c r="M3" s="64">
        <v>0.59299999999999997</v>
      </c>
      <c r="N3" s="64">
        <v>0.11700000000000001</v>
      </c>
      <c r="O3" s="64">
        <f>1.316+0.49</f>
        <v>1.806</v>
      </c>
      <c r="P3" s="64">
        <f>N:N+O:O</f>
        <v>1.923</v>
      </c>
      <c r="Q3" s="65">
        <f>(N3+O3)/K3</f>
        <v>2.6056910569105693</v>
      </c>
      <c r="R3" s="65">
        <f t="shared" ref="R3:R11" si="0">M3/K3</f>
        <v>0.80352303523035229</v>
      </c>
      <c r="S3" s="65">
        <f t="shared" ref="S3:S11" si="1">L3/K3</f>
        <v>0.72628726287262879</v>
      </c>
      <c r="T3" s="65">
        <f>O3/N3</f>
        <v>15.435897435897436</v>
      </c>
      <c r="U3" s="64">
        <v>0.251</v>
      </c>
      <c r="V3" s="64">
        <f>G:G/U:U</f>
        <v>15.57370517928287</v>
      </c>
      <c r="W3" s="64">
        <v>0.45200000000000001</v>
      </c>
      <c r="X3" s="64">
        <v>8.6999999999999994E-2</v>
      </c>
      <c r="Y3" s="64">
        <f t="shared" ref="Y3:Y9" si="2">W:W/X:X</f>
        <v>5.195402298850575</v>
      </c>
      <c r="Z3" s="64">
        <v>0.27400000000000002</v>
      </c>
      <c r="AA3" s="64">
        <v>0.39900000000000002</v>
      </c>
      <c r="AB3" s="64">
        <f t="shared" ref="AB3:AB19" si="3">AA3/F3</f>
        <v>0.32704918032786889</v>
      </c>
      <c r="AC3" s="64">
        <v>0.90400000000000003</v>
      </c>
      <c r="AD3" s="64">
        <f t="shared" ref="AD3:AD19" si="4">AC3/F3</f>
        <v>0.74098360655737705</v>
      </c>
      <c r="AE3" s="64">
        <v>9.2999999999999999E-2</v>
      </c>
      <c r="AF3" s="64">
        <f t="shared" ref="AF3:AF9" si="5">AE:AE/K:K</f>
        <v>0.12601626016260162</v>
      </c>
      <c r="AG3" s="64">
        <f>AE:AE/P:P</f>
        <v>4.8361934477379097E-2</v>
      </c>
      <c r="AH3" s="64">
        <f t="shared" ref="AH3:AH9" si="6">AE3/N3</f>
        <v>0.79487179487179482</v>
      </c>
      <c r="AI3" s="64">
        <v>0.09</v>
      </c>
      <c r="AJ3" s="64">
        <v>4.5999999999999999E-2</v>
      </c>
      <c r="AK3" s="64">
        <f>AI3/AJ3</f>
        <v>1.9565217391304348</v>
      </c>
      <c r="AL3" s="64">
        <f t="shared" ref="AL3:AL9" si="7">AI3/AE3</f>
        <v>0.96774193548387089</v>
      </c>
      <c r="AM3" s="64">
        <f t="shared" ref="AM3:AM11" si="8">AI3/N3</f>
        <v>0.76923076923076916</v>
      </c>
      <c r="AN3" s="64">
        <f t="shared" ref="AN3:AN21" si="9">AI:AI/K:K</f>
        <v>0.12195121951219512</v>
      </c>
      <c r="AO3" s="64">
        <f t="shared" ref="AO3:AO23" si="10">AI3/AP3</f>
        <v>0.56603773584905659</v>
      </c>
      <c r="AP3" s="64">
        <v>0.159</v>
      </c>
      <c r="AQ3" s="64">
        <v>0.104</v>
      </c>
      <c r="AR3" s="64">
        <f t="shared" ref="AR3:AR24" si="11">AP3/F3</f>
        <v>0.13032786885245903</v>
      </c>
      <c r="AS3" s="64">
        <f t="shared" ref="AS3:AS24" si="12">AP3/AQ3</f>
        <v>1.528846153846154</v>
      </c>
      <c r="AT3" s="64">
        <f t="shared" ref="AT3:AT21" si="13">AP3/K3</f>
        <v>0.21544715447154472</v>
      </c>
      <c r="AU3" s="64">
        <v>0.09</v>
      </c>
      <c r="AV3" s="64">
        <v>8.5000000000000006E-2</v>
      </c>
      <c r="AW3" s="64">
        <f t="shared" ref="AW3:AW20" si="14">AU:AU/AV:AV</f>
        <v>1.0588235294117645</v>
      </c>
      <c r="AX3" s="64">
        <f t="shared" ref="AX3:AX18" si="15">AP:AP/AU:AU</f>
        <v>1.7666666666666668</v>
      </c>
      <c r="AY3" s="133">
        <v>5</v>
      </c>
      <c r="AZ3" s="133">
        <v>9</v>
      </c>
      <c r="BA3" s="133">
        <v>8</v>
      </c>
      <c r="BB3" s="133">
        <v>6</v>
      </c>
      <c r="BC3" s="245">
        <v>7</v>
      </c>
    </row>
    <row r="4" spans="2:55" ht="12.75" customHeight="1" x14ac:dyDescent="0.2">
      <c r="B4" s="246"/>
      <c r="C4" s="71"/>
      <c r="D4" s="71"/>
      <c r="E4" s="71"/>
      <c r="F4" s="72">
        <v>1.22</v>
      </c>
      <c r="G4" s="82">
        <f>I4+J4+K4+L4+M4+N4+O4</f>
        <v>3.9020000000000001</v>
      </c>
      <c r="H4" s="82">
        <f>G4/F4</f>
        <v>3.1983606557377051</v>
      </c>
      <c r="I4" s="72">
        <v>7.8E-2</v>
      </c>
      <c r="J4" s="72">
        <v>4.9000000000000002E-2</v>
      </c>
      <c r="K4" s="72">
        <v>0.73</v>
      </c>
      <c r="L4" s="72">
        <v>0.52400000000000002</v>
      </c>
      <c r="M4" s="72">
        <v>0.56999999999999995</v>
      </c>
      <c r="N4" s="72">
        <v>0.11700000000000001</v>
      </c>
      <c r="O4" s="72">
        <f>0.38+0.306+0.207+0.183+0.19+0.229+0.132+0.207</f>
        <v>1.8339999999999999</v>
      </c>
      <c r="P4" s="72">
        <f>N:N+O:O</f>
        <v>1.9509999999999998</v>
      </c>
      <c r="Q4" s="82">
        <f>(N4+O4)/K4</f>
        <v>2.6726027397260275</v>
      </c>
      <c r="R4" s="82">
        <f t="shared" si="0"/>
        <v>0.78082191780821908</v>
      </c>
      <c r="S4" s="82">
        <f t="shared" si="1"/>
        <v>0.71780821917808224</v>
      </c>
      <c r="T4" s="82">
        <f>O4/N4</f>
        <v>15.675213675213673</v>
      </c>
      <c r="U4" s="72">
        <v>0.251</v>
      </c>
      <c r="V4" s="72">
        <f>G:G/U:U</f>
        <v>15.545816733067729</v>
      </c>
      <c r="W4" s="72">
        <v>0.44800000000000001</v>
      </c>
      <c r="X4" s="72">
        <v>9.6000000000000002E-2</v>
      </c>
      <c r="Y4" s="72">
        <f t="shared" si="2"/>
        <v>4.666666666666667</v>
      </c>
      <c r="Z4" s="72">
        <v>0.28100000000000003</v>
      </c>
      <c r="AA4" s="72">
        <v>0.39300000000000002</v>
      </c>
      <c r="AB4" s="72">
        <f t="shared" si="3"/>
        <v>0.32213114754098365</v>
      </c>
      <c r="AC4" s="72">
        <v>0.89500000000000002</v>
      </c>
      <c r="AD4" s="72">
        <f t="shared" si="4"/>
        <v>0.73360655737704916</v>
      </c>
      <c r="AE4" s="72">
        <v>9.0999999999999998E-2</v>
      </c>
      <c r="AF4" s="72">
        <f t="shared" si="5"/>
        <v>0.12465753424657534</v>
      </c>
      <c r="AG4" s="72">
        <f>AE:AE/P:P</f>
        <v>4.6642747309072273E-2</v>
      </c>
      <c r="AH4" s="72">
        <f t="shared" si="6"/>
        <v>0.77777777777777768</v>
      </c>
      <c r="AI4" s="72">
        <v>0.09</v>
      </c>
      <c r="AJ4" s="72">
        <v>4.5999999999999999E-2</v>
      </c>
      <c r="AK4" s="72">
        <f>AI4/AJ4</f>
        <v>1.9565217391304348</v>
      </c>
      <c r="AL4" s="72">
        <f t="shared" si="7"/>
        <v>0.98901098901098905</v>
      </c>
      <c r="AM4" s="72">
        <f t="shared" si="8"/>
        <v>0.76923076923076916</v>
      </c>
      <c r="AN4" s="72">
        <f t="shared" si="9"/>
        <v>0.12328767123287671</v>
      </c>
      <c r="AO4" s="72">
        <f t="shared" si="10"/>
        <v>0.5325443786982248</v>
      </c>
      <c r="AP4" s="72">
        <v>0.16900000000000001</v>
      </c>
      <c r="AQ4" s="72">
        <v>9.0999999999999998E-2</v>
      </c>
      <c r="AR4" s="72">
        <f t="shared" si="11"/>
        <v>0.13852459016393445</v>
      </c>
      <c r="AS4" s="72">
        <f t="shared" si="12"/>
        <v>1.8571428571428572</v>
      </c>
      <c r="AT4" s="72">
        <f t="shared" si="13"/>
        <v>0.23150684931506851</v>
      </c>
      <c r="AU4" s="72">
        <v>0.09</v>
      </c>
      <c r="AV4" s="72">
        <v>8.5000000000000006E-2</v>
      </c>
      <c r="AW4" s="72">
        <f t="shared" si="14"/>
        <v>1.0588235294117645</v>
      </c>
      <c r="AX4" s="72">
        <f t="shared" si="15"/>
        <v>1.877777777777778</v>
      </c>
      <c r="AY4" s="134" t="s">
        <v>75</v>
      </c>
      <c r="AZ4" s="136">
        <v>11</v>
      </c>
      <c r="BA4" s="134" t="s">
        <v>75</v>
      </c>
      <c r="BB4" s="134" t="s">
        <v>75</v>
      </c>
      <c r="BC4" s="247" t="s">
        <v>75</v>
      </c>
    </row>
    <row r="5" spans="2:55" ht="12.75" customHeight="1" x14ac:dyDescent="0.2">
      <c r="B5" s="239">
        <v>24277</v>
      </c>
      <c r="C5" s="76" t="s">
        <v>265</v>
      </c>
      <c r="D5" s="77" t="s">
        <v>267</v>
      </c>
      <c r="E5" s="77" t="s">
        <v>179</v>
      </c>
      <c r="F5" s="78">
        <v>1.2430000000000001</v>
      </c>
      <c r="G5" s="80">
        <f>I5+J5+K5+L5+M5+N5+O5</f>
        <v>3.8559999999999999</v>
      </c>
      <c r="H5" s="80">
        <f>G5/F5</f>
        <v>3.1021721641190663</v>
      </c>
      <c r="I5" s="78">
        <v>7.0000000000000007E-2</v>
      </c>
      <c r="J5" s="78">
        <v>4.2999999999999997E-2</v>
      </c>
      <c r="K5" s="78">
        <v>0.84699999999999998</v>
      </c>
      <c r="L5" s="78">
        <v>0.66300000000000003</v>
      </c>
      <c r="M5" s="78">
        <v>0.71599999999999997</v>
      </c>
      <c r="N5" s="78">
        <v>0.13600000000000001</v>
      </c>
      <c r="O5" s="78">
        <f>0.302+0.336+0.392+0.351</f>
        <v>1.381</v>
      </c>
      <c r="P5" s="78">
        <f>N:N+O:O</f>
        <v>1.5169999999999999</v>
      </c>
      <c r="Q5" s="80">
        <f>(N5+O5)/K5</f>
        <v>1.7910271546635181</v>
      </c>
      <c r="R5" s="80">
        <f t="shared" si="0"/>
        <v>0.8453364817001181</v>
      </c>
      <c r="S5" s="80">
        <f t="shared" si="1"/>
        <v>0.78276269185360103</v>
      </c>
      <c r="T5" s="80">
        <f>O5/N5</f>
        <v>10.154411764705882</v>
      </c>
      <c r="U5" s="78">
        <v>0.27700000000000002</v>
      </c>
      <c r="V5" s="78">
        <f>G:G/U:U</f>
        <v>13.920577617328519</v>
      </c>
      <c r="W5" s="78">
        <v>0.54600000000000004</v>
      </c>
      <c r="X5" s="78">
        <v>0.106</v>
      </c>
      <c r="Y5" s="78">
        <f t="shared" si="2"/>
        <v>5.1509433962264159</v>
      </c>
      <c r="Z5" s="78">
        <v>0.32100000000000001</v>
      </c>
      <c r="AA5" s="78">
        <v>0.46899999999999997</v>
      </c>
      <c r="AB5" s="78">
        <f t="shared" si="3"/>
        <v>0.37731295253419139</v>
      </c>
      <c r="AC5" s="78">
        <v>1.0309999999999999</v>
      </c>
      <c r="AD5" s="78">
        <f t="shared" si="4"/>
        <v>0.82944489139179389</v>
      </c>
      <c r="AE5" s="78">
        <v>8.7999999999999995E-2</v>
      </c>
      <c r="AF5" s="78">
        <f t="shared" si="5"/>
        <v>0.10389610389610389</v>
      </c>
      <c r="AG5" s="78">
        <f>AE:AE/P:P</f>
        <v>5.8009228740936059E-2</v>
      </c>
      <c r="AH5" s="78">
        <f t="shared" si="6"/>
        <v>0.64705882352941169</v>
      </c>
      <c r="AI5" s="78">
        <v>9.1999999999999998E-2</v>
      </c>
      <c r="AJ5" s="78">
        <v>5.0999999999999997E-2</v>
      </c>
      <c r="AK5" s="78">
        <f>AI5/AJ5</f>
        <v>1.803921568627451</v>
      </c>
      <c r="AL5" s="78">
        <f t="shared" si="7"/>
        <v>1.0454545454545454</v>
      </c>
      <c r="AM5" s="78">
        <f t="shared" si="8"/>
        <v>0.67647058823529405</v>
      </c>
      <c r="AN5" s="78">
        <f t="shared" si="9"/>
        <v>0.10861865407319952</v>
      </c>
      <c r="AO5" s="78">
        <f t="shared" si="10"/>
        <v>0.44444444444444448</v>
      </c>
      <c r="AP5" s="78">
        <v>0.20699999999999999</v>
      </c>
      <c r="AQ5" s="78">
        <v>0.104</v>
      </c>
      <c r="AR5" s="78">
        <f t="shared" si="11"/>
        <v>0.16653258246178598</v>
      </c>
      <c r="AS5" s="78">
        <f t="shared" si="12"/>
        <v>1.9903846153846154</v>
      </c>
      <c r="AT5" s="78">
        <f t="shared" si="13"/>
        <v>0.24439197166469892</v>
      </c>
      <c r="AU5" s="78">
        <v>0.1</v>
      </c>
      <c r="AV5" s="78">
        <v>9.5000000000000001E-2</v>
      </c>
      <c r="AW5" s="78">
        <f t="shared" si="14"/>
        <v>1.0526315789473684</v>
      </c>
      <c r="AX5" s="78">
        <f t="shared" si="15"/>
        <v>2.0699999999999998</v>
      </c>
      <c r="AY5" s="137">
        <v>5</v>
      </c>
      <c r="AZ5" s="137">
        <v>10</v>
      </c>
      <c r="BA5" s="137">
        <v>7</v>
      </c>
      <c r="BB5" s="137">
        <v>6</v>
      </c>
      <c r="BC5" s="145">
        <v>6</v>
      </c>
    </row>
    <row r="6" spans="2:55" ht="12.75" customHeight="1" x14ac:dyDescent="0.2">
      <c r="B6" s="238"/>
      <c r="C6" s="77"/>
      <c r="D6" s="77"/>
      <c r="E6" s="77"/>
      <c r="F6" s="78">
        <v>1.2430000000000001</v>
      </c>
      <c r="G6" s="114" t="s">
        <v>75</v>
      </c>
      <c r="H6" s="114" t="s">
        <v>75</v>
      </c>
      <c r="I6" s="78">
        <v>7.9000000000000001E-2</v>
      </c>
      <c r="J6" s="78">
        <v>4.3999999999999997E-2</v>
      </c>
      <c r="K6" s="78">
        <v>0.82599999999999996</v>
      </c>
      <c r="L6" s="78">
        <v>0.66600000000000004</v>
      </c>
      <c r="M6" s="78">
        <v>0.68799999999999994</v>
      </c>
      <c r="N6" s="78">
        <v>0.13700000000000001</v>
      </c>
      <c r="O6" s="79" t="s">
        <v>75</v>
      </c>
      <c r="P6" s="79" t="s">
        <v>75</v>
      </c>
      <c r="Q6" s="114" t="s">
        <v>75</v>
      </c>
      <c r="R6" s="80">
        <f t="shared" si="0"/>
        <v>0.83292978208232438</v>
      </c>
      <c r="S6" s="80">
        <f t="shared" si="1"/>
        <v>0.80629539951573859</v>
      </c>
      <c r="T6" s="114" t="s">
        <v>75</v>
      </c>
      <c r="U6" s="78">
        <v>0.27700000000000002</v>
      </c>
      <c r="V6" s="79" t="s">
        <v>75</v>
      </c>
      <c r="W6" s="78">
        <v>0.55000000000000004</v>
      </c>
      <c r="X6" s="78">
        <v>0.107</v>
      </c>
      <c r="Y6" s="78">
        <f t="shared" si="2"/>
        <v>5.1401869158878508</v>
      </c>
      <c r="Z6" s="78">
        <v>0.31</v>
      </c>
      <c r="AA6" s="78">
        <v>0.47</v>
      </c>
      <c r="AB6" s="78">
        <f t="shared" si="3"/>
        <v>0.37811745776347538</v>
      </c>
      <c r="AC6" s="78">
        <v>1.0509999999999999</v>
      </c>
      <c r="AD6" s="78">
        <f t="shared" si="4"/>
        <v>0.84553499597747372</v>
      </c>
      <c r="AE6" s="78">
        <v>8.6999999999999994E-2</v>
      </c>
      <c r="AF6" s="78">
        <f t="shared" si="5"/>
        <v>0.10532687651331719</v>
      </c>
      <c r="AG6" s="79" t="s">
        <v>75</v>
      </c>
      <c r="AH6" s="78">
        <f t="shared" si="6"/>
        <v>0.63503649635036485</v>
      </c>
      <c r="AI6" s="78">
        <v>9.1999999999999998E-2</v>
      </c>
      <c r="AJ6" s="78">
        <v>5.0999999999999997E-2</v>
      </c>
      <c r="AK6" s="78">
        <f>AI6/AJ6</f>
        <v>1.803921568627451</v>
      </c>
      <c r="AL6" s="78">
        <f t="shared" si="7"/>
        <v>1.0574712643678161</v>
      </c>
      <c r="AM6" s="78">
        <f t="shared" si="8"/>
        <v>0.67153284671532842</v>
      </c>
      <c r="AN6" s="78">
        <f t="shared" si="9"/>
        <v>0.11138014527845037</v>
      </c>
      <c r="AO6" s="78">
        <f t="shared" si="10"/>
        <v>0.47668393782383417</v>
      </c>
      <c r="AP6" s="78">
        <v>0.193</v>
      </c>
      <c r="AQ6" s="78">
        <v>0.113</v>
      </c>
      <c r="AR6" s="78">
        <f t="shared" si="11"/>
        <v>0.15526950925181013</v>
      </c>
      <c r="AS6" s="78">
        <f t="shared" si="12"/>
        <v>1.7079646017699115</v>
      </c>
      <c r="AT6" s="78">
        <f t="shared" si="13"/>
        <v>0.23365617433414046</v>
      </c>
      <c r="AU6" s="78">
        <v>0.1</v>
      </c>
      <c r="AV6" s="78">
        <v>9.5000000000000001E-2</v>
      </c>
      <c r="AW6" s="78">
        <f t="shared" si="14"/>
        <v>1.0526315789473684</v>
      </c>
      <c r="AX6" s="78">
        <f t="shared" si="15"/>
        <v>1.93</v>
      </c>
      <c r="AY6" s="135" t="s">
        <v>75</v>
      </c>
      <c r="AZ6" s="137">
        <v>9</v>
      </c>
      <c r="BA6" s="135" t="s">
        <v>75</v>
      </c>
      <c r="BB6" s="135" t="s">
        <v>75</v>
      </c>
      <c r="BC6" s="242" t="s">
        <v>75</v>
      </c>
    </row>
    <row r="7" spans="2:55" ht="12.75" customHeight="1" x14ac:dyDescent="0.2">
      <c r="B7" s="207">
        <v>21736</v>
      </c>
      <c r="C7" s="70" t="s">
        <v>265</v>
      </c>
      <c r="D7" s="71" t="s">
        <v>270</v>
      </c>
      <c r="E7" s="71" t="s">
        <v>177</v>
      </c>
      <c r="F7" s="72">
        <v>1.61</v>
      </c>
      <c r="G7" s="110" t="s">
        <v>75</v>
      </c>
      <c r="H7" s="110" t="s">
        <v>75</v>
      </c>
      <c r="I7" s="72">
        <v>0.08</v>
      </c>
      <c r="J7" s="72">
        <v>4.3999999999999997E-2</v>
      </c>
      <c r="K7" s="72">
        <v>0.877</v>
      </c>
      <c r="L7" s="72">
        <v>0.61599999999999999</v>
      </c>
      <c r="M7" s="72">
        <v>0.67400000000000004</v>
      </c>
      <c r="N7" s="72">
        <v>0.114</v>
      </c>
      <c r="O7" s="73" t="s">
        <v>75</v>
      </c>
      <c r="P7" s="73" t="s">
        <v>75</v>
      </c>
      <c r="Q7" s="110" t="s">
        <v>75</v>
      </c>
      <c r="R7" s="82">
        <f t="shared" si="0"/>
        <v>0.76852907639680734</v>
      </c>
      <c r="S7" s="82">
        <f t="shared" si="1"/>
        <v>0.70239452679589509</v>
      </c>
      <c r="T7" s="110" t="s">
        <v>75</v>
      </c>
      <c r="U7" s="72">
        <v>0.27</v>
      </c>
      <c r="V7" s="73" t="s">
        <v>75</v>
      </c>
      <c r="W7" s="72">
        <v>0.52200000000000002</v>
      </c>
      <c r="X7" s="72">
        <v>0.107</v>
      </c>
      <c r="Y7" s="72">
        <f t="shared" si="2"/>
        <v>4.8785046728971961</v>
      </c>
      <c r="Z7" s="72">
        <v>0.29099999999999998</v>
      </c>
      <c r="AA7" s="72">
        <v>0.41599999999999998</v>
      </c>
      <c r="AB7" s="72">
        <f t="shared" si="3"/>
        <v>0.25838509316770186</v>
      </c>
      <c r="AC7" s="72">
        <v>0.94499999999999995</v>
      </c>
      <c r="AD7" s="72">
        <f t="shared" si="4"/>
        <v>0.58695652173913038</v>
      </c>
      <c r="AE7" s="72">
        <v>8.6999999999999994E-2</v>
      </c>
      <c r="AF7" s="72">
        <f t="shared" si="5"/>
        <v>9.9201824401368294E-2</v>
      </c>
      <c r="AG7" s="73" t="s">
        <v>75</v>
      </c>
      <c r="AH7" s="72">
        <f t="shared" si="6"/>
        <v>0.76315789473684204</v>
      </c>
      <c r="AI7" s="72">
        <v>8.2000000000000003E-2</v>
      </c>
      <c r="AJ7" s="72">
        <v>5.7000000000000002E-2</v>
      </c>
      <c r="AK7" s="72">
        <f t="shared" ref="AK7:AK23" si="16">AI7/AJ7</f>
        <v>1.4385964912280702</v>
      </c>
      <c r="AL7" s="72">
        <f t="shared" si="7"/>
        <v>0.94252873563218398</v>
      </c>
      <c r="AM7" s="72">
        <f t="shared" si="8"/>
        <v>0.7192982456140351</v>
      </c>
      <c r="AN7" s="72">
        <f t="shared" si="9"/>
        <v>9.3500570125427604E-2</v>
      </c>
      <c r="AO7" s="72">
        <f t="shared" si="10"/>
        <v>0.44808743169398912</v>
      </c>
      <c r="AP7" s="72">
        <v>0.183</v>
      </c>
      <c r="AQ7" s="72">
        <v>0.112</v>
      </c>
      <c r="AR7" s="72">
        <f t="shared" si="11"/>
        <v>0.11366459627329191</v>
      </c>
      <c r="AS7" s="72">
        <f t="shared" si="12"/>
        <v>1.6339285714285714</v>
      </c>
      <c r="AT7" s="72">
        <f t="shared" si="13"/>
        <v>0.20866590649942987</v>
      </c>
      <c r="AU7" s="72">
        <v>0.09</v>
      </c>
      <c r="AV7" s="72">
        <v>8.7999999999999995E-2</v>
      </c>
      <c r="AW7" s="72">
        <f t="shared" si="14"/>
        <v>1.0227272727272727</v>
      </c>
      <c r="AX7" s="72">
        <f t="shared" si="15"/>
        <v>2.0333333333333332</v>
      </c>
      <c r="AY7" s="136">
        <v>4</v>
      </c>
      <c r="AZ7" s="136">
        <v>9</v>
      </c>
      <c r="BA7" s="134" t="s">
        <v>75</v>
      </c>
      <c r="BB7" s="134" t="s">
        <v>75</v>
      </c>
      <c r="BC7" s="143">
        <v>6</v>
      </c>
    </row>
    <row r="8" spans="2:55" ht="12.75" customHeight="1" x14ac:dyDescent="0.2">
      <c r="B8" s="207"/>
      <c r="C8" s="71"/>
      <c r="D8" s="71"/>
      <c r="E8" s="71"/>
      <c r="F8" s="72">
        <v>1.61</v>
      </c>
      <c r="G8" s="110" t="s">
        <v>75</v>
      </c>
      <c r="H8" s="110" t="s">
        <v>75</v>
      </c>
      <c r="I8" s="72">
        <v>7.2999999999999995E-2</v>
      </c>
      <c r="J8" s="72">
        <v>4.4999999999999998E-2</v>
      </c>
      <c r="K8" s="72">
        <v>0.84399999999999997</v>
      </c>
      <c r="L8" s="72">
        <v>0.59899999999999998</v>
      </c>
      <c r="M8" s="72">
        <v>0.626</v>
      </c>
      <c r="N8" s="72">
        <v>0.124</v>
      </c>
      <c r="O8" s="73" t="s">
        <v>75</v>
      </c>
      <c r="P8" s="73" t="s">
        <v>75</v>
      </c>
      <c r="Q8" s="110" t="s">
        <v>75</v>
      </c>
      <c r="R8" s="82">
        <f t="shared" si="0"/>
        <v>0.74170616113744081</v>
      </c>
      <c r="S8" s="82">
        <f t="shared" si="1"/>
        <v>0.70971563981042651</v>
      </c>
      <c r="T8" s="110" t="s">
        <v>75</v>
      </c>
      <c r="U8" s="72">
        <v>0.27</v>
      </c>
      <c r="V8" s="73" t="s">
        <v>75</v>
      </c>
      <c r="W8" s="72">
        <v>0.52</v>
      </c>
      <c r="X8" s="72">
        <v>0.107</v>
      </c>
      <c r="Y8" s="72">
        <f t="shared" si="2"/>
        <v>4.8598130841121501</v>
      </c>
      <c r="Z8" s="72">
        <v>0.314</v>
      </c>
      <c r="AA8" s="72">
        <v>0.432</v>
      </c>
      <c r="AB8" s="72">
        <f t="shared" si="3"/>
        <v>0.2683229813664596</v>
      </c>
      <c r="AC8" s="72">
        <v>0.94699999999999995</v>
      </c>
      <c r="AD8" s="72">
        <f t="shared" si="4"/>
        <v>0.58819875776397512</v>
      </c>
      <c r="AE8" s="72">
        <v>8.2000000000000003E-2</v>
      </c>
      <c r="AF8" s="72">
        <f t="shared" si="5"/>
        <v>9.7156398104265407E-2</v>
      </c>
      <c r="AG8" s="73" t="s">
        <v>75</v>
      </c>
      <c r="AH8" s="72">
        <f t="shared" si="6"/>
        <v>0.66129032258064524</v>
      </c>
      <c r="AI8" s="72">
        <v>8.2000000000000003E-2</v>
      </c>
      <c r="AJ8" s="72">
        <v>5.7000000000000002E-2</v>
      </c>
      <c r="AK8" s="72">
        <f t="shared" ref="AK8" si="17">AI8/AJ8</f>
        <v>1.4385964912280702</v>
      </c>
      <c r="AL8" s="72">
        <f t="shared" si="7"/>
        <v>1</v>
      </c>
      <c r="AM8" s="72">
        <f t="shared" si="8"/>
        <v>0.66129032258064524</v>
      </c>
      <c r="AN8" s="72">
        <f t="shared" si="9"/>
        <v>9.7156398104265407E-2</v>
      </c>
      <c r="AO8" s="72">
        <f t="shared" si="10"/>
        <v>0.46857142857142864</v>
      </c>
      <c r="AP8" s="72">
        <v>0.17499999999999999</v>
      </c>
      <c r="AQ8" s="72">
        <v>0.12</v>
      </c>
      <c r="AR8" s="72">
        <f t="shared" si="11"/>
        <v>0.10869565217391303</v>
      </c>
      <c r="AS8" s="72">
        <f t="shared" si="12"/>
        <v>1.4583333333333333</v>
      </c>
      <c r="AT8" s="72">
        <f t="shared" si="13"/>
        <v>0.20734597156398105</v>
      </c>
      <c r="AU8" s="72">
        <v>0.09</v>
      </c>
      <c r="AV8" s="72">
        <v>8.7999999999999995E-2</v>
      </c>
      <c r="AW8" s="72">
        <f t="shared" si="14"/>
        <v>1.0227272727272727</v>
      </c>
      <c r="AX8" s="72">
        <f t="shared" si="15"/>
        <v>1.9444444444444444</v>
      </c>
      <c r="AY8" s="134" t="s">
        <v>75</v>
      </c>
      <c r="AZ8" s="134" t="s">
        <v>75</v>
      </c>
      <c r="BA8" s="134" t="s">
        <v>75</v>
      </c>
      <c r="BB8" s="134" t="s">
        <v>75</v>
      </c>
      <c r="BC8" s="247" t="s">
        <v>75</v>
      </c>
    </row>
    <row r="9" spans="2:55" ht="12.75" customHeight="1" x14ac:dyDescent="0.2">
      <c r="B9" s="240">
        <v>21736</v>
      </c>
      <c r="C9" s="76" t="s">
        <v>265</v>
      </c>
      <c r="D9" s="77" t="s">
        <v>270</v>
      </c>
      <c r="E9" s="77" t="s">
        <v>177</v>
      </c>
      <c r="F9" s="78">
        <v>1.73</v>
      </c>
      <c r="G9" s="114" t="s">
        <v>75</v>
      </c>
      <c r="H9" s="114" t="s">
        <v>75</v>
      </c>
      <c r="I9" s="78">
        <v>7.5999999999999998E-2</v>
      </c>
      <c r="J9" s="78">
        <v>5.2999999999999999E-2</v>
      </c>
      <c r="K9" s="78">
        <v>0.81</v>
      </c>
      <c r="L9" s="78">
        <v>0.61199999999999999</v>
      </c>
      <c r="M9" s="78">
        <v>0.65400000000000003</v>
      </c>
      <c r="N9" s="78">
        <v>0.11700000000000001</v>
      </c>
      <c r="O9" s="79" t="s">
        <v>75</v>
      </c>
      <c r="P9" s="79" t="s">
        <v>75</v>
      </c>
      <c r="Q9" s="114" t="s">
        <v>75</v>
      </c>
      <c r="R9" s="80">
        <f t="shared" si="0"/>
        <v>0.80740740740740735</v>
      </c>
      <c r="S9" s="80">
        <f t="shared" si="1"/>
        <v>0.75555555555555554</v>
      </c>
      <c r="T9" s="114" t="s">
        <v>75</v>
      </c>
      <c r="U9" s="79" t="s">
        <v>75</v>
      </c>
      <c r="V9" s="79" t="s">
        <v>75</v>
      </c>
      <c r="W9" s="78">
        <v>0.51800000000000002</v>
      </c>
      <c r="X9" s="78">
        <v>0.12</v>
      </c>
      <c r="Y9" s="78">
        <f t="shared" si="2"/>
        <v>4.3166666666666673</v>
      </c>
      <c r="Z9" s="79" t="s">
        <v>75</v>
      </c>
      <c r="AA9" s="78">
        <v>0.44500000000000001</v>
      </c>
      <c r="AB9" s="78">
        <f t="shared" si="3"/>
        <v>0.25722543352601157</v>
      </c>
      <c r="AC9" s="78">
        <v>1.024</v>
      </c>
      <c r="AD9" s="78">
        <f t="shared" si="4"/>
        <v>0.59190751445086709</v>
      </c>
      <c r="AE9" s="78">
        <v>0.09</v>
      </c>
      <c r="AF9" s="78">
        <f t="shared" si="5"/>
        <v>0.1111111111111111</v>
      </c>
      <c r="AG9" s="79" t="s">
        <v>75</v>
      </c>
      <c r="AH9" s="78">
        <f t="shared" si="6"/>
        <v>0.76923076923076916</v>
      </c>
      <c r="AI9" s="78">
        <v>9.0999999999999998E-2</v>
      </c>
      <c r="AJ9" s="78">
        <v>0.06</v>
      </c>
      <c r="AK9" s="78">
        <f t="shared" si="16"/>
        <v>1.5166666666666666</v>
      </c>
      <c r="AL9" s="78">
        <f t="shared" si="7"/>
        <v>1.0111111111111111</v>
      </c>
      <c r="AM9" s="78">
        <f t="shared" si="8"/>
        <v>0.77777777777777768</v>
      </c>
      <c r="AN9" s="78">
        <f t="shared" si="9"/>
        <v>0.11234567901234567</v>
      </c>
      <c r="AO9" s="78">
        <f t="shared" si="10"/>
        <v>0.46192893401015223</v>
      </c>
      <c r="AP9" s="78">
        <v>0.19700000000000001</v>
      </c>
      <c r="AQ9" s="78">
        <v>0.13300000000000001</v>
      </c>
      <c r="AR9" s="78">
        <f t="shared" si="11"/>
        <v>0.11387283236994221</v>
      </c>
      <c r="AS9" s="78">
        <f t="shared" si="12"/>
        <v>1.481203007518797</v>
      </c>
      <c r="AT9" s="78">
        <f t="shared" si="13"/>
        <v>0.24320987654320986</v>
      </c>
      <c r="AU9" s="78">
        <v>9.2999999999999999E-2</v>
      </c>
      <c r="AV9" s="78">
        <v>0.11</v>
      </c>
      <c r="AW9" s="78">
        <f t="shared" si="14"/>
        <v>0.84545454545454546</v>
      </c>
      <c r="AX9" s="78">
        <f t="shared" si="15"/>
        <v>2.118279569892473</v>
      </c>
      <c r="AY9" s="137">
        <v>5</v>
      </c>
      <c r="AZ9" s="137">
        <v>9</v>
      </c>
      <c r="BA9" s="137">
        <v>6</v>
      </c>
      <c r="BB9" s="137">
        <v>7</v>
      </c>
      <c r="BC9" s="145">
        <v>6</v>
      </c>
    </row>
    <row r="10" spans="2:55" ht="12.75" customHeight="1" x14ac:dyDescent="0.2">
      <c r="B10" s="238"/>
      <c r="C10" s="77"/>
      <c r="D10" s="77"/>
      <c r="E10" s="77"/>
      <c r="F10" s="78">
        <v>1.73</v>
      </c>
      <c r="G10" s="114" t="s">
        <v>75</v>
      </c>
      <c r="H10" s="114" t="s">
        <v>75</v>
      </c>
      <c r="I10" s="78">
        <v>7.6999999999999999E-2</v>
      </c>
      <c r="J10" s="78">
        <v>0.05</v>
      </c>
      <c r="K10" s="78">
        <v>0.79</v>
      </c>
      <c r="L10" s="78">
        <v>0.63200000000000001</v>
      </c>
      <c r="M10" s="78">
        <v>0.65500000000000003</v>
      </c>
      <c r="N10" s="78">
        <v>0.11700000000000001</v>
      </c>
      <c r="O10" s="79" t="s">
        <v>75</v>
      </c>
      <c r="P10" s="79" t="s">
        <v>75</v>
      </c>
      <c r="Q10" s="114" t="s">
        <v>75</v>
      </c>
      <c r="R10" s="80">
        <f t="shared" si="0"/>
        <v>0.82911392405063289</v>
      </c>
      <c r="S10" s="80">
        <f t="shared" si="1"/>
        <v>0.79999999999999993</v>
      </c>
      <c r="T10" s="114" t="s">
        <v>75</v>
      </c>
      <c r="U10" s="79" t="s">
        <v>75</v>
      </c>
      <c r="V10" s="79" t="s">
        <v>75</v>
      </c>
      <c r="W10" s="79" t="s">
        <v>75</v>
      </c>
      <c r="X10" s="79" t="s">
        <v>75</v>
      </c>
      <c r="Y10" s="79" t="s">
        <v>75</v>
      </c>
      <c r="Z10" s="79" t="s">
        <v>75</v>
      </c>
      <c r="AA10" s="78">
        <v>0.46500000000000002</v>
      </c>
      <c r="AB10" s="78">
        <f t="shared" si="3"/>
        <v>0.26878612716763006</v>
      </c>
      <c r="AC10" s="78">
        <v>1.0029999999999999</v>
      </c>
      <c r="AD10" s="78">
        <f t="shared" si="4"/>
        <v>0.57976878612716753</v>
      </c>
      <c r="AE10" s="79" t="s">
        <v>75</v>
      </c>
      <c r="AF10" s="79" t="s">
        <v>75</v>
      </c>
      <c r="AG10" s="79" t="s">
        <v>75</v>
      </c>
      <c r="AH10" s="79" t="s">
        <v>75</v>
      </c>
      <c r="AI10" s="78">
        <v>9.0999999999999998E-2</v>
      </c>
      <c r="AJ10" s="78">
        <v>0.06</v>
      </c>
      <c r="AK10" s="78">
        <f t="shared" ref="AK10" si="18">AI10/AJ10</f>
        <v>1.5166666666666666</v>
      </c>
      <c r="AL10" s="79" t="s">
        <v>75</v>
      </c>
      <c r="AM10" s="78">
        <f t="shared" si="8"/>
        <v>0.77777777777777768</v>
      </c>
      <c r="AN10" s="78">
        <f t="shared" si="9"/>
        <v>0.11518987341772151</v>
      </c>
      <c r="AO10" s="78">
        <f t="shared" si="10"/>
        <v>0.43961352657004832</v>
      </c>
      <c r="AP10" s="78">
        <v>0.20699999999999999</v>
      </c>
      <c r="AQ10" s="78">
        <v>0.12</v>
      </c>
      <c r="AR10" s="78">
        <f t="shared" si="11"/>
        <v>0.11965317919075144</v>
      </c>
      <c r="AS10" s="78">
        <f t="shared" si="12"/>
        <v>1.7249999999999999</v>
      </c>
      <c r="AT10" s="78">
        <f t="shared" si="13"/>
        <v>0.26202531645569616</v>
      </c>
      <c r="AU10" s="78">
        <v>9.2999999999999999E-2</v>
      </c>
      <c r="AV10" s="78">
        <v>0.11</v>
      </c>
      <c r="AW10" s="78">
        <f t="shared" si="14"/>
        <v>0.84545454545454546</v>
      </c>
      <c r="AX10" s="78">
        <f t="shared" si="15"/>
        <v>2.225806451612903</v>
      </c>
      <c r="AY10" s="135" t="s">
        <v>75</v>
      </c>
      <c r="AZ10" s="137">
        <v>10</v>
      </c>
      <c r="BA10" s="135" t="s">
        <v>75</v>
      </c>
      <c r="BB10" s="135" t="s">
        <v>75</v>
      </c>
      <c r="BC10" s="242" t="s">
        <v>75</v>
      </c>
    </row>
    <row r="11" spans="2:55" ht="12.75" customHeight="1" x14ac:dyDescent="0.2">
      <c r="B11" s="207">
        <v>21736</v>
      </c>
      <c r="C11" s="70" t="s">
        <v>265</v>
      </c>
      <c r="D11" s="71" t="s">
        <v>270</v>
      </c>
      <c r="E11" s="71" t="s">
        <v>177</v>
      </c>
      <c r="F11" s="72">
        <v>1.7</v>
      </c>
      <c r="G11" s="110" t="s">
        <v>75</v>
      </c>
      <c r="H11" s="110" t="s">
        <v>75</v>
      </c>
      <c r="I11" s="72">
        <v>7.9000000000000001E-2</v>
      </c>
      <c r="J11" s="72">
        <v>4.3999999999999997E-2</v>
      </c>
      <c r="K11" s="72">
        <v>0.85199999999999998</v>
      </c>
      <c r="L11" s="72">
        <v>0.64400000000000002</v>
      </c>
      <c r="M11" s="72">
        <v>0.60899999999999999</v>
      </c>
      <c r="N11" s="72">
        <v>0.11</v>
      </c>
      <c r="O11" s="73" t="s">
        <v>75</v>
      </c>
      <c r="P11" s="73" t="s">
        <v>75</v>
      </c>
      <c r="Q11" s="110" t="s">
        <v>75</v>
      </c>
      <c r="R11" s="82">
        <f t="shared" si="0"/>
        <v>0.71478873239436624</v>
      </c>
      <c r="S11" s="82">
        <f t="shared" si="1"/>
        <v>0.755868544600939</v>
      </c>
      <c r="T11" s="110" t="s">
        <v>75</v>
      </c>
      <c r="U11" s="72">
        <v>0.27500000000000002</v>
      </c>
      <c r="V11" s="73" t="s">
        <v>75</v>
      </c>
      <c r="W11" s="73" t="s">
        <v>75</v>
      </c>
      <c r="X11" s="73" t="s">
        <v>75</v>
      </c>
      <c r="Y11" s="73" t="s">
        <v>75</v>
      </c>
      <c r="Z11" s="72">
        <v>0.31900000000000001</v>
      </c>
      <c r="AA11" s="72">
        <v>0.44</v>
      </c>
      <c r="AB11" s="72">
        <f t="shared" si="3"/>
        <v>0.25882352941176473</v>
      </c>
      <c r="AC11" s="72">
        <v>0.97599999999999998</v>
      </c>
      <c r="AD11" s="72">
        <f t="shared" si="4"/>
        <v>0.57411764705882351</v>
      </c>
      <c r="AE11" s="72">
        <v>0.08</v>
      </c>
      <c r="AF11" s="72">
        <f t="shared" ref="AF11:AF21" si="19">AE:AE/K:K</f>
        <v>9.3896713615023483E-2</v>
      </c>
      <c r="AG11" s="73" t="s">
        <v>75</v>
      </c>
      <c r="AH11" s="72">
        <f>AE11/N11</f>
        <v>0.72727272727272729</v>
      </c>
      <c r="AI11" s="72">
        <v>9.1999999999999998E-2</v>
      </c>
      <c r="AJ11" s="72">
        <v>5.6000000000000001E-2</v>
      </c>
      <c r="AK11" s="72">
        <f t="shared" si="16"/>
        <v>1.6428571428571428</v>
      </c>
      <c r="AL11" s="72">
        <f t="shared" ref="AL11:AL24" si="20">AI11/AE11</f>
        <v>1.1499999999999999</v>
      </c>
      <c r="AM11" s="72">
        <f t="shared" si="8"/>
        <v>0.83636363636363631</v>
      </c>
      <c r="AN11" s="72">
        <f t="shared" si="9"/>
        <v>0.107981220657277</v>
      </c>
      <c r="AO11" s="72">
        <f t="shared" si="10"/>
        <v>0.45999999999999996</v>
      </c>
      <c r="AP11" s="72">
        <v>0.2</v>
      </c>
      <c r="AQ11" s="72">
        <v>0.108</v>
      </c>
      <c r="AR11" s="72">
        <f t="shared" si="11"/>
        <v>0.11764705882352942</v>
      </c>
      <c r="AS11" s="72">
        <f t="shared" si="12"/>
        <v>1.8518518518518521</v>
      </c>
      <c r="AT11" s="72">
        <f t="shared" si="13"/>
        <v>0.23474178403755872</v>
      </c>
      <c r="AU11" s="72">
        <v>9.5000000000000001E-2</v>
      </c>
      <c r="AV11" s="72">
        <v>8.5000000000000006E-2</v>
      </c>
      <c r="AW11" s="72">
        <f t="shared" si="14"/>
        <v>1.1176470588235294</v>
      </c>
      <c r="AX11" s="72">
        <f t="shared" si="15"/>
        <v>2.1052631578947367</v>
      </c>
      <c r="AY11" s="136">
        <v>5</v>
      </c>
      <c r="AZ11" s="136">
        <v>10</v>
      </c>
      <c r="BA11" s="136">
        <v>7</v>
      </c>
      <c r="BB11" s="136">
        <v>5</v>
      </c>
      <c r="BC11" s="143">
        <v>6</v>
      </c>
    </row>
    <row r="12" spans="2:55" ht="12.75" customHeight="1" x14ac:dyDescent="0.2">
      <c r="B12" s="246"/>
      <c r="C12" s="71"/>
      <c r="D12" s="71"/>
      <c r="E12" s="71"/>
      <c r="F12" s="72">
        <v>1.7</v>
      </c>
      <c r="G12" s="110" t="s">
        <v>75</v>
      </c>
      <c r="H12" s="110" t="s">
        <v>75</v>
      </c>
      <c r="I12" s="72">
        <v>7.1999999999999995E-2</v>
      </c>
      <c r="J12" s="72">
        <v>4.2999999999999997E-2</v>
      </c>
      <c r="K12" s="72">
        <v>0.82</v>
      </c>
      <c r="L12" s="73" t="s">
        <v>75</v>
      </c>
      <c r="M12" s="73" t="s">
        <v>75</v>
      </c>
      <c r="N12" s="73" t="s">
        <v>75</v>
      </c>
      <c r="O12" s="73" t="s">
        <v>75</v>
      </c>
      <c r="P12" s="73" t="s">
        <v>75</v>
      </c>
      <c r="Q12" s="110" t="s">
        <v>75</v>
      </c>
      <c r="R12" s="110" t="s">
        <v>75</v>
      </c>
      <c r="S12" s="110" t="s">
        <v>75</v>
      </c>
      <c r="T12" s="110" t="s">
        <v>75</v>
      </c>
      <c r="U12" s="72">
        <v>0.27500000000000002</v>
      </c>
      <c r="V12" s="73" t="s">
        <v>75</v>
      </c>
      <c r="W12" s="73" t="s">
        <v>75</v>
      </c>
      <c r="X12" s="73" t="s">
        <v>75</v>
      </c>
      <c r="Y12" s="73" t="s">
        <v>75</v>
      </c>
      <c r="Z12" s="72">
        <v>0.32900000000000001</v>
      </c>
      <c r="AA12" s="72">
        <v>0.45800000000000002</v>
      </c>
      <c r="AB12" s="72">
        <f t="shared" si="3"/>
        <v>0.26941176470588235</v>
      </c>
      <c r="AC12" s="72">
        <v>1.03</v>
      </c>
      <c r="AD12" s="72">
        <f t="shared" si="4"/>
        <v>0.60588235294117654</v>
      </c>
      <c r="AE12" s="72">
        <v>0.08</v>
      </c>
      <c r="AF12" s="72">
        <f t="shared" si="19"/>
        <v>9.7560975609756101E-2</v>
      </c>
      <c r="AG12" s="73" t="s">
        <v>75</v>
      </c>
      <c r="AH12" s="73" t="s">
        <v>75</v>
      </c>
      <c r="AI12" s="72">
        <v>9.1999999999999998E-2</v>
      </c>
      <c r="AJ12" s="72">
        <v>5.6000000000000001E-2</v>
      </c>
      <c r="AK12" s="72">
        <f t="shared" ref="AK12" si="21">AI12/AJ12</f>
        <v>1.6428571428571428</v>
      </c>
      <c r="AL12" s="72">
        <f t="shared" si="20"/>
        <v>1.1499999999999999</v>
      </c>
      <c r="AM12" s="73" t="s">
        <v>75</v>
      </c>
      <c r="AN12" s="72">
        <f t="shared" si="9"/>
        <v>0.11219512195121951</v>
      </c>
      <c r="AO12" s="72">
        <f t="shared" si="10"/>
        <v>0.46938775510204078</v>
      </c>
      <c r="AP12" s="72">
        <v>0.19600000000000001</v>
      </c>
      <c r="AQ12" s="72">
        <v>0.1</v>
      </c>
      <c r="AR12" s="72">
        <f t="shared" si="11"/>
        <v>0.11529411764705882</v>
      </c>
      <c r="AS12" s="72">
        <f t="shared" si="12"/>
        <v>1.96</v>
      </c>
      <c r="AT12" s="72">
        <f t="shared" si="13"/>
        <v>0.23902439024390246</v>
      </c>
      <c r="AU12" s="72">
        <v>9.5000000000000001E-2</v>
      </c>
      <c r="AV12" s="72">
        <v>8.5000000000000006E-2</v>
      </c>
      <c r="AW12" s="72">
        <f t="shared" si="14"/>
        <v>1.1176470588235294</v>
      </c>
      <c r="AX12" s="72">
        <f t="shared" si="15"/>
        <v>2.0631578947368423</v>
      </c>
      <c r="AY12" s="134" t="s">
        <v>75</v>
      </c>
      <c r="AZ12" s="134" t="s">
        <v>75</v>
      </c>
      <c r="BA12" s="134" t="s">
        <v>75</v>
      </c>
      <c r="BB12" s="134" t="s">
        <v>75</v>
      </c>
      <c r="BC12" s="247" t="s">
        <v>75</v>
      </c>
    </row>
    <row r="13" spans="2:55" ht="12.75" customHeight="1" x14ac:dyDescent="0.2">
      <c r="B13" s="240">
        <v>23925</v>
      </c>
      <c r="C13" s="76" t="s">
        <v>265</v>
      </c>
      <c r="D13" s="77" t="s">
        <v>269</v>
      </c>
      <c r="E13" s="77" t="s">
        <v>268</v>
      </c>
      <c r="F13" s="78">
        <v>1.3</v>
      </c>
      <c r="G13" s="114" t="s">
        <v>75</v>
      </c>
      <c r="H13" s="114" t="s">
        <v>75</v>
      </c>
      <c r="I13" s="78">
        <v>8.6999999999999994E-2</v>
      </c>
      <c r="J13" s="78">
        <v>4.2999999999999997E-2</v>
      </c>
      <c r="K13" s="78">
        <v>0.81699999999999995</v>
      </c>
      <c r="L13" s="79" t="s">
        <v>75</v>
      </c>
      <c r="M13" s="79" t="s">
        <v>75</v>
      </c>
      <c r="N13" s="79" t="s">
        <v>75</v>
      </c>
      <c r="O13" s="79" t="s">
        <v>75</v>
      </c>
      <c r="P13" s="79" t="s">
        <v>75</v>
      </c>
      <c r="Q13" s="114" t="s">
        <v>75</v>
      </c>
      <c r="R13" s="114" t="s">
        <v>75</v>
      </c>
      <c r="S13" s="114" t="s">
        <v>75</v>
      </c>
      <c r="T13" s="114" t="s">
        <v>75</v>
      </c>
      <c r="U13" s="78">
        <v>0.28699999999999998</v>
      </c>
      <c r="V13" s="79" t="s">
        <v>75</v>
      </c>
      <c r="W13" s="78">
        <v>0.53200000000000003</v>
      </c>
      <c r="X13" s="78">
        <v>0.1</v>
      </c>
      <c r="Y13" s="78">
        <f t="shared" ref="Y13:Y21" si="22">W:W/X:X</f>
        <v>5.32</v>
      </c>
      <c r="Z13" s="78">
        <v>0.317</v>
      </c>
      <c r="AA13" s="78">
        <v>0.45300000000000001</v>
      </c>
      <c r="AB13" s="78">
        <f t="shared" si="3"/>
        <v>0.34846153846153843</v>
      </c>
      <c r="AC13" s="78">
        <v>0.96</v>
      </c>
      <c r="AD13" s="78">
        <f t="shared" si="4"/>
        <v>0.73846153846153839</v>
      </c>
      <c r="AE13" s="78">
        <v>8.5000000000000006E-2</v>
      </c>
      <c r="AF13" s="78">
        <f t="shared" si="19"/>
        <v>0.10403916768665852</v>
      </c>
      <c r="AG13" s="79" t="s">
        <v>75</v>
      </c>
      <c r="AH13" s="79" t="s">
        <v>75</v>
      </c>
      <c r="AI13" s="78">
        <v>8.4000000000000005E-2</v>
      </c>
      <c r="AJ13" s="78">
        <v>5.2999999999999999E-2</v>
      </c>
      <c r="AK13" s="78">
        <f t="shared" si="16"/>
        <v>1.5849056603773586</v>
      </c>
      <c r="AL13" s="78">
        <f t="shared" si="20"/>
        <v>0.9882352941176471</v>
      </c>
      <c r="AM13" s="79" t="s">
        <v>75</v>
      </c>
      <c r="AN13" s="78">
        <f t="shared" si="9"/>
        <v>0.10281517747858018</v>
      </c>
      <c r="AO13" s="78">
        <f t="shared" si="10"/>
        <v>0.56000000000000005</v>
      </c>
      <c r="AP13" s="78">
        <v>0.15</v>
      </c>
      <c r="AQ13" s="78">
        <v>0.11700000000000001</v>
      </c>
      <c r="AR13" s="78">
        <f t="shared" si="11"/>
        <v>0.11538461538461538</v>
      </c>
      <c r="AS13" s="78">
        <f t="shared" si="12"/>
        <v>1.2820512820512819</v>
      </c>
      <c r="AT13" s="78">
        <f t="shared" si="13"/>
        <v>0.18359853121175032</v>
      </c>
      <c r="AU13" s="78">
        <v>7.8E-2</v>
      </c>
      <c r="AV13" s="78">
        <v>0.10100000000000001</v>
      </c>
      <c r="AW13" s="78">
        <f t="shared" si="14"/>
        <v>0.77227722772277219</v>
      </c>
      <c r="AX13" s="78">
        <f t="shared" si="15"/>
        <v>1.9230769230769229</v>
      </c>
      <c r="AY13" s="137">
        <v>5</v>
      </c>
      <c r="AZ13" s="137">
        <v>11</v>
      </c>
      <c r="BA13" s="137">
        <v>7</v>
      </c>
      <c r="BB13" s="135" t="s">
        <v>75</v>
      </c>
      <c r="BC13" s="145">
        <v>7</v>
      </c>
    </row>
    <row r="14" spans="2:55" ht="12.75" customHeight="1" x14ac:dyDescent="0.2">
      <c r="B14" s="238"/>
      <c r="C14" s="77"/>
      <c r="D14" s="77"/>
      <c r="E14" s="77"/>
      <c r="F14" s="78">
        <v>1.3</v>
      </c>
      <c r="G14" s="114" t="s">
        <v>75</v>
      </c>
      <c r="H14" s="114" t="s">
        <v>75</v>
      </c>
      <c r="I14" s="78">
        <v>8.8999999999999996E-2</v>
      </c>
      <c r="J14" s="78">
        <v>4.7E-2</v>
      </c>
      <c r="K14" s="78">
        <v>0.81899999999999995</v>
      </c>
      <c r="L14" s="79" t="s">
        <v>75</v>
      </c>
      <c r="M14" s="79" t="s">
        <v>75</v>
      </c>
      <c r="N14" s="79" t="s">
        <v>75</v>
      </c>
      <c r="O14" s="79" t="s">
        <v>75</v>
      </c>
      <c r="P14" s="79" t="s">
        <v>75</v>
      </c>
      <c r="Q14" s="114" t="s">
        <v>75</v>
      </c>
      <c r="R14" s="114" t="s">
        <v>75</v>
      </c>
      <c r="S14" s="114" t="s">
        <v>75</v>
      </c>
      <c r="T14" s="114" t="s">
        <v>75</v>
      </c>
      <c r="U14" s="78">
        <v>0.28699999999999998</v>
      </c>
      <c r="V14" s="79" t="s">
        <v>75</v>
      </c>
      <c r="W14" s="78">
        <v>0.54200000000000004</v>
      </c>
      <c r="X14" s="78">
        <v>9.1999999999999998E-2</v>
      </c>
      <c r="Y14" s="78">
        <f t="shared" si="22"/>
        <v>5.8913043478260878</v>
      </c>
      <c r="Z14" s="78">
        <v>0.31900000000000001</v>
      </c>
      <c r="AA14" s="78">
        <v>0.44900000000000001</v>
      </c>
      <c r="AB14" s="78">
        <f t="shared" si="3"/>
        <v>0.3453846153846154</v>
      </c>
      <c r="AC14" s="78">
        <v>0.97</v>
      </c>
      <c r="AD14" s="78">
        <f t="shared" si="4"/>
        <v>0.74615384615384606</v>
      </c>
      <c r="AE14" s="78">
        <v>8.7999999999999995E-2</v>
      </c>
      <c r="AF14" s="78">
        <f t="shared" si="19"/>
        <v>0.10744810744810745</v>
      </c>
      <c r="AG14" s="79" t="s">
        <v>75</v>
      </c>
      <c r="AH14" s="79" t="s">
        <v>75</v>
      </c>
      <c r="AI14" s="78">
        <v>8.4000000000000005E-2</v>
      </c>
      <c r="AJ14" s="78">
        <v>5.2999999999999999E-2</v>
      </c>
      <c r="AK14" s="78">
        <f t="shared" ref="AK14" si="23">AI14/AJ14</f>
        <v>1.5849056603773586</v>
      </c>
      <c r="AL14" s="78">
        <f t="shared" si="20"/>
        <v>0.9545454545454547</v>
      </c>
      <c r="AM14" s="79" t="s">
        <v>75</v>
      </c>
      <c r="AN14" s="78">
        <f t="shared" si="9"/>
        <v>0.10256410256410257</v>
      </c>
      <c r="AO14" s="78">
        <f t="shared" si="10"/>
        <v>0.60431654676258995</v>
      </c>
      <c r="AP14" s="78">
        <v>0.13900000000000001</v>
      </c>
      <c r="AQ14" s="78">
        <v>0.109</v>
      </c>
      <c r="AR14" s="78">
        <f t="shared" si="11"/>
        <v>0.10692307692307693</v>
      </c>
      <c r="AS14" s="78">
        <f t="shared" si="12"/>
        <v>1.2752293577981653</v>
      </c>
      <c r="AT14" s="78">
        <f t="shared" si="13"/>
        <v>0.16971916971916975</v>
      </c>
      <c r="AU14" s="78">
        <v>7.8E-2</v>
      </c>
      <c r="AV14" s="78">
        <v>0.10100000000000001</v>
      </c>
      <c r="AW14" s="78">
        <f t="shared" si="14"/>
        <v>0.77227722772277219</v>
      </c>
      <c r="AX14" s="78">
        <f t="shared" si="15"/>
        <v>1.7820512820512822</v>
      </c>
      <c r="AY14" s="135" t="s">
        <v>75</v>
      </c>
      <c r="AZ14" s="137">
        <v>13</v>
      </c>
      <c r="BA14" s="135" t="s">
        <v>75</v>
      </c>
      <c r="BB14" s="135" t="s">
        <v>75</v>
      </c>
      <c r="BC14" s="242" t="s">
        <v>75</v>
      </c>
    </row>
    <row r="15" spans="2:55" ht="12.75" customHeight="1" x14ac:dyDescent="0.2">
      <c r="B15" s="207">
        <v>23925</v>
      </c>
      <c r="C15" s="70" t="s">
        <v>265</v>
      </c>
      <c r="D15" s="71" t="s">
        <v>269</v>
      </c>
      <c r="E15" s="71" t="s">
        <v>268</v>
      </c>
      <c r="F15" s="82">
        <v>1.7</v>
      </c>
      <c r="G15" s="110" t="s">
        <v>75</v>
      </c>
      <c r="H15" s="110" t="s">
        <v>75</v>
      </c>
      <c r="I15" s="72">
        <v>8.5999999999999993E-2</v>
      </c>
      <c r="J15" s="72">
        <v>4.7E-2</v>
      </c>
      <c r="K15" s="72">
        <v>0.82299999999999995</v>
      </c>
      <c r="L15" s="72">
        <v>0.59</v>
      </c>
      <c r="M15" s="72">
        <v>0.63</v>
      </c>
      <c r="N15" s="72">
        <v>0.104</v>
      </c>
      <c r="O15" s="73" t="s">
        <v>75</v>
      </c>
      <c r="P15" s="73" t="s">
        <v>75</v>
      </c>
      <c r="Q15" s="110" t="s">
        <v>75</v>
      </c>
      <c r="R15" s="82">
        <f t="shared" ref="R15:R24" si="24">M15/K15</f>
        <v>0.76549210206561369</v>
      </c>
      <c r="S15" s="82">
        <f t="shared" ref="S15:S24" si="25">L15/K15</f>
        <v>0.71688942891859053</v>
      </c>
      <c r="T15" s="110" t="s">
        <v>75</v>
      </c>
      <c r="U15" s="72">
        <v>0.26</v>
      </c>
      <c r="V15" s="73" t="s">
        <v>75</v>
      </c>
      <c r="W15" s="72">
        <v>0.52600000000000002</v>
      </c>
      <c r="X15" s="72">
        <v>9.8000000000000004E-2</v>
      </c>
      <c r="Y15" s="72">
        <f t="shared" si="22"/>
        <v>5.3673469387755102</v>
      </c>
      <c r="Z15" s="72">
        <v>0.33200000000000002</v>
      </c>
      <c r="AA15" s="72">
        <v>0.441</v>
      </c>
      <c r="AB15" s="72">
        <f t="shared" si="3"/>
        <v>0.25941176470588234</v>
      </c>
      <c r="AC15" s="72">
        <v>0.91700000000000004</v>
      </c>
      <c r="AD15" s="72">
        <f t="shared" si="4"/>
        <v>0.53941176470588237</v>
      </c>
      <c r="AE15" s="72">
        <v>0.09</v>
      </c>
      <c r="AF15" s="72">
        <f t="shared" si="19"/>
        <v>0.10935601458080195</v>
      </c>
      <c r="AG15" s="73" t="s">
        <v>75</v>
      </c>
      <c r="AH15" s="72">
        <f>AE15/N15</f>
        <v>0.86538461538461542</v>
      </c>
      <c r="AI15" s="72">
        <v>8.5000000000000006E-2</v>
      </c>
      <c r="AJ15" s="72">
        <v>5.8000000000000003E-2</v>
      </c>
      <c r="AK15" s="72">
        <f t="shared" si="16"/>
        <v>1.4655172413793103</v>
      </c>
      <c r="AL15" s="72">
        <f t="shared" si="20"/>
        <v>0.94444444444444453</v>
      </c>
      <c r="AM15" s="72">
        <f t="shared" ref="AM15:AM16" si="26">AI15/N15</f>
        <v>0.8173076923076924</v>
      </c>
      <c r="AN15" s="72">
        <f t="shared" si="9"/>
        <v>0.10328068043742407</v>
      </c>
      <c r="AO15" s="72">
        <f t="shared" si="10"/>
        <v>0.55921052631578949</v>
      </c>
      <c r="AP15" s="72">
        <v>0.152</v>
      </c>
      <c r="AQ15" s="72">
        <v>0.105</v>
      </c>
      <c r="AR15" s="72">
        <f t="shared" si="11"/>
        <v>8.9411764705882357E-2</v>
      </c>
      <c r="AS15" s="72">
        <f t="shared" si="12"/>
        <v>1.4476190476190476</v>
      </c>
      <c r="AT15" s="72">
        <f t="shared" si="13"/>
        <v>0.18469015795868773</v>
      </c>
      <c r="AU15" s="72">
        <v>9.2999999999999999E-2</v>
      </c>
      <c r="AV15" s="72">
        <v>0.107</v>
      </c>
      <c r="AW15" s="72">
        <f t="shared" si="14"/>
        <v>0.86915887850467288</v>
      </c>
      <c r="AX15" s="72">
        <f t="shared" si="15"/>
        <v>1.6344086021505375</v>
      </c>
      <c r="AY15" s="136">
        <v>5</v>
      </c>
      <c r="AZ15" s="136">
        <v>11</v>
      </c>
      <c r="BA15" s="136">
        <v>8</v>
      </c>
      <c r="BB15" s="136">
        <v>5</v>
      </c>
      <c r="BC15" s="143">
        <v>6</v>
      </c>
    </row>
    <row r="16" spans="2:55" ht="12.75" customHeight="1" x14ac:dyDescent="0.2">
      <c r="B16" s="246"/>
      <c r="C16" s="71"/>
      <c r="D16" s="71"/>
      <c r="E16" s="71"/>
      <c r="F16" s="82">
        <v>1.7</v>
      </c>
      <c r="G16" s="110" t="s">
        <v>75</v>
      </c>
      <c r="H16" s="110" t="s">
        <v>75</v>
      </c>
      <c r="I16" s="72">
        <v>8.2000000000000003E-2</v>
      </c>
      <c r="J16" s="72">
        <v>0.05</v>
      </c>
      <c r="K16" s="72">
        <v>0.83799999999999997</v>
      </c>
      <c r="L16" s="72">
        <v>0.55000000000000004</v>
      </c>
      <c r="M16" s="72">
        <v>0.57999999999999996</v>
      </c>
      <c r="N16" s="72">
        <v>0.112</v>
      </c>
      <c r="O16" s="73" t="s">
        <v>75</v>
      </c>
      <c r="P16" s="73" t="s">
        <v>75</v>
      </c>
      <c r="Q16" s="110" t="s">
        <v>75</v>
      </c>
      <c r="R16" s="82">
        <f t="shared" si="24"/>
        <v>0.69212410501193311</v>
      </c>
      <c r="S16" s="82">
        <f t="shared" si="25"/>
        <v>0.65632458233890223</v>
      </c>
      <c r="T16" s="110" t="s">
        <v>75</v>
      </c>
      <c r="U16" s="72">
        <v>0.26</v>
      </c>
      <c r="V16" s="73" t="s">
        <v>75</v>
      </c>
      <c r="W16" s="72">
        <v>0.51600000000000001</v>
      </c>
      <c r="X16" s="72">
        <v>8.7999999999999995E-2</v>
      </c>
      <c r="Y16" s="72">
        <f t="shared" si="22"/>
        <v>5.8636363636363642</v>
      </c>
      <c r="Z16" s="72">
        <v>0.33400000000000002</v>
      </c>
      <c r="AA16" s="72">
        <v>0.443</v>
      </c>
      <c r="AB16" s="72">
        <f t="shared" si="3"/>
        <v>0.26058823529411768</v>
      </c>
      <c r="AC16" s="72">
        <v>0.92900000000000005</v>
      </c>
      <c r="AD16" s="72">
        <f t="shared" si="4"/>
        <v>0.54647058823529415</v>
      </c>
      <c r="AE16" s="72">
        <v>0.08</v>
      </c>
      <c r="AF16" s="72">
        <f t="shared" si="19"/>
        <v>9.5465393794749415E-2</v>
      </c>
      <c r="AG16" s="73" t="s">
        <v>75</v>
      </c>
      <c r="AH16" s="72">
        <f>AE16/N16</f>
        <v>0.7142857142857143</v>
      </c>
      <c r="AI16" s="72">
        <v>8.5000000000000006E-2</v>
      </c>
      <c r="AJ16" s="72">
        <v>5.8000000000000003E-2</v>
      </c>
      <c r="AK16" s="72">
        <f t="shared" ref="AK16" si="27">AI16/AJ16</f>
        <v>1.4655172413793103</v>
      </c>
      <c r="AL16" s="72">
        <f t="shared" si="20"/>
        <v>1.0625</v>
      </c>
      <c r="AM16" s="72">
        <f t="shared" si="26"/>
        <v>0.75892857142857151</v>
      </c>
      <c r="AN16" s="72">
        <f t="shared" si="9"/>
        <v>0.10143198090692125</v>
      </c>
      <c r="AO16" s="72">
        <f t="shared" si="10"/>
        <v>0.53125</v>
      </c>
      <c r="AP16" s="72">
        <v>0.16</v>
      </c>
      <c r="AQ16" s="72">
        <v>8.1000000000000003E-2</v>
      </c>
      <c r="AR16" s="72">
        <f t="shared" si="11"/>
        <v>9.4117647058823528E-2</v>
      </c>
      <c r="AS16" s="72">
        <f t="shared" si="12"/>
        <v>1.9753086419753085</v>
      </c>
      <c r="AT16" s="72">
        <f t="shared" si="13"/>
        <v>0.19093078758949883</v>
      </c>
      <c r="AU16" s="72">
        <v>9.2999999999999999E-2</v>
      </c>
      <c r="AV16" s="72">
        <v>0.107</v>
      </c>
      <c r="AW16" s="72">
        <f t="shared" si="14"/>
        <v>0.86915887850467288</v>
      </c>
      <c r="AX16" s="72">
        <f t="shared" si="15"/>
        <v>1.7204301075268817</v>
      </c>
      <c r="AY16" s="134" t="s">
        <v>75</v>
      </c>
      <c r="AZ16" s="136">
        <v>12</v>
      </c>
      <c r="BA16" s="134" t="s">
        <v>75</v>
      </c>
      <c r="BB16" s="134" t="s">
        <v>75</v>
      </c>
      <c r="BC16" s="247" t="s">
        <v>75</v>
      </c>
    </row>
    <row r="17" spans="2:55" ht="12.75" customHeight="1" x14ac:dyDescent="0.2">
      <c r="B17" s="240">
        <v>23925</v>
      </c>
      <c r="C17" s="76" t="s">
        <v>265</v>
      </c>
      <c r="D17" s="77" t="s">
        <v>269</v>
      </c>
      <c r="E17" s="77" t="s">
        <v>268</v>
      </c>
      <c r="F17" s="78">
        <v>1.43</v>
      </c>
      <c r="G17" s="114" t="s">
        <v>75</v>
      </c>
      <c r="H17" s="114" t="s">
        <v>75</v>
      </c>
      <c r="I17" s="78">
        <v>8.4000000000000005E-2</v>
      </c>
      <c r="J17" s="78">
        <v>4.7E-2</v>
      </c>
      <c r="K17" s="78">
        <v>0.82799999999999996</v>
      </c>
      <c r="L17" s="78">
        <v>0.59699999999999998</v>
      </c>
      <c r="M17" s="79" t="s">
        <v>75</v>
      </c>
      <c r="N17" s="79" t="s">
        <v>75</v>
      </c>
      <c r="O17" s="79" t="s">
        <v>75</v>
      </c>
      <c r="P17" s="79" t="s">
        <v>75</v>
      </c>
      <c r="Q17" s="114" t="s">
        <v>75</v>
      </c>
      <c r="R17" s="114" t="s">
        <v>75</v>
      </c>
      <c r="S17" s="80">
        <f t="shared" si="25"/>
        <v>0.72101449275362317</v>
      </c>
      <c r="T17" s="114" t="s">
        <v>75</v>
      </c>
      <c r="U17" s="78">
        <v>0.27700000000000002</v>
      </c>
      <c r="V17" s="79" t="s">
        <v>75</v>
      </c>
      <c r="W17" s="78">
        <v>0.48499999999999999</v>
      </c>
      <c r="X17" s="78">
        <v>0.1</v>
      </c>
      <c r="Y17" s="78">
        <f t="shared" si="22"/>
        <v>4.8499999999999996</v>
      </c>
      <c r="Z17" s="78">
        <v>0.312</v>
      </c>
      <c r="AA17" s="78">
        <v>0.42599999999999999</v>
      </c>
      <c r="AB17" s="78">
        <f t="shared" si="3"/>
        <v>0.29790209790209793</v>
      </c>
      <c r="AC17" s="78">
        <v>0.94699999999999995</v>
      </c>
      <c r="AD17" s="78">
        <f t="shared" si="4"/>
        <v>0.66223776223776221</v>
      </c>
      <c r="AE17" s="78">
        <v>8.1000000000000003E-2</v>
      </c>
      <c r="AF17" s="78">
        <f t="shared" si="19"/>
        <v>9.7826086956521743E-2</v>
      </c>
      <c r="AG17" s="79" t="s">
        <v>75</v>
      </c>
      <c r="AH17" s="79" t="s">
        <v>75</v>
      </c>
      <c r="AI17" s="78">
        <v>0.09</v>
      </c>
      <c r="AJ17" s="78">
        <v>4.9000000000000002E-2</v>
      </c>
      <c r="AK17" s="78">
        <f t="shared" si="16"/>
        <v>1.8367346938775508</v>
      </c>
      <c r="AL17" s="78">
        <f t="shared" si="20"/>
        <v>1.1111111111111109</v>
      </c>
      <c r="AM17" s="79" t="s">
        <v>75</v>
      </c>
      <c r="AN17" s="78">
        <f t="shared" si="9"/>
        <v>0.10869565217391304</v>
      </c>
      <c r="AO17" s="78">
        <f t="shared" si="10"/>
        <v>0.52941176470588225</v>
      </c>
      <c r="AP17" s="78">
        <v>0.17</v>
      </c>
      <c r="AQ17" s="78">
        <v>0.13100000000000001</v>
      </c>
      <c r="AR17" s="78">
        <f t="shared" si="11"/>
        <v>0.11888111888111889</v>
      </c>
      <c r="AS17" s="78">
        <f t="shared" si="12"/>
        <v>1.2977099236641221</v>
      </c>
      <c r="AT17" s="78">
        <f t="shared" si="13"/>
        <v>0.20531400966183577</v>
      </c>
      <c r="AU17" s="78">
        <v>8.2000000000000003E-2</v>
      </c>
      <c r="AV17" s="78">
        <v>0.10199999999999999</v>
      </c>
      <c r="AW17" s="78">
        <f t="shared" si="14"/>
        <v>0.80392156862745101</v>
      </c>
      <c r="AX17" s="78">
        <f t="shared" si="15"/>
        <v>2.0731707317073171</v>
      </c>
      <c r="AY17" s="137">
        <v>5</v>
      </c>
      <c r="AZ17" s="137">
        <v>9</v>
      </c>
      <c r="BA17" s="137">
        <v>8</v>
      </c>
      <c r="BB17" s="137">
        <v>5</v>
      </c>
      <c r="BC17" s="145">
        <v>6</v>
      </c>
    </row>
    <row r="18" spans="2:55" ht="12.75" customHeight="1" x14ac:dyDescent="0.2">
      <c r="B18" s="238"/>
      <c r="C18" s="77"/>
      <c r="D18" s="77"/>
      <c r="E18" s="77"/>
      <c r="F18" s="78">
        <v>1.43</v>
      </c>
      <c r="G18" s="114" t="s">
        <v>75</v>
      </c>
      <c r="H18" s="114" t="s">
        <v>75</v>
      </c>
      <c r="I18" s="78">
        <v>7.4999999999999997E-2</v>
      </c>
      <c r="J18" s="78">
        <v>4.8000000000000001E-2</v>
      </c>
      <c r="K18" s="78">
        <v>0.84699999999999998</v>
      </c>
      <c r="L18" s="79" t="s">
        <v>75</v>
      </c>
      <c r="M18" s="79" t="s">
        <v>75</v>
      </c>
      <c r="N18" s="79" t="s">
        <v>75</v>
      </c>
      <c r="O18" s="79" t="s">
        <v>75</v>
      </c>
      <c r="P18" s="79" t="s">
        <v>75</v>
      </c>
      <c r="Q18" s="114" t="s">
        <v>75</v>
      </c>
      <c r="R18" s="114" t="s">
        <v>75</v>
      </c>
      <c r="S18" s="114" t="s">
        <v>75</v>
      </c>
      <c r="T18" s="114" t="s">
        <v>75</v>
      </c>
      <c r="U18" s="78">
        <v>0.27700000000000002</v>
      </c>
      <c r="V18" s="79" t="s">
        <v>75</v>
      </c>
      <c r="W18" s="78">
        <v>0.50900000000000001</v>
      </c>
      <c r="X18" s="78">
        <v>0.106</v>
      </c>
      <c r="Y18" s="78">
        <f t="shared" si="22"/>
        <v>4.8018867924528301</v>
      </c>
      <c r="Z18" s="78">
        <v>0.312</v>
      </c>
      <c r="AA18" s="78">
        <v>0.42399999999999999</v>
      </c>
      <c r="AB18" s="78">
        <f t="shared" si="3"/>
        <v>0.2965034965034965</v>
      </c>
      <c r="AC18" s="78">
        <v>0.95499999999999996</v>
      </c>
      <c r="AD18" s="78">
        <f t="shared" si="4"/>
        <v>0.66783216783216781</v>
      </c>
      <c r="AE18" s="78">
        <v>8.7999999999999995E-2</v>
      </c>
      <c r="AF18" s="78">
        <f t="shared" si="19"/>
        <v>0.10389610389610389</v>
      </c>
      <c r="AG18" s="79" t="s">
        <v>75</v>
      </c>
      <c r="AH18" s="79" t="s">
        <v>75</v>
      </c>
      <c r="AI18" s="78">
        <v>0.09</v>
      </c>
      <c r="AJ18" s="78">
        <v>4.9000000000000002E-2</v>
      </c>
      <c r="AK18" s="78">
        <f t="shared" ref="AK18" si="28">AI18/AJ18</f>
        <v>1.8367346938775508</v>
      </c>
      <c r="AL18" s="78">
        <f t="shared" si="20"/>
        <v>1.0227272727272727</v>
      </c>
      <c r="AM18" s="79" t="s">
        <v>75</v>
      </c>
      <c r="AN18" s="78">
        <f t="shared" si="9"/>
        <v>0.10625737898465171</v>
      </c>
      <c r="AO18" s="78">
        <f t="shared" si="10"/>
        <v>0.5625</v>
      </c>
      <c r="AP18" s="78">
        <v>0.16</v>
      </c>
      <c r="AQ18" s="78">
        <v>9.4E-2</v>
      </c>
      <c r="AR18" s="78">
        <f t="shared" si="11"/>
        <v>0.1118881118881119</v>
      </c>
      <c r="AS18" s="78">
        <f t="shared" si="12"/>
        <v>1.7021276595744681</v>
      </c>
      <c r="AT18" s="78">
        <f t="shared" si="13"/>
        <v>0.18890200708382526</v>
      </c>
      <c r="AU18" s="78">
        <v>8.2000000000000003E-2</v>
      </c>
      <c r="AV18" s="78">
        <v>0.10199999999999999</v>
      </c>
      <c r="AW18" s="78">
        <f t="shared" si="14"/>
        <v>0.80392156862745101</v>
      </c>
      <c r="AX18" s="78">
        <f t="shared" si="15"/>
        <v>1.9512195121951219</v>
      </c>
      <c r="AY18" s="135" t="s">
        <v>75</v>
      </c>
      <c r="AZ18" s="135" t="s">
        <v>75</v>
      </c>
      <c r="BA18" s="135" t="s">
        <v>75</v>
      </c>
      <c r="BB18" s="135" t="s">
        <v>75</v>
      </c>
      <c r="BC18" s="242" t="s">
        <v>75</v>
      </c>
    </row>
    <row r="19" spans="2:55" ht="12.75" customHeight="1" x14ac:dyDescent="0.2">
      <c r="B19" s="207">
        <v>23925</v>
      </c>
      <c r="C19" s="70" t="s">
        <v>265</v>
      </c>
      <c r="D19" s="71" t="s">
        <v>33</v>
      </c>
      <c r="E19" s="71" t="s">
        <v>268</v>
      </c>
      <c r="F19" s="72">
        <v>1.53</v>
      </c>
      <c r="G19" s="110" t="s">
        <v>75</v>
      </c>
      <c r="H19" s="110" t="s">
        <v>75</v>
      </c>
      <c r="I19" s="72">
        <v>7.8E-2</v>
      </c>
      <c r="J19" s="72">
        <v>0.04</v>
      </c>
      <c r="K19" s="72">
        <v>0.77700000000000002</v>
      </c>
      <c r="L19" s="73" t="s">
        <v>75</v>
      </c>
      <c r="M19" s="73" t="s">
        <v>75</v>
      </c>
      <c r="N19" s="73" t="s">
        <v>75</v>
      </c>
      <c r="O19" s="73" t="s">
        <v>75</v>
      </c>
      <c r="P19" s="73" t="s">
        <v>75</v>
      </c>
      <c r="Q19" s="110" t="s">
        <v>75</v>
      </c>
      <c r="R19" s="110" t="s">
        <v>75</v>
      </c>
      <c r="S19" s="110" t="s">
        <v>75</v>
      </c>
      <c r="T19" s="110" t="s">
        <v>75</v>
      </c>
      <c r="U19" s="72">
        <v>0.27</v>
      </c>
      <c r="V19" s="73" t="s">
        <v>75</v>
      </c>
      <c r="W19" s="72">
        <v>0.52900000000000003</v>
      </c>
      <c r="X19" s="72">
        <v>0.1</v>
      </c>
      <c r="Y19" s="72">
        <f t="shared" si="22"/>
        <v>5.29</v>
      </c>
      <c r="Z19" s="72">
        <v>0.33</v>
      </c>
      <c r="AA19" s="72">
        <v>0.46899999999999997</v>
      </c>
      <c r="AB19" s="72">
        <f t="shared" si="3"/>
        <v>0.30653594771241827</v>
      </c>
      <c r="AC19" s="72">
        <v>0.96299999999999997</v>
      </c>
      <c r="AD19" s="72">
        <f t="shared" si="4"/>
        <v>0.62941176470588234</v>
      </c>
      <c r="AE19" s="72">
        <v>9.4E-2</v>
      </c>
      <c r="AF19" s="72">
        <f t="shared" si="19"/>
        <v>0.12097812097812098</v>
      </c>
      <c r="AG19" s="73" t="s">
        <v>75</v>
      </c>
      <c r="AH19" s="73" t="s">
        <v>75</v>
      </c>
      <c r="AI19" s="72">
        <v>0.09</v>
      </c>
      <c r="AJ19" s="72">
        <v>5.3999999999999999E-2</v>
      </c>
      <c r="AK19" s="72">
        <f t="shared" si="16"/>
        <v>1.6666666666666665</v>
      </c>
      <c r="AL19" s="72">
        <f t="shared" si="20"/>
        <v>0.95744680851063824</v>
      </c>
      <c r="AM19" s="73" t="s">
        <v>75</v>
      </c>
      <c r="AN19" s="72">
        <f t="shared" si="9"/>
        <v>0.11583011583011582</v>
      </c>
      <c r="AO19" s="72">
        <f t="shared" si="10"/>
        <v>0.62068965517241381</v>
      </c>
      <c r="AP19" s="72">
        <v>0.14499999999999999</v>
      </c>
      <c r="AQ19" s="72">
        <v>0.105</v>
      </c>
      <c r="AR19" s="72">
        <f t="shared" si="11"/>
        <v>9.4771241830065356E-2</v>
      </c>
      <c r="AS19" s="72">
        <f t="shared" si="12"/>
        <v>1.3809523809523809</v>
      </c>
      <c r="AT19" s="72">
        <f t="shared" si="13"/>
        <v>0.18661518661518658</v>
      </c>
      <c r="AU19" s="72">
        <v>9.6000000000000002E-2</v>
      </c>
      <c r="AV19" s="72">
        <v>0.10199999999999999</v>
      </c>
      <c r="AW19" s="72">
        <f t="shared" si="14"/>
        <v>0.94117647058823539</v>
      </c>
      <c r="AX19" s="73" t="s">
        <v>75</v>
      </c>
      <c r="AY19" s="136">
        <v>5</v>
      </c>
      <c r="AZ19" s="136">
        <v>11</v>
      </c>
      <c r="BA19" s="136">
        <v>8</v>
      </c>
      <c r="BB19" s="136">
        <v>7</v>
      </c>
      <c r="BC19" s="143">
        <v>6</v>
      </c>
    </row>
    <row r="20" spans="2:55" ht="12.75" customHeight="1" x14ac:dyDescent="0.2">
      <c r="B20" s="246"/>
      <c r="C20" s="71"/>
      <c r="D20" s="71"/>
      <c r="E20" s="71"/>
      <c r="F20" s="72">
        <v>1.53</v>
      </c>
      <c r="G20" s="110" t="s">
        <v>75</v>
      </c>
      <c r="H20" s="110" t="s">
        <v>75</v>
      </c>
      <c r="I20" s="72">
        <v>8.1000000000000003E-2</v>
      </c>
      <c r="J20" s="72">
        <v>0.04</v>
      </c>
      <c r="K20" s="72">
        <v>0.78400000000000003</v>
      </c>
      <c r="L20" s="73" t="s">
        <v>75</v>
      </c>
      <c r="M20" s="73" t="s">
        <v>75</v>
      </c>
      <c r="N20" s="73" t="s">
        <v>75</v>
      </c>
      <c r="O20" s="73" t="s">
        <v>75</v>
      </c>
      <c r="P20" s="73" t="s">
        <v>75</v>
      </c>
      <c r="Q20" s="110" t="s">
        <v>75</v>
      </c>
      <c r="R20" s="110" t="s">
        <v>75</v>
      </c>
      <c r="S20" s="110" t="s">
        <v>75</v>
      </c>
      <c r="T20" s="110" t="s">
        <v>75</v>
      </c>
      <c r="U20" s="72">
        <v>0.27</v>
      </c>
      <c r="V20" s="73" t="s">
        <v>75</v>
      </c>
      <c r="W20" s="72">
        <v>0.52800000000000002</v>
      </c>
      <c r="X20" s="72">
        <v>9.6000000000000002E-2</v>
      </c>
      <c r="Y20" s="72">
        <f t="shared" si="22"/>
        <v>5.5</v>
      </c>
      <c r="Z20" s="72">
        <v>0.30599999999999999</v>
      </c>
      <c r="AA20" s="72">
        <v>0.443</v>
      </c>
      <c r="AB20" s="73" t="s">
        <v>75</v>
      </c>
      <c r="AC20" s="72">
        <v>0.96299999999999997</v>
      </c>
      <c r="AD20" s="72">
        <f t="shared" ref="AD20:AD24" si="29">AC20/F20</f>
        <v>0.62941176470588234</v>
      </c>
      <c r="AE20" s="72">
        <v>9.5000000000000001E-2</v>
      </c>
      <c r="AF20" s="72">
        <f t="shared" si="19"/>
        <v>0.1211734693877551</v>
      </c>
      <c r="AG20" s="73" t="s">
        <v>75</v>
      </c>
      <c r="AH20" s="73" t="s">
        <v>75</v>
      </c>
      <c r="AI20" s="72">
        <v>0.09</v>
      </c>
      <c r="AJ20" s="72">
        <v>5.3999999999999999E-2</v>
      </c>
      <c r="AK20" s="72">
        <f t="shared" ref="AK20" si="30">AI20/AJ20</f>
        <v>1.6666666666666665</v>
      </c>
      <c r="AL20" s="72">
        <f t="shared" si="20"/>
        <v>0.94736842105263153</v>
      </c>
      <c r="AM20" s="73" t="s">
        <v>75</v>
      </c>
      <c r="AN20" s="72">
        <f t="shared" si="9"/>
        <v>0.11479591836734693</v>
      </c>
      <c r="AO20" s="72">
        <f t="shared" si="10"/>
        <v>0.6</v>
      </c>
      <c r="AP20" s="72">
        <v>0.15</v>
      </c>
      <c r="AQ20" s="72">
        <v>9.2999999999999999E-2</v>
      </c>
      <c r="AR20" s="72">
        <f t="shared" si="11"/>
        <v>9.8039215686274508E-2</v>
      </c>
      <c r="AS20" s="72">
        <f t="shared" si="12"/>
        <v>1.6129032258064515</v>
      </c>
      <c r="AT20" s="72">
        <f t="shared" si="13"/>
        <v>0.19132653061224489</v>
      </c>
      <c r="AU20" s="72">
        <v>9.6000000000000002E-2</v>
      </c>
      <c r="AV20" s="72">
        <v>0.10199999999999999</v>
      </c>
      <c r="AW20" s="72">
        <f t="shared" si="14"/>
        <v>0.94117647058823539</v>
      </c>
      <c r="AX20" s="73" t="s">
        <v>75</v>
      </c>
      <c r="AY20" s="134" t="s">
        <v>75</v>
      </c>
      <c r="AZ20" s="134" t="s">
        <v>75</v>
      </c>
      <c r="BA20" s="134" t="s">
        <v>75</v>
      </c>
      <c r="BB20" s="134" t="s">
        <v>75</v>
      </c>
      <c r="BC20" s="247" t="s">
        <v>75</v>
      </c>
    </row>
    <row r="21" spans="2:55" ht="12.75" customHeight="1" x14ac:dyDescent="0.2">
      <c r="B21" s="240">
        <v>23925</v>
      </c>
      <c r="C21" s="76" t="s">
        <v>265</v>
      </c>
      <c r="D21" s="77" t="s">
        <v>33</v>
      </c>
      <c r="E21" s="77" t="s">
        <v>268</v>
      </c>
      <c r="F21" s="78">
        <v>1.2889999999999999</v>
      </c>
      <c r="G21" s="80">
        <f t="shared" ref="G21:G24" si="31">I21+J21+K21+L21+M21+N21+O21</f>
        <v>3.593</v>
      </c>
      <c r="H21" s="80">
        <f t="shared" ref="H21:H24" si="32">G21/F21</f>
        <v>2.787432117920869</v>
      </c>
      <c r="I21" s="78">
        <v>9.0999999999999998E-2</v>
      </c>
      <c r="J21" s="78">
        <v>4.2999999999999997E-2</v>
      </c>
      <c r="K21" s="78">
        <v>0.73799999999999999</v>
      </c>
      <c r="L21" s="78">
        <v>0.54900000000000004</v>
      </c>
      <c r="M21" s="78">
        <v>0.61899999999999999</v>
      </c>
      <c r="N21" s="78">
        <v>0.124</v>
      </c>
      <c r="O21" s="78">
        <v>1.429</v>
      </c>
      <c r="P21" s="78">
        <f>N:N+O:O</f>
        <v>1.5529999999999999</v>
      </c>
      <c r="Q21" s="80">
        <f t="shared" ref="Q21:Q24" si="33">(N21+O21)/K21</f>
        <v>2.1043360433604335</v>
      </c>
      <c r="R21" s="80">
        <f t="shared" si="24"/>
        <v>0.83875338753387529</v>
      </c>
      <c r="S21" s="80">
        <f t="shared" si="25"/>
        <v>0.74390243902439035</v>
      </c>
      <c r="T21" s="80">
        <f t="shared" ref="T21:T24" si="34">O21/N21</f>
        <v>11.524193548387098</v>
      </c>
      <c r="U21" s="78">
        <v>0.28000000000000003</v>
      </c>
      <c r="V21" s="78">
        <f>G:G/U:U</f>
        <v>12.832142857142856</v>
      </c>
      <c r="W21" s="78">
        <v>0.50700000000000001</v>
      </c>
      <c r="X21" s="78">
        <v>9.6000000000000002E-2</v>
      </c>
      <c r="Y21" s="78">
        <f t="shared" si="22"/>
        <v>5.28125</v>
      </c>
      <c r="Z21" s="78">
        <v>0.30099999999999999</v>
      </c>
      <c r="AA21" s="78">
        <v>0.41199999999999998</v>
      </c>
      <c r="AB21" s="79" t="s">
        <v>75</v>
      </c>
      <c r="AC21" s="78">
        <v>0.9</v>
      </c>
      <c r="AD21" s="78">
        <f t="shared" si="29"/>
        <v>0.69821567106283944</v>
      </c>
      <c r="AE21" s="78">
        <v>8.5999999999999993E-2</v>
      </c>
      <c r="AF21" s="78">
        <f t="shared" si="19"/>
        <v>0.11653116531165311</v>
      </c>
      <c r="AG21" s="78">
        <f>AE:AE/P:P</f>
        <v>5.5376690276883446E-2</v>
      </c>
      <c r="AH21" s="78">
        <f t="shared" ref="AH21:AH24" si="35">AE21/N21</f>
        <v>0.69354838709677413</v>
      </c>
      <c r="AI21" s="78">
        <v>8.3000000000000004E-2</v>
      </c>
      <c r="AJ21" s="78">
        <v>5.5E-2</v>
      </c>
      <c r="AK21" s="78">
        <f t="shared" si="16"/>
        <v>1.5090909090909093</v>
      </c>
      <c r="AL21" s="78">
        <f t="shared" si="20"/>
        <v>0.9651162790697676</v>
      </c>
      <c r="AM21" s="78">
        <f>AI21/N21</f>
        <v>0.66935483870967749</v>
      </c>
      <c r="AN21" s="78">
        <f t="shared" si="9"/>
        <v>0.11246612466124661</v>
      </c>
      <c r="AO21" s="78">
        <f t="shared" si="10"/>
        <v>0.57638888888888895</v>
      </c>
      <c r="AP21" s="78">
        <v>0.14399999999999999</v>
      </c>
      <c r="AQ21" s="78">
        <v>0.106</v>
      </c>
      <c r="AR21" s="78">
        <f t="shared" si="11"/>
        <v>0.1117145073700543</v>
      </c>
      <c r="AS21" s="78">
        <f t="shared" si="12"/>
        <v>1.3584905660377358</v>
      </c>
      <c r="AT21" s="78">
        <f t="shared" si="13"/>
        <v>0.19512195121951217</v>
      </c>
      <c r="AU21" s="79" t="s">
        <v>75</v>
      </c>
      <c r="AV21" s="79" t="s">
        <v>75</v>
      </c>
      <c r="AW21" s="79" t="s">
        <v>75</v>
      </c>
      <c r="AX21" s="79" t="s">
        <v>75</v>
      </c>
      <c r="AY21" s="137">
        <v>5</v>
      </c>
      <c r="AZ21" s="137">
        <v>12</v>
      </c>
      <c r="BA21" s="135" t="s">
        <v>75</v>
      </c>
      <c r="BB21" s="135" t="s">
        <v>75</v>
      </c>
      <c r="BC21" s="145">
        <v>5</v>
      </c>
    </row>
    <row r="22" spans="2:55" ht="12.75" customHeight="1" x14ac:dyDescent="0.2">
      <c r="B22" s="238"/>
      <c r="C22" s="77"/>
      <c r="D22" s="77"/>
      <c r="E22" s="77"/>
      <c r="F22" s="78">
        <v>1.2889999999999999</v>
      </c>
      <c r="G22" s="114" t="s">
        <v>75</v>
      </c>
      <c r="H22" s="114" t="s">
        <v>75</v>
      </c>
      <c r="I22" s="78">
        <v>8.5999999999999993E-2</v>
      </c>
      <c r="J22" s="78">
        <v>0.04</v>
      </c>
      <c r="K22" s="79" t="s">
        <v>75</v>
      </c>
      <c r="L22" s="79" t="s">
        <v>75</v>
      </c>
      <c r="M22" s="79" t="s">
        <v>75</v>
      </c>
      <c r="N22" s="79" t="s">
        <v>75</v>
      </c>
      <c r="O22" s="79" t="s">
        <v>75</v>
      </c>
      <c r="P22" s="79" t="s">
        <v>75</v>
      </c>
      <c r="Q22" s="114" t="s">
        <v>75</v>
      </c>
      <c r="R22" s="114" t="s">
        <v>75</v>
      </c>
      <c r="S22" s="114" t="s">
        <v>75</v>
      </c>
      <c r="T22" s="114" t="s">
        <v>75</v>
      </c>
      <c r="U22" s="78">
        <v>0.28000000000000003</v>
      </c>
      <c r="V22" s="79" t="s">
        <v>75</v>
      </c>
      <c r="W22" s="79" t="s">
        <v>75</v>
      </c>
      <c r="X22" s="79" t="s">
        <v>75</v>
      </c>
      <c r="Y22" s="79" t="s">
        <v>75</v>
      </c>
      <c r="Z22" s="79" t="s">
        <v>75</v>
      </c>
      <c r="AA22" s="78">
        <v>0.41899999999999998</v>
      </c>
      <c r="AB22" s="79" t="s">
        <v>75</v>
      </c>
      <c r="AC22" s="78">
        <v>0.91400000000000003</v>
      </c>
      <c r="AD22" s="78">
        <f t="shared" si="29"/>
        <v>0.70907680372381698</v>
      </c>
      <c r="AE22" s="78">
        <v>9.2999999999999999E-2</v>
      </c>
      <c r="AF22" s="79" t="s">
        <v>75</v>
      </c>
      <c r="AG22" s="79" t="s">
        <v>75</v>
      </c>
      <c r="AH22" s="79" t="s">
        <v>75</v>
      </c>
      <c r="AI22" s="78">
        <v>8.3000000000000004E-2</v>
      </c>
      <c r="AJ22" s="78">
        <v>5.5E-2</v>
      </c>
      <c r="AK22" s="78">
        <f t="shared" ref="AK22" si="36">AI22/AJ22</f>
        <v>1.5090909090909093</v>
      </c>
      <c r="AL22" s="78">
        <f t="shared" si="20"/>
        <v>0.89247311827956999</v>
      </c>
      <c r="AM22" s="79" t="s">
        <v>75</v>
      </c>
      <c r="AN22" s="79" t="s">
        <v>75</v>
      </c>
      <c r="AO22" s="78">
        <f t="shared" si="10"/>
        <v>0.58865248226950362</v>
      </c>
      <c r="AP22" s="78">
        <v>0.14099999999999999</v>
      </c>
      <c r="AQ22" s="78">
        <v>8.6999999999999994E-2</v>
      </c>
      <c r="AR22" s="78">
        <f t="shared" si="11"/>
        <v>0.10938712179984483</v>
      </c>
      <c r="AS22" s="78">
        <f t="shared" si="12"/>
        <v>1.6206896551724137</v>
      </c>
      <c r="AT22" s="79" t="s">
        <v>75</v>
      </c>
      <c r="AU22" s="79" t="s">
        <v>75</v>
      </c>
      <c r="AV22" s="79" t="s">
        <v>75</v>
      </c>
      <c r="AW22" s="79" t="s">
        <v>75</v>
      </c>
      <c r="AX22" s="79" t="s">
        <v>75</v>
      </c>
      <c r="AY22" s="135" t="s">
        <v>75</v>
      </c>
      <c r="AZ22" s="135" t="s">
        <v>75</v>
      </c>
      <c r="BA22" s="135" t="s">
        <v>75</v>
      </c>
      <c r="BB22" s="135" t="s">
        <v>75</v>
      </c>
      <c r="BC22" s="242" t="s">
        <v>75</v>
      </c>
    </row>
    <row r="23" spans="2:55" ht="12.75" customHeight="1" x14ac:dyDescent="0.2">
      <c r="B23" s="207">
        <v>23925</v>
      </c>
      <c r="C23" s="70" t="s">
        <v>265</v>
      </c>
      <c r="D23" s="71" t="s">
        <v>33</v>
      </c>
      <c r="E23" s="71" t="s">
        <v>268</v>
      </c>
      <c r="F23" s="72">
        <v>1.569</v>
      </c>
      <c r="G23" s="110" t="s">
        <v>75</v>
      </c>
      <c r="H23" s="110" t="s">
        <v>75</v>
      </c>
      <c r="I23" s="72">
        <v>0.08</v>
      </c>
      <c r="J23" s="72">
        <v>0.04</v>
      </c>
      <c r="K23" s="72">
        <v>0.73199999999999998</v>
      </c>
      <c r="L23" s="73" t="s">
        <v>75</v>
      </c>
      <c r="M23" s="73" t="s">
        <v>75</v>
      </c>
      <c r="N23" s="73" t="s">
        <v>75</v>
      </c>
      <c r="O23" s="73" t="s">
        <v>75</v>
      </c>
      <c r="P23" s="73" t="s">
        <v>75</v>
      </c>
      <c r="Q23" s="110" t="s">
        <v>75</v>
      </c>
      <c r="R23" s="110" t="s">
        <v>75</v>
      </c>
      <c r="S23" s="110" t="s">
        <v>75</v>
      </c>
      <c r="T23" s="110" t="s">
        <v>75</v>
      </c>
      <c r="U23" s="72">
        <v>0.27700000000000002</v>
      </c>
      <c r="V23" s="73" t="s">
        <v>75</v>
      </c>
      <c r="W23" s="72">
        <v>0.498</v>
      </c>
      <c r="X23" s="72">
        <v>0.09</v>
      </c>
      <c r="Y23" s="72">
        <f>W:W/X:X</f>
        <v>5.5333333333333332</v>
      </c>
      <c r="Z23" s="72">
        <v>0.31</v>
      </c>
      <c r="AA23" s="72">
        <v>0.40699999999999997</v>
      </c>
      <c r="AB23" s="73" t="s">
        <v>75</v>
      </c>
      <c r="AC23" s="72">
        <v>0.89100000000000001</v>
      </c>
      <c r="AD23" s="72">
        <f t="shared" si="29"/>
        <v>0.56787762906309758</v>
      </c>
      <c r="AE23" s="72">
        <v>7.8E-2</v>
      </c>
      <c r="AF23" s="72">
        <f>AE:AE/K:K</f>
        <v>0.10655737704918034</v>
      </c>
      <c r="AG23" s="73" t="s">
        <v>75</v>
      </c>
      <c r="AH23" s="73" t="s">
        <v>75</v>
      </c>
      <c r="AI23" s="72">
        <v>8.6999999999999994E-2</v>
      </c>
      <c r="AJ23" s="72">
        <v>5.8999999999999997E-2</v>
      </c>
      <c r="AK23" s="72">
        <f t="shared" si="16"/>
        <v>1.4745762711864407</v>
      </c>
      <c r="AL23" s="72">
        <f t="shared" si="20"/>
        <v>1.1153846153846154</v>
      </c>
      <c r="AM23" s="73" t="s">
        <v>75</v>
      </c>
      <c r="AN23" s="72">
        <f>AI:AI/K:K</f>
        <v>0.11885245901639344</v>
      </c>
      <c r="AO23" s="72">
        <f t="shared" si="10"/>
        <v>0.61267605633802813</v>
      </c>
      <c r="AP23" s="72">
        <v>0.14199999999999999</v>
      </c>
      <c r="AQ23" s="72">
        <v>8.1000000000000003E-2</v>
      </c>
      <c r="AR23" s="72">
        <f t="shared" si="11"/>
        <v>9.0503505417463354E-2</v>
      </c>
      <c r="AS23" s="72">
        <f t="shared" si="12"/>
        <v>1.7530864197530862</v>
      </c>
      <c r="AT23" s="72">
        <f>AP23/K23</f>
        <v>0.19398907103825136</v>
      </c>
      <c r="AU23" s="72">
        <v>7.4999999999999997E-2</v>
      </c>
      <c r="AV23" s="72">
        <v>9.0999999999999998E-2</v>
      </c>
      <c r="AW23" s="72">
        <f>AU:AU/AV:AV</f>
        <v>0.82417582417582413</v>
      </c>
      <c r="AX23" s="73" t="s">
        <v>75</v>
      </c>
      <c r="AY23" s="136">
        <v>6</v>
      </c>
      <c r="AZ23" s="136">
        <v>11</v>
      </c>
      <c r="BA23" s="136">
        <v>10</v>
      </c>
      <c r="BB23" s="136">
        <v>7</v>
      </c>
      <c r="BC23" s="143">
        <v>5</v>
      </c>
    </row>
    <row r="24" spans="2:55" ht="12.75" customHeight="1" x14ac:dyDescent="0.2">
      <c r="B24" s="248"/>
      <c r="C24" s="203"/>
      <c r="D24" s="203"/>
      <c r="E24" s="203"/>
      <c r="F24" s="121">
        <v>1.569</v>
      </c>
      <c r="G24" s="122">
        <f t="shared" si="31"/>
        <v>3.1459999999999999</v>
      </c>
      <c r="H24" s="122">
        <f t="shared" si="32"/>
        <v>2.0050987890376035</v>
      </c>
      <c r="I24" s="121">
        <v>9.2999999999999999E-2</v>
      </c>
      <c r="J24" s="121">
        <v>0.04</v>
      </c>
      <c r="K24" s="121">
        <v>0.74199999999999999</v>
      </c>
      <c r="L24" s="121">
        <v>0.55600000000000005</v>
      </c>
      <c r="M24" s="121">
        <v>0.57199999999999995</v>
      </c>
      <c r="N24" s="121">
        <v>0.11</v>
      </c>
      <c r="O24" s="121">
        <v>1.0329999999999999</v>
      </c>
      <c r="P24" s="121">
        <f>N:N+O:O</f>
        <v>1.143</v>
      </c>
      <c r="Q24" s="122">
        <f t="shared" si="33"/>
        <v>1.5404312668463611</v>
      </c>
      <c r="R24" s="122">
        <f t="shared" si="24"/>
        <v>0.77088948787061984</v>
      </c>
      <c r="S24" s="122">
        <f t="shared" si="25"/>
        <v>0.74932614555256072</v>
      </c>
      <c r="T24" s="122">
        <f t="shared" si="34"/>
        <v>9.3909090909090907</v>
      </c>
      <c r="U24" s="121">
        <v>0.27700000000000002</v>
      </c>
      <c r="V24" s="228" t="s">
        <v>75</v>
      </c>
      <c r="W24" s="121">
        <v>0.498</v>
      </c>
      <c r="X24" s="121">
        <v>0.10299999999999999</v>
      </c>
      <c r="Y24" s="121">
        <f>W:W/X:X</f>
        <v>4.8349514563106801</v>
      </c>
      <c r="Z24" s="121">
        <v>0.3</v>
      </c>
      <c r="AA24" s="121">
        <v>0.41199999999999998</v>
      </c>
      <c r="AB24" s="228" t="s">
        <v>75</v>
      </c>
      <c r="AC24" s="121">
        <v>0.91400000000000003</v>
      </c>
      <c r="AD24" s="121">
        <f t="shared" si="29"/>
        <v>0.58253664754620782</v>
      </c>
      <c r="AE24" s="121">
        <v>0.09</v>
      </c>
      <c r="AF24" s="121">
        <f>AE:AE/K:K</f>
        <v>0.12129380053908355</v>
      </c>
      <c r="AG24" s="121">
        <f>AE:AE/P:P</f>
        <v>7.874015748031496E-2</v>
      </c>
      <c r="AH24" s="121">
        <f t="shared" si="35"/>
        <v>0.81818181818181812</v>
      </c>
      <c r="AI24" s="121">
        <v>8.6999999999999994E-2</v>
      </c>
      <c r="AJ24" s="121">
        <v>5.8999999999999997E-2</v>
      </c>
      <c r="AK24" s="121">
        <f t="shared" ref="AK24" si="37">AI24/AJ24</f>
        <v>1.4745762711864407</v>
      </c>
      <c r="AL24" s="121">
        <f t="shared" si="20"/>
        <v>0.96666666666666667</v>
      </c>
      <c r="AM24" s="228" t="s">
        <v>75</v>
      </c>
      <c r="AN24" s="121">
        <f>AI:AI/K:K</f>
        <v>0.11725067385444743</v>
      </c>
      <c r="AO24" s="228" t="s">
        <v>75</v>
      </c>
      <c r="AP24" s="121">
        <v>0.154</v>
      </c>
      <c r="AQ24" s="121">
        <v>9.6000000000000002E-2</v>
      </c>
      <c r="AR24" s="121">
        <f t="shared" si="11"/>
        <v>9.8151688973868709E-2</v>
      </c>
      <c r="AS24" s="121">
        <f t="shared" si="12"/>
        <v>1.6041666666666665</v>
      </c>
      <c r="AT24" s="121">
        <f>AP24/K24</f>
        <v>0.20754716981132076</v>
      </c>
      <c r="AU24" s="121">
        <v>7.4999999999999997E-2</v>
      </c>
      <c r="AV24" s="121">
        <v>9.0999999999999998E-2</v>
      </c>
      <c r="AW24" s="121">
        <f>AU:AU/AV:AV</f>
        <v>0.82417582417582413</v>
      </c>
      <c r="AX24" s="228" t="s">
        <v>75</v>
      </c>
      <c r="AY24" s="249" t="s">
        <v>75</v>
      </c>
      <c r="AZ24" s="144">
        <v>12</v>
      </c>
      <c r="BA24" s="249" t="s">
        <v>75</v>
      </c>
      <c r="BB24" s="249" t="s">
        <v>75</v>
      </c>
      <c r="BC24" s="250" t="s">
        <v>75</v>
      </c>
    </row>
    <row r="25" spans="2:55" ht="12.75" customHeight="1" x14ac:dyDescent="0.2">
      <c r="B25" s="1"/>
      <c r="E25" s="58" t="s">
        <v>25</v>
      </c>
      <c r="F25" s="8">
        <f>MIN(F3:F24)</f>
        <v>1.22</v>
      </c>
      <c r="G25" s="8">
        <f t="shared" ref="G25:AX25" si="38">MIN(G3:G24)</f>
        <v>3.1459999999999999</v>
      </c>
      <c r="H25" s="8">
        <f t="shared" si="38"/>
        <v>2.0050987890376035</v>
      </c>
      <c r="I25" s="8">
        <f t="shared" si="38"/>
        <v>7.0000000000000007E-2</v>
      </c>
      <c r="J25" s="8">
        <f t="shared" si="38"/>
        <v>0.04</v>
      </c>
      <c r="K25" s="8">
        <f t="shared" si="38"/>
        <v>0.73</v>
      </c>
      <c r="L25" s="8">
        <f t="shared" si="38"/>
        <v>0.52400000000000002</v>
      </c>
      <c r="M25" s="8">
        <f t="shared" si="38"/>
        <v>0.56999999999999995</v>
      </c>
      <c r="N25" s="8">
        <f t="shared" si="38"/>
        <v>0.104</v>
      </c>
      <c r="O25" s="8">
        <f t="shared" si="38"/>
        <v>1.0329999999999999</v>
      </c>
      <c r="P25" s="8">
        <f t="shared" si="38"/>
        <v>1.143</v>
      </c>
      <c r="Q25" s="8">
        <f t="shared" si="38"/>
        <v>1.5404312668463611</v>
      </c>
      <c r="R25" s="8">
        <f t="shared" si="38"/>
        <v>0.69212410501193311</v>
      </c>
      <c r="S25" s="8">
        <f t="shared" si="38"/>
        <v>0.65632458233890223</v>
      </c>
      <c r="T25" s="8">
        <f t="shared" si="38"/>
        <v>9.3909090909090907</v>
      </c>
      <c r="U25" s="8">
        <f t="shared" si="38"/>
        <v>0.251</v>
      </c>
      <c r="V25" s="8">
        <f t="shared" si="38"/>
        <v>12.832142857142856</v>
      </c>
      <c r="W25" s="8">
        <f t="shared" si="38"/>
        <v>0.44800000000000001</v>
      </c>
      <c r="X25" s="8">
        <f t="shared" si="38"/>
        <v>8.6999999999999994E-2</v>
      </c>
      <c r="Y25" s="8">
        <f t="shared" si="38"/>
        <v>4.3166666666666673</v>
      </c>
      <c r="Z25" s="8">
        <f t="shared" si="38"/>
        <v>0.27400000000000002</v>
      </c>
      <c r="AA25" s="8">
        <f t="shared" si="38"/>
        <v>0.39300000000000002</v>
      </c>
      <c r="AB25" s="8">
        <f t="shared" si="38"/>
        <v>0.25722543352601157</v>
      </c>
      <c r="AC25" s="8">
        <f t="shared" si="38"/>
        <v>0.89100000000000001</v>
      </c>
      <c r="AD25" s="8">
        <f t="shared" si="38"/>
        <v>0.53941176470588237</v>
      </c>
      <c r="AE25" s="8">
        <f t="shared" si="38"/>
        <v>7.8E-2</v>
      </c>
      <c r="AF25" s="8">
        <f t="shared" si="38"/>
        <v>9.3896713615023483E-2</v>
      </c>
      <c r="AG25" s="8">
        <f t="shared" si="38"/>
        <v>4.6642747309072273E-2</v>
      </c>
      <c r="AH25" s="8">
        <f t="shared" si="38"/>
        <v>0.63503649635036485</v>
      </c>
      <c r="AI25" s="8">
        <f t="shared" si="38"/>
        <v>8.2000000000000003E-2</v>
      </c>
      <c r="AJ25" s="8">
        <f t="shared" si="38"/>
        <v>4.5999999999999999E-2</v>
      </c>
      <c r="AK25" s="8">
        <f t="shared" si="38"/>
        <v>1.4385964912280702</v>
      </c>
      <c r="AL25" s="8">
        <f t="shared" si="38"/>
        <v>0.89247311827956999</v>
      </c>
      <c r="AM25" s="8">
        <f t="shared" si="38"/>
        <v>0.66129032258064524</v>
      </c>
      <c r="AN25" s="8">
        <f t="shared" si="38"/>
        <v>9.3500570125427604E-2</v>
      </c>
      <c r="AO25" s="8">
        <f t="shared" si="38"/>
        <v>0.43961352657004832</v>
      </c>
      <c r="AP25" s="8">
        <f t="shared" si="38"/>
        <v>0.13900000000000001</v>
      </c>
      <c r="AQ25" s="8">
        <f t="shared" si="38"/>
        <v>8.1000000000000003E-2</v>
      </c>
      <c r="AR25" s="8">
        <f t="shared" si="38"/>
        <v>8.9411764705882357E-2</v>
      </c>
      <c r="AS25" s="8">
        <f t="shared" si="38"/>
        <v>1.2752293577981653</v>
      </c>
      <c r="AT25" s="8">
        <f t="shared" si="38"/>
        <v>0.16971916971916975</v>
      </c>
      <c r="AU25" s="8">
        <f t="shared" si="38"/>
        <v>7.4999999999999997E-2</v>
      </c>
      <c r="AV25" s="8">
        <f t="shared" si="38"/>
        <v>8.5000000000000006E-2</v>
      </c>
      <c r="AW25" s="8">
        <f t="shared" si="38"/>
        <v>0.77227722772277219</v>
      </c>
      <c r="AX25" s="8">
        <f t="shared" si="38"/>
        <v>1.6344086021505375</v>
      </c>
      <c r="AY25" s="9">
        <f t="shared" ref="AY25:BC25" si="39">MIN(AY3:AY24)</f>
        <v>4</v>
      </c>
      <c r="AZ25" s="9">
        <f t="shared" si="39"/>
        <v>9</v>
      </c>
      <c r="BA25" s="9">
        <f t="shared" si="39"/>
        <v>6</v>
      </c>
      <c r="BB25" s="9">
        <f t="shared" si="39"/>
        <v>5</v>
      </c>
      <c r="BC25" s="9">
        <f t="shared" si="39"/>
        <v>5</v>
      </c>
    </row>
    <row r="26" spans="2:55" ht="12.75" customHeight="1" x14ac:dyDescent="0.2">
      <c r="B26" s="1"/>
      <c r="E26" s="58" t="s">
        <v>26</v>
      </c>
      <c r="F26" s="8">
        <f>MAX(F3:F24)</f>
        <v>1.73</v>
      </c>
      <c r="G26" s="8">
        <f t="shared" ref="G26:AX26" si="40">MAX(G3:G24)</f>
        <v>3.9090000000000003</v>
      </c>
      <c r="H26" s="8">
        <f t="shared" si="40"/>
        <v>3.2040983606557378</v>
      </c>
      <c r="I26" s="8">
        <f t="shared" si="40"/>
        <v>9.2999999999999999E-2</v>
      </c>
      <c r="J26" s="8">
        <f t="shared" si="40"/>
        <v>5.2999999999999999E-2</v>
      </c>
      <c r="K26" s="8">
        <f t="shared" si="40"/>
        <v>0.877</v>
      </c>
      <c r="L26" s="8">
        <f t="shared" si="40"/>
        <v>0.66600000000000004</v>
      </c>
      <c r="M26" s="8">
        <f t="shared" si="40"/>
        <v>0.71599999999999997</v>
      </c>
      <c r="N26" s="8">
        <f t="shared" si="40"/>
        <v>0.13700000000000001</v>
      </c>
      <c r="O26" s="8">
        <f t="shared" si="40"/>
        <v>1.8339999999999999</v>
      </c>
      <c r="P26" s="8">
        <f t="shared" si="40"/>
        <v>1.9509999999999998</v>
      </c>
      <c r="Q26" s="8">
        <f t="shared" si="40"/>
        <v>2.6726027397260275</v>
      </c>
      <c r="R26" s="8">
        <f t="shared" si="40"/>
        <v>0.8453364817001181</v>
      </c>
      <c r="S26" s="8">
        <f t="shared" si="40"/>
        <v>0.80629539951573859</v>
      </c>
      <c r="T26" s="8">
        <f t="shared" si="40"/>
        <v>15.675213675213673</v>
      </c>
      <c r="U26" s="8">
        <f t="shared" si="40"/>
        <v>0.28699999999999998</v>
      </c>
      <c r="V26" s="8">
        <f t="shared" si="40"/>
        <v>15.57370517928287</v>
      </c>
      <c r="W26" s="8">
        <f t="shared" si="40"/>
        <v>0.55000000000000004</v>
      </c>
      <c r="X26" s="8">
        <f t="shared" si="40"/>
        <v>0.12</v>
      </c>
      <c r="Y26" s="8">
        <f t="shared" si="40"/>
        <v>5.8913043478260878</v>
      </c>
      <c r="Z26" s="8">
        <f t="shared" si="40"/>
        <v>0.33400000000000002</v>
      </c>
      <c r="AA26" s="8">
        <f t="shared" si="40"/>
        <v>0.47</v>
      </c>
      <c r="AB26" s="8">
        <f t="shared" si="40"/>
        <v>0.37811745776347538</v>
      </c>
      <c r="AC26" s="8">
        <f t="shared" si="40"/>
        <v>1.0509999999999999</v>
      </c>
      <c r="AD26" s="8">
        <f t="shared" si="40"/>
        <v>0.84553499597747372</v>
      </c>
      <c r="AE26" s="8">
        <f t="shared" si="40"/>
        <v>9.5000000000000001E-2</v>
      </c>
      <c r="AF26" s="8">
        <f t="shared" si="40"/>
        <v>0.12601626016260162</v>
      </c>
      <c r="AG26" s="8">
        <f t="shared" si="40"/>
        <v>7.874015748031496E-2</v>
      </c>
      <c r="AH26" s="8">
        <f t="shared" si="40"/>
        <v>0.86538461538461542</v>
      </c>
      <c r="AI26" s="8">
        <f t="shared" si="40"/>
        <v>9.1999999999999998E-2</v>
      </c>
      <c r="AJ26" s="8">
        <f t="shared" si="40"/>
        <v>0.06</v>
      </c>
      <c r="AK26" s="8">
        <f t="shared" si="40"/>
        <v>1.9565217391304348</v>
      </c>
      <c r="AL26" s="8">
        <f t="shared" si="40"/>
        <v>1.1499999999999999</v>
      </c>
      <c r="AM26" s="8">
        <f t="shared" si="40"/>
        <v>0.83636363636363631</v>
      </c>
      <c r="AN26" s="8">
        <f t="shared" si="40"/>
        <v>0.12328767123287671</v>
      </c>
      <c r="AO26" s="8">
        <f t="shared" si="40"/>
        <v>0.62068965517241381</v>
      </c>
      <c r="AP26" s="8">
        <f t="shared" si="40"/>
        <v>0.20699999999999999</v>
      </c>
      <c r="AQ26" s="8">
        <f t="shared" si="40"/>
        <v>0.13300000000000001</v>
      </c>
      <c r="AR26" s="8">
        <f t="shared" si="40"/>
        <v>0.16653258246178598</v>
      </c>
      <c r="AS26" s="8">
        <f t="shared" si="40"/>
        <v>1.9903846153846154</v>
      </c>
      <c r="AT26" s="8">
        <f t="shared" si="40"/>
        <v>0.26202531645569616</v>
      </c>
      <c r="AU26" s="8">
        <f t="shared" si="40"/>
        <v>0.1</v>
      </c>
      <c r="AV26" s="8">
        <f t="shared" si="40"/>
        <v>0.11</v>
      </c>
      <c r="AW26" s="8">
        <f t="shared" si="40"/>
        <v>1.1176470588235294</v>
      </c>
      <c r="AX26" s="8">
        <f t="shared" si="40"/>
        <v>2.225806451612903</v>
      </c>
      <c r="AY26" s="9">
        <f t="shared" ref="AY26:BC26" si="41">MAX(AY3:AY24)</f>
        <v>6</v>
      </c>
      <c r="AZ26" s="9">
        <f t="shared" si="41"/>
        <v>13</v>
      </c>
      <c r="BA26" s="9">
        <f t="shared" si="41"/>
        <v>10</v>
      </c>
      <c r="BB26" s="9">
        <f t="shared" si="41"/>
        <v>7</v>
      </c>
      <c r="BC26" s="9">
        <f t="shared" si="41"/>
        <v>7</v>
      </c>
    </row>
    <row r="27" spans="2:55" ht="12.75" customHeight="1" x14ac:dyDescent="0.2"/>
    <row r="28" spans="2:55" ht="12.75" customHeight="1" x14ac:dyDescent="0.2"/>
    <row r="29" spans="2:55" ht="12.75" customHeight="1" x14ac:dyDescent="0.2"/>
    <row r="30" spans="2:55" ht="12.75" customHeight="1" x14ac:dyDescent="0.2"/>
    <row r="31" spans="2:55" ht="12.75" customHeight="1" x14ac:dyDescent="0.2"/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BE38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2" width="18.7109375" style="46" customWidth="1"/>
    <col min="3" max="4" width="18.7109375" style="1" customWidth="1"/>
    <col min="5" max="5" width="36.7109375" style="1" customWidth="1"/>
    <col min="6" max="52" width="8.7109375" style="1" customWidth="1"/>
    <col min="53" max="55" width="10.7109375" style="1" customWidth="1"/>
    <col min="56" max="16384" width="9.140625" style="1"/>
  </cols>
  <sheetData>
    <row r="1" spans="2:55" ht="12" customHeight="1" x14ac:dyDescent="0.2">
      <c r="AN1" s="96"/>
      <c r="AY1" s="96"/>
    </row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">
      <c r="B3" s="61">
        <v>28012</v>
      </c>
      <c r="C3" s="62" t="s">
        <v>278</v>
      </c>
      <c r="D3" s="63" t="s">
        <v>274</v>
      </c>
      <c r="E3" s="63" t="s">
        <v>175</v>
      </c>
      <c r="F3" s="64">
        <f>1.784+0.686</f>
        <v>2.4700000000000002</v>
      </c>
      <c r="G3" s="65">
        <f t="shared" ref="G3:G30" si="0">I3+J3+K3+L3+M3+N3+O3</f>
        <v>4.4790000000000001</v>
      </c>
      <c r="H3" s="65">
        <f t="shared" ref="H3:H30" si="1">G3/F3</f>
        <v>1.8133603238866396</v>
      </c>
      <c r="I3" s="64">
        <v>0.127</v>
      </c>
      <c r="J3" s="64">
        <v>7.0000000000000007E-2</v>
      </c>
      <c r="K3" s="64">
        <v>1.099</v>
      </c>
      <c r="L3" s="64">
        <v>0.85299999999999998</v>
      </c>
      <c r="M3" s="64">
        <v>0.88900000000000001</v>
      </c>
      <c r="N3" s="64">
        <v>0.19</v>
      </c>
      <c r="O3" s="64">
        <v>1.2509999999999999</v>
      </c>
      <c r="P3" s="64">
        <f>N:N+O:O</f>
        <v>1.4409999999999998</v>
      </c>
      <c r="Q3" s="65">
        <f t="shared" ref="Q3:Q30" si="2">(N3+O3)/K3</f>
        <v>1.311191992720655</v>
      </c>
      <c r="R3" s="65">
        <f t="shared" ref="R3:R30" si="3">M3/K3</f>
        <v>0.80891719745222934</v>
      </c>
      <c r="S3" s="65">
        <f t="shared" ref="S3:S30" si="4">L3/K3</f>
        <v>0.77616014558689717</v>
      </c>
      <c r="T3" s="65">
        <f t="shared" ref="T3:T30" si="5">O3/N3</f>
        <v>6.5842105263157888</v>
      </c>
      <c r="U3" s="64">
        <v>0.35199999999999998</v>
      </c>
      <c r="V3" s="64">
        <f>G3/U3</f>
        <v>12.724431818181818</v>
      </c>
      <c r="W3" s="64">
        <v>0.80200000000000005</v>
      </c>
      <c r="X3" s="64">
        <v>0.14599999999999999</v>
      </c>
      <c r="Y3" s="64">
        <f>W:W/X:X</f>
        <v>5.4931506849315079</v>
      </c>
      <c r="Z3" s="64">
        <v>0.52400000000000002</v>
      </c>
      <c r="AA3" s="64">
        <v>0.72199999999999998</v>
      </c>
      <c r="AB3" s="64">
        <f t="shared" ref="AB3:AB25" si="6">AA3/F3</f>
        <v>0.29230769230769227</v>
      </c>
      <c r="AC3" s="64">
        <v>1.4430000000000001</v>
      </c>
      <c r="AD3" s="64">
        <f>AC3/F3</f>
        <v>0.5842105263157894</v>
      </c>
      <c r="AE3" s="64">
        <v>0.106</v>
      </c>
      <c r="AF3" s="64">
        <f>AE3/K3</f>
        <v>9.6451319381255687E-2</v>
      </c>
      <c r="AG3" s="64">
        <f>AE:AE/P:P</f>
        <v>7.3560027758501054E-2</v>
      </c>
      <c r="AH3" s="64">
        <f>AE3/N3</f>
        <v>0.55789473684210522</v>
      </c>
      <c r="AI3" s="64">
        <v>0.13</v>
      </c>
      <c r="AJ3" s="64">
        <v>6.7000000000000004E-2</v>
      </c>
      <c r="AK3" s="64">
        <f t="shared" ref="AK3:AK29" si="7">AI3/AJ3</f>
        <v>1.9402985074626866</v>
      </c>
      <c r="AL3" s="64">
        <f>AI3/AE3</f>
        <v>1.2264150943396228</v>
      </c>
      <c r="AM3" s="64">
        <f t="shared" ref="AM3:AM9" si="8">AI3/N3</f>
        <v>0.68421052631578949</v>
      </c>
      <c r="AN3" s="64">
        <f t="shared" ref="AN3:AN10" si="9">AI3/K3</f>
        <v>0.11828935395814377</v>
      </c>
      <c r="AO3" s="64">
        <f t="shared" ref="AO3:AO29" si="10">AI3/AP3</f>
        <v>0.42345276872964172</v>
      </c>
      <c r="AP3" s="64">
        <v>0.307</v>
      </c>
      <c r="AQ3" s="64">
        <v>9.6000000000000002E-2</v>
      </c>
      <c r="AR3" s="64">
        <f t="shared" ref="AR3:AR30" si="11">AP3/F3</f>
        <v>0.12429149797570849</v>
      </c>
      <c r="AS3" s="64">
        <f t="shared" ref="AS3:AS30" si="12">AP3/AQ3</f>
        <v>3.1979166666666665</v>
      </c>
      <c r="AT3" s="64">
        <f t="shared" ref="AT3:AT30" si="13">AP3/K3</f>
        <v>0.27934485896269334</v>
      </c>
      <c r="AU3" s="64">
        <v>0.128</v>
      </c>
      <c r="AV3" s="64">
        <v>0.13600000000000001</v>
      </c>
      <c r="AW3" s="64">
        <f t="shared" ref="AW3:AW16" si="14">AU:AU/AV:AV</f>
        <v>0.94117647058823528</v>
      </c>
      <c r="AX3" s="64">
        <f t="shared" ref="AX3:AX16" si="15">AP:AP/AU:AU</f>
        <v>2.3984375</v>
      </c>
      <c r="AY3" s="133">
        <v>4</v>
      </c>
      <c r="AZ3" s="133">
        <v>6</v>
      </c>
      <c r="BA3" s="133">
        <v>14</v>
      </c>
      <c r="BB3" s="133">
        <v>5</v>
      </c>
      <c r="BC3" s="245">
        <v>5</v>
      </c>
    </row>
    <row r="4" spans="2:55" ht="12.75" customHeight="1" x14ac:dyDescent="0.2">
      <c r="B4" s="69"/>
      <c r="C4" s="71"/>
      <c r="D4" s="71"/>
      <c r="E4" s="71"/>
      <c r="F4" s="72">
        <f>1.784+0.686</f>
        <v>2.4700000000000002</v>
      </c>
      <c r="G4" s="110" t="s">
        <v>75</v>
      </c>
      <c r="H4" s="110" t="s">
        <v>75</v>
      </c>
      <c r="I4" s="72">
        <v>0.13100000000000001</v>
      </c>
      <c r="J4" s="72">
        <v>6.9000000000000006E-2</v>
      </c>
      <c r="K4" s="72">
        <v>1.109</v>
      </c>
      <c r="L4" s="72">
        <v>0.86699999999999999</v>
      </c>
      <c r="M4" s="72">
        <v>0.89300000000000002</v>
      </c>
      <c r="N4" s="72">
        <v>0.183</v>
      </c>
      <c r="O4" s="73" t="s">
        <v>75</v>
      </c>
      <c r="P4" s="73" t="s">
        <v>75</v>
      </c>
      <c r="Q4" s="110" t="s">
        <v>75</v>
      </c>
      <c r="R4" s="82">
        <f t="shared" si="3"/>
        <v>0.80522993688007216</v>
      </c>
      <c r="S4" s="82">
        <f t="shared" si="4"/>
        <v>0.781785392245266</v>
      </c>
      <c r="T4" s="110" t="s">
        <v>75</v>
      </c>
      <c r="U4" s="72">
        <v>0.35199999999999998</v>
      </c>
      <c r="V4" s="73" t="s">
        <v>75</v>
      </c>
      <c r="W4" s="72">
        <v>0.80300000000000005</v>
      </c>
      <c r="X4" s="72">
        <v>0.13100000000000001</v>
      </c>
      <c r="Y4" s="72">
        <f>W:W/X:X</f>
        <v>6.1297709923664128</v>
      </c>
      <c r="Z4" s="72">
        <v>0.52800000000000002</v>
      </c>
      <c r="AA4" s="72">
        <v>0.73499999999999999</v>
      </c>
      <c r="AB4" s="72">
        <f t="shared" si="6"/>
        <v>0.29757085020242913</v>
      </c>
      <c r="AC4" s="72">
        <v>1.3939999999999999</v>
      </c>
      <c r="AD4" s="72">
        <f>AC4/F4</f>
        <v>0.56437246963562748</v>
      </c>
      <c r="AE4" s="72">
        <v>0.11</v>
      </c>
      <c r="AF4" s="72">
        <f>AE4/K4</f>
        <v>9.9188458070333635E-2</v>
      </c>
      <c r="AG4" s="73" t="s">
        <v>75</v>
      </c>
      <c r="AH4" s="72">
        <f>AE4/N4</f>
        <v>0.60109289617486339</v>
      </c>
      <c r="AI4" s="72">
        <v>0.13</v>
      </c>
      <c r="AJ4" s="72">
        <v>6.7000000000000004E-2</v>
      </c>
      <c r="AK4" s="72">
        <f t="shared" si="7"/>
        <v>1.9402985074626866</v>
      </c>
      <c r="AL4" s="72">
        <f>AI4/AE4</f>
        <v>1.1818181818181819</v>
      </c>
      <c r="AM4" s="72">
        <f t="shared" si="8"/>
        <v>0.7103825136612022</v>
      </c>
      <c r="AN4" s="72">
        <f t="shared" si="9"/>
        <v>0.11722272317403067</v>
      </c>
      <c r="AO4" s="72">
        <f t="shared" si="10"/>
        <v>0.44982698961937723</v>
      </c>
      <c r="AP4" s="72">
        <v>0.28899999999999998</v>
      </c>
      <c r="AQ4" s="72">
        <v>0.104</v>
      </c>
      <c r="AR4" s="72">
        <f t="shared" si="11"/>
        <v>0.11700404858299593</v>
      </c>
      <c r="AS4" s="72">
        <f t="shared" si="12"/>
        <v>2.7788461538461537</v>
      </c>
      <c r="AT4" s="72">
        <f t="shared" si="13"/>
        <v>0.260595130748422</v>
      </c>
      <c r="AU4" s="72">
        <v>0.128</v>
      </c>
      <c r="AV4" s="72">
        <v>0.13600000000000001</v>
      </c>
      <c r="AW4" s="72">
        <f t="shared" si="14"/>
        <v>0.94117647058823528</v>
      </c>
      <c r="AX4" s="72">
        <f t="shared" si="15"/>
        <v>2.2578125</v>
      </c>
      <c r="AY4" s="134" t="s">
        <v>75</v>
      </c>
      <c r="AZ4" s="136">
        <v>7</v>
      </c>
      <c r="BA4" s="134" t="s">
        <v>75</v>
      </c>
      <c r="BB4" s="134" t="s">
        <v>75</v>
      </c>
      <c r="BC4" s="247" t="s">
        <v>75</v>
      </c>
    </row>
    <row r="5" spans="2:55" ht="12.75" customHeight="1" x14ac:dyDescent="0.2">
      <c r="B5" s="86">
        <v>28012</v>
      </c>
      <c r="C5" s="76" t="s">
        <v>278</v>
      </c>
      <c r="D5" s="77" t="s">
        <v>274</v>
      </c>
      <c r="E5" s="77" t="s">
        <v>175</v>
      </c>
      <c r="F5" s="78">
        <f>1.356+1.405</f>
        <v>2.7610000000000001</v>
      </c>
      <c r="G5" s="114" t="s">
        <v>75</v>
      </c>
      <c r="H5" s="114" t="s">
        <v>75</v>
      </c>
      <c r="I5" s="78">
        <v>0.129</v>
      </c>
      <c r="J5" s="78">
        <v>7.0999999999999994E-2</v>
      </c>
      <c r="K5" s="78">
        <v>1.153</v>
      </c>
      <c r="L5" s="78">
        <v>0.94</v>
      </c>
      <c r="M5" s="78">
        <v>0.9</v>
      </c>
      <c r="N5" s="78">
        <v>0.18</v>
      </c>
      <c r="O5" s="79" t="s">
        <v>75</v>
      </c>
      <c r="P5" s="79" t="s">
        <v>75</v>
      </c>
      <c r="Q5" s="114" t="s">
        <v>75</v>
      </c>
      <c r="R5" s="80">
        <f t="shared" si="3"/>
        <v>0.78057241977450131</v>
      </c>
      <c r="S5" s="80">
        <f t="shared" si="4"/>
        <v>0.81526452732003463</v>
      </c>
      <c r="T5" s="114" t="s">
        <v>75</v>
      </c>
      <c r="U5" s="78">
        <v>0.39500000000000002</v>
      </c>
      <c r="V5" s="79" t="s">
        <v>75</v>
      </c>
      <c r="W5" s="78">
        <v>0.86499999999999999</v>
      </c>
      <c r="X5" s="78">
        <v>0.13700000000000001</v>
      </c>
      <c r="Y5" s="78">
        <f>W:W/X:X</f>
        <v>6.3138686131386859</v>
      </c>
      <c r="Z5" s="78">
        <v>0.56699999999999995</v>
      </c>
      <c r="AA5" s="78">
        <v>0.79</v>
      </c>
      <c r="AB5" s="78">
        <f t="shared" si="6"/>
        <v>0.28612821441506703</v>
      </c>
      <c r="AC5" s="78">
        <v>1.605</v>
      </c>
      <c r="AD5" s="78">
        <f>AC5/F5</f>
        <v>0.58131111915972467</v>
      </c>
      <c r="AE5" s="78">
        <v>0.105</v>
      </c>
      <c r="AF5" s="78">
        <f>AE5/K5</f>
        <v>9.106678230702514E-2</v>
      </c>
      <c r="AG5" s="79" t="s">
        <v>75</v>
      </c>
      <c r="AH5" s="78">
        <f>AE5/N5</f>
        <v>0.58333333333333337</v>
      </c>
      <c r="AI5" s="78">
        <v>0.14299999999999999</v>
      </c>
      <c r="AJ5" s="78">
        <v>7.6999999999999999E-2</v>
      </c>
      <c r="AK5" s="78">
        <f t="shared" si="7"/>
        <v>1.857142857142857</v>
      </c>
      <c r="AL5" s="78">
        <f>AI5/AE5</f>
        <v>1.361904761904762</v>
      </c>
      <c r="AM5" s="78">
        <f t="shared" si="8"/>
        <v>0.7944444444444444</v>
      </c>
      <c r="AN5" s="78">
        <f t="shared" si="9"/>
        <v>0.12402428447528185</v>
      </c>
      <c r="AO5" s="78">
        <f t="shared" si="10"/>
        <v>0.42307692307692302</v>
      </c>
      <c r="AP5" s="78">
        <v>0.33800000000000002</v>
      </c>
      <c r="AQ5" s="78">
        <v>0.14199999999999999</v>
      </c>
      <c r="AR5" s="78">
        <f t="shared" si="11"/>
        <v>0.12241941325606664</v>
      </c>
      <c r="AS5" s="78">
        <f t="shared" si="12"/>
        <v>2.3802816901408455</v>
      </c>
      <c r="AT5" s="78">
        <f t="shared" si="13"/>
        <v>0.29314830875975717</v>
      </c>
      <c r="AU5" s="78">
        <v>0.13300000000000001</v>
      </c>
      <c r="AV5" s="78">
        <v>0.14299999999999999</v>
      </c>
      <c r="AW5" s="78">
        <f t="shared" si="14"/>
        <v>0.93006993006993022</v>
      </c>
      <c r="AX5" s="78">
        <f t="shared" si="15"/>
        <v>2.5413533834586466</v>
      </c>
      <c r="AY5" s="137">
        <v>4</v>
      </c>
      <c r="AZ5" s="137">
        <v>9</v>
      </c>
      <c r="BA5" s="137">
        <v>16</v>
      </c>
      <c r="BB5" s="137">
        <v>7</v>
      </c>
      <c r="BC5" s="145">
        <v>10</v>
      </c>
    </row>
    <row r="6" spans="2:55" ht="12.75" customHeight="1" x14ac:dyDescent="0.2">
      <c r="B6" s="75"/>
      <c r="C6" s="77"/>
      <c r="D6" s="77"/>
      <c r="E6" s="77"/>
      <c r="F6" s="78">
        <f>1.356+1.405</f>
        <v>2.7610000000000001</v>
      </c>
      <c r="G6" s="80">
        <f t="shared" si="0"/>
        <v>5.0039999999999996</v>
      </c>
      <c r="H6" s="80">
        <f t="shared" si="1"/>
        <v>1.8123868163708798</v>
      </c>
      <c r="I6" s="78">
        <v>0.14699999999999999</v>
      </c>
      <c r="J6" s="78">
        <v>6.4000000000000001E-2</v>
      </c>
      <c r="K6" s="78">
        <v>1.143</v>
      </c>
      <c r="L6" s="78">
        <v>0.96199999999999997</v>
      </c>
      <c r="M6" s="78">
        <v>0.9</v>
      </c>
      <c r="N6" s="78">
        <v>0.185</v>
      </c>
      <c r="O6" s="78">
        <v>1.603</v>
      </c>
      <c r="P6" s="78">
        <f>N:N+O:O</f>
        <v>1.788</v>
      </c>
      <c r="Q6" s="80">
        <f t="shared" si="2"/>
        <v>1.5643044619422573</v>
      </c>
      <c r="R6" s="80">
        <f t="shared" si="3"/>
        <v>0.78740157480314965</v>
      </c>
      <c r="S6" s="80">
        <f t="shared" si="4"/>
        <v>0.84164479440069984</v>
      </c>
      <c r="T6" s="80">
        <f t="shared" si="5"/>
        <v>8.6648648648648656</v>
      </c>
      <c r="U6" s="78">
        <v>0.39500000000000002</v>
      </c>
      <c r="V6" s="78">
        <f t="shared" ref="V6:V30" si="16">G6/U6</f>
        <v>12.668354430379745</v>
      </c>
      <c r="W6" s="78">
        <v>0.875</v>
      </c>
      <c r="X6" s="78">
        <v>0.14899999999999999</v>
      </c>
      <c r="Y6" s="78">
        <f>W:W/X:X</f>
        <v>5.8724832214765099</v>
      </c>
      <c r="Z6" s="78">
        <v>0.57899999999999996</v>
      </c>
      <c r="AA6" s="78">
        <v>0.82499999999999996</v>
      </c>
      <c r="AB6" s="78">
        <f t="shared" si="6"/>
        <v>0.29880478087649398</v>
      </c>
      <c r="AC6" s="78">
        <v>1.587</v>
      </c>
      <c r="AD6" s="78">
        <f>AC6/F6</f>
        <v>0.57479174212241935</v>
      </c>
      <c r="AE6" s="78">
        <v>0.11799999999999999</v>
      </c>
      <c r="AF6" s="78">
        <f>AE6/K6</f>
        <v>0.10323709536307961</v>
      </c>
      <c r="AG6" s="78">
        <f>AE:AE/P:P</f>
        <v>6.5995525727069348E-2</v>
      </c>
      <c r="AH6" s="78">
        <f>AE6/N6</f>
        <v>0.63783783783783776</v>
      </c>
      <c r="AI6" s="78">
        <v>0.14299999999999999</v>
      </c>
      <c r="AJ6" s="78">
        <v>7.6999999999999999E-2</v>
      </c>
      <c r="AK6" s="78">
        <f t="shared" si="7"/>
        <v>1.857142857142857</v>
      </c>
      <c r="AL6" s="78">
        <f>AI6/AE6</f>
        <v>1.2118644067796609</v>
      </c>
      <c r="AM6" s="78">
        <f t="shared" si="8"/>
        <v>0.77297297297297296</v>
      </c>
      <c r="AN6" s="78">
        <f t="shared" si="9"/>
        <v>0.12510936132983375</v>
      </c>
      <c r="AO6" s="78">
        <f t="shared" si="10"/>
        <v>0.43333333333333329</v>
      </c>
      <c r="AP6" s="78">
        <v>0.33</v>
      </c>
      <c r="AQ6" s="78">
        <v>0.113</v>
      </c>
      <c r="AR6" s="78">
        <f t="shared" si="11"/>
        <v>0.11952191235059761</v>
      </c>
      <c r="AS6" s="78">
        <f t="shared" si="12"/>
        <v>2.9203539823008851</v>
      </c>
      <c r="AT6" s="78">
        <f t="shared" si="13"/>
        <v>0.28871391076115488</v>
      </c>
      <c r="AU6" s="78">
        <v>0.13300000000000001</v>
      </c>
      <c r="AV6" s="78">
        <v>0.14299999999999999</v>
      </c>
      <c r="AW6" s="78">
        <f t="shared" si="14"/>
        <v>0.93006993006993022</v>
      </c>
      <c r="AX6" s="78">
        <f t="shared" si="15"/>
        <v>2.481203007518797</v>
      </c>
      <c r="AY6" s="135" t="s">
        <v>75</v>
      </c>
      <c r="AZ6" s="137">
        <v>10</v>
      </c>
      <c r="BA6" s="135" t="s">
        <v>75</v>
      </c>
      <c r="BB6" s="135" t="s">
        <v>75</v>
      </c>
      <c r="BC6" s="242" t="s">
        <v>75</v>
      </c>
    </row>
    <row r="7" spans="2:55" ht="12.75" customHeight="1" x14ac:dyDescent="0.2">
      <c r="B7" s="83">
        <v>28012</v>
      </c>
      <c r="C7" s="70" t="s">
        <v>278</v>
      </c>
      <c r="D7" s="71" t="s">
        <v>275</v>
      </c>
      <c r="E7" s="71" t="s">
        <v>175</v>
      </c>
      <c r="F7" s="72">
        <f>1.282+0.61</f>
        <v>1.8919999999999999</v>
      </c>
      <c r="G7" s="110" t="s">
        <v>75</v>
      </c>
      <c r="H7" s="110" t="s">
        <v>75</v>
      </c>
      <c r="I7" s="72">
        <v>0.128</v>
      </c>
      <c r="J7" s="72">
        <v>6.4000000000000001E-2</v>
      </c>
      <c r="K7" s="72">
        <v>1.028</v>
      </c>
      <c r="L7" s="72">
        <v>0.82399999999999995</v>
      </c>
      <c r="M7" s="72">
        <v>0.83399999999999996</v>
      </c>
      <c r="N7" s="72">
        <v>0.17299999999999999</v>
      </c>
      <c r="O7" s="73" t="s">
        <v>75</v>
      </c>
      <c r="P7" s="73" t="s">
        <v>75</v>
      </c>
      <c r="Q7" s="110" t="s">
        <v>75</v>
      </c>
      <c r="R7" s="82">
        <f t="shared" si="3"/>
        <v>0.8112840466926069</v>
      </c>
      <c r="S7" s="82">
        <f t="shared" si="4"/>
        <v>0.80155642023346296</v>
      </c>
      <c r="T7" s="110" t="s">
        <v>75</v>
      </c>
      <c r="U7" s="72">
        <v>0.33900000000000002</v>
      </c>
      <c r="V7" s="73" t="s">
        <v>75</v>
      </c>
      <c r="W7" s="73" t="s">
        <v>75</v>
      </c>
      <c r="X7" s="73" t="s">
        <v>75</v>
      </c>
      <c r="Y7" s="73" t="s">
        <v>75</v>
      </c>
      <c r="Z7" s="72">
        <v>0.52100000000000002</v>
      </c>
      <c r="AA7" s="72">
        <v>0.69899999999999995</v>
      </c>
      <c r="AB7" s="72">
        <f t="shared" si="6"/>
        <v>0.36945031712473575</v>
      </c>
      <c r="AC7" s="72">
        <v>1.4750000000000001</v>
      </c>
      <c r="AD7" s="72">
        <f>AC7/F7</f>
        <v>0.77959830866807622</v>
      </c>
      <c r="AE7" s="72">
        <v>0.128</v>
      </c>
      <c r="AF7" s="72">
        <f>AE7/K7</f>
        <v>0.1245136186770428</v>
      </c>
      <c r="AG7" s="73" t="s">
        <v>75</v>
      </c>
      <c r="AH7" s="72">
        <f>AE7/N7</f>
        <v>0.73988439306358389</v>
      </c>
      <c r="AI7" s="72">
        <v>0.13500000000000001</v>
      </c>
      <c r="AJ7" s="72">
        <v>6.9000000000000006E-2</v>
      </c>
      <c r="AK7" s="72">
        <f t="shared" si="7"/>
        <v>1.9565217391304348</v>
      </c>
      <c r="AL7" s="72">
        <f>AI7/AE7</f>
        <v>1.0546875</v>
      </c>
      <c r="AM7" s="72">
        <f t="shared" si="8"/>
        <v>0.78034682080924866</v>
      </c>
      <c r="AN7" s="72">
        <f t="shared" si="9"/>
        <v>0.13132295719844359</v>
      </c>
      <c r="AO7" s="72">
        <f t="shared" si="10"/>
        <v>0.46551724137931039</v>
      </c>
      <c r="AP7" s="72">
        <v>0.28999999999999998</v>
      </c>
      <c r="AQ7" s="72">
        <v>0.10199999999999999</v>
      </c>
      <c r="AR7" s="72">
        <f t="shared" si="11"/>
        <v>0.15327695560253699</v>
      </c>
      <c r="AS7" s="72">
        <f t="shared" si="12"/>
        <v>2.8431372549019609</v>
      </c>
      <c r="AT7" s="72">
        <f t="shared" si="13"/>
        <v>0.28210116731517509</v>
      </c>
      <c r="AU7" s="72">
        <v>0.11700000000000001</v>
      </c>
      <c r="AV7" s="72">
        <v>0.153</v>
      </c>
      <c r="AW7" s="72">
        <f t="shared" si="14"/>
        <v>0.76470588235294124</v>
      </c>
      <c r="AX7" s="72">
        <f t="shared" si="15"/>
        <v>2.4786324786324783</v>
      </c>
      <c r="AY7" s="136">
        <v>5</v>
      </c>
      <c r="AZ7" s="136">
        <v>8</v>
      </c>
      <c r="BA7" s="134" t="s">
        <v>75</v>
      </c>
      <c r="BB7" s="136">
        <v>6</v>
      </c>
      <c r="BC7" s="143">
        <v>8</v>
      </c>
    </row>
    <row r="8" spans="2:55" ht="12.75" customHeight="1" x14ac:dyDescent="0.2">
      <c r="B8" s="69"/>
      <c r="C8" s="71"/>
      <c r="D8" s="71"/>
      <c r="E8" s="71"/>
      <c r="F8" s="72">
        <f>1.282+0.61</f>
        <v>1.8919999999999999</v>
      </c>
      <c r="G8" s="82">
        <f t="shared" si="0"/>
        <v>4.7439999999999998</v>
      </c>
      <c r="H8" s="82">
        <f t="shared" si="1"/>
        <v>2.507399577167019</v>
      </c>
      <c r="I8" s="72">
        <v>0.12</v>
      </c>
      <c r="J8" s="72">
        <v>6.3E-2</v>
      </c>
      <c r="K8" s="72">
        <v>0.97399999999999998</v>
      </c>
      <c r="L8" s="72">
        <v>0.86099999999999999</v>
      </c>
      <c r="M8" s="72">
        <v>0.878</v>
      </c>
      <c r="N8" s="72">
        <v>0.186</v>
      </c>
      <c r="O8" s="72">
        <v>1.6619999999999999</v>
      </c>
      <c r="P8" s="72">
        <f>N:N+O:O</f>
        <v>1.8479999999999999</v>
      </c>
      <c r="Q8" s="82">
        <f t="shared" si="2"/>
        <v>1.8973305954825461</v>
      </c>
      <c r="R8" s="82">
        <f t="shared" si="3"/>
        <v>0.90143737166324434</v>
      </c>
      <c r="S8" s="82">
        <f t="shared" si="4"/>
        <v>0.88398357289527718</v>
      </c>
      <c r="T8" s="82">
        <f t="shared" si="5"/>
        <v>8.935483870967742</v>
      </c>
      <c r="U8" s="72">
        <v>0.33900000000000002</v>
      </c>
      <c r="V8" s="72">
        <f t="shared" si="16"/>
        <v>13.994100294985248</v>
      </c>
      <c r="W8" s="73" t="s">
        <v>75</v>
      </c>
      <c r="X8" s="73" t="s">
        <v>75</v>
      </c>
      <c r="Y8" s="73" t="s">
        <v>75</v>
      </c>
      <c r="Z8" s="72">
        <v>0.51</v>
      </c>
      <c r="AA8" s="72">
        <v>0.68799999999999994</v>
      </c>
      <c r="AB8" s="72">
        <f t="shared" si="6"/>
        <v>0.36363636363636365</v>
      </c>
      <c r="AC8" s="73" t="s">
        <v>75</v>
      </c>
      <c r="AD8" s="73" t="s">
        <v>75</v>
      </c>
      <c r="AE8" s="73" t="s">
        <v>75</v>
      </c>
      <c r="AF8" s="73" t="s">
        <v>75</v>
      </c>
      <c r="AG8" s="73" t="s">
        <v>75</v>
      </c>
      <c r="AH8" s="73" t="s">
        <v>75</v>
      </c>
      <c r="AI8" s="72">
        <v>0.13500000000000001</v>
      </c>
      <c r="AJ8" s="72">
        <v>6.9000000000000006E-2</v>
      </c>
      <c r="AK8" s="72">
        <f t="shared" si="7"/>
        <v>1.9565217391304348</v>
      </c>
      <c r="AL8" s="73" t="s">
        <v>75</v>
      </c>
      <c r="AM8" s="72">
        <f t="shared" si="8"/>
        <v>0.72580645161290325</v>
      </c>
      <c r="AN8" s="72">
        <f t="shared" si="9"/>
        <v>0.13860369609856263</v>
      </c>
      <c r="AO8" s="72">
        <f t="shared" si="10"/>
        <v>0.45150501672240806</v>
      </c>
      <c r="AP8" s="72">
        <v>0.29899999999999999</v>
      </c>
      <c r="AQ8" s="72">
        <v>9.0999999999999998E-2</v>
      </c>
      <c r="AR8" s="72">
        <f t="shared" si="11"/>
        <v>0.15803382663847781</v>
      </c>
      <c r="AS8" s="72">
        <f t="shared" si="12"/>
        <v>3.2857142857142856</v>
      </c>
      <c r="AT8" s="72">
        <f t="shared" si="13"/>
        <v>0.30698151950718683</v>
      </c>
      <c r="AU8" s="72">
        <v>0.11700000000000001</v>
      </c>
      <c r="AV8" s="72">
        <v>0.153</v>
      </c>
      <c r="AW8" s="72">
        <f t="shared" si="14"/>
        <v>0.76470588235294124</v>
      </c>
      <c r="AX8" s="72">
        <f t="shared" si="15"/>
        <v>2.5555555555555554</v>
      </c>
      <c r="AY8" s="134" t="s">
        <v>75</v>
      </c>
      <c r="AZ8" s="136">
        <v>9</v>
      </c>
      <c r="BA8" s="134" t="s">
        <v>75</v>
      </c>
      <c r="BB8" s="134" t="s">
        <v>75</v>
      </c>
      <c r="BC8" s="247" t="s">
        <v>75</v>
      </c>
    </row>
    <row r="9" spans="2:55" ht="12.75" customHeight="1" x14ac:dyDescent="0.2">
      <c r="B9" s="86">
        <v>28012</v>
      </c>
      <c r="C9" s="76" t="s">
        <v>278</v>
      </c>
      <c r="D9" s="77" t="s">
        <v>275</v>
      </c>
      <c r="E9" s="77" t="s">
        <v>175</v>
      </c>
      <c r="F9" s="78">
        <f>1.107+1.296</f>
        <v>2.403</v>
      </c>
      <c r="G9" s="80">
        <f t="shared" si="0"/>
        <v>4.8150000000000004</v>
      </c>
      <c r="H9" s="80">
        <f t="shared" si="1"/>
        <v>2.0037453183520602</v>
      </c>
      <c r="I9" s="78">
        <v>0.125</v>
      </c>
      <c r="J9" s="78">
        <v>6.6000000000000003E-2</v>
      </c>
      <c r="K9" s="78">
        <v>1.149</v>
      </c>
      <c r="L9" s="78">
        <v>0.98599999999999999</v>
      </c>
      <c r="M9" s="78">
        <v>0.97299999999999998</v>
      </c>
      <c r="N9" s="78">
        <v>0.18</v>
      </c>
      <c r="O9" s="78">
        <f>0.325+0.141+0.123+0.153+0.129-0.088+0.553</f>
        <v>1.3360000000000001</v>
      </c>
      <c r="P9" s="78">
        <f>N:N+O:O</f>
        <v>1.516</v>
      </c>
      <c r="Q9" s="80">
        <f t="shared" si="2"/>
        <v>1.31940818102698</v>
      </c>
      <c r="R9" s="80">
        <f t="shared" si="3"/>
        <v>0.84682332463011312</v>
      </c>
      <c r="S9" s="80">
        <f t="shared" si="4"/>
        <v>0.85813751087902523</v>
      </c>
      <c r="T9" s="80">
        <f t="shared" si="5"/>
        <v>7.4222222222222225</v>
      </c>
      <c r="U9" s="78">
        <v>0.36</v>
      </c>
      <c r="V9" s="78">
        <f t="shared" si="16"/>
        <v>13.375000000000002</v>
      </c>
      <c r="W9" s="78">
        <v>0.85099999999999998</v>
      </c>
      <c r="X9" s="78">
        <v>0.126</v>
      </c>
      <c r="Y9" s="79" t="s">
        <v>75</v>
      </c>
      <c r="Z9" s="78">
        <v>0.51900000000000002</v>
      </c>
      <c r="AA9" s="78">
        <v>0.749</v>
      </c>
      <c r="AB9" s="78">
        <f t="shared" si="6"/>
        <v>0.31169371618809821</v>
      </c>
      <c r="AC9" s="78">
        <v>1.5329999999999999</v>
      </c>
      <c r="AD9" s="78">
        <f t="shared" ref="AD9:AD25" si="17">AC9/F9</f>
        <v>0.63795255930087391</v>
      </c>
      <c r="AE9" s="78">
        <v>0.127</v>
      </c>
      <c r="AF9" s="78">
        <f t="shared" ref="AF9:AF25" si="18">AE9/K9</f>
        <v>0.11053089643167972</v>
      </c>
      <c r="AG9" s="78">
        <f>AE:AE/P:P</f>
        <v>8.3773087071240107E-2</v>
      </c>
      <c r="AH9" s="78">
        <f>AE9/N9</f>
        <v>0.7055555555555556</v>
      </c>
      <c r="AI9" s="78">
        <v>0.13600000000000001</v>
      </c>
      <c r="AJ9" s="78">
        <v>7.4999999999999997E-2</v>
      </c>
      <c r="AK9" s="78">
        <f t="shared" si="7"/>
        <v>1.8133333333333335</v>
      </c>
      <c r="AL9" s="78">
        <f>AI9/AE9</f>
        <v>1.0708661417322836</v>
      </c>
      <c r="AM9" s="78">
        <f t="shared" si="8"/>
        <v>0.75555555555555565</v>
      </c>
      <c r="AN9" s="78">
        <f t="shared" si="9"/>
        <v>0.11836379460400349</v>
      </c>
      <c r="AO9" s="78">
        <f t="shared" si="10"/>
        <v>0.42500000000000004</v>
      </c>
      <c r="AP9" s="78">
        <v>0.32</v>
      </c>
      <c r="AQ9" s="78">
        <v>9.8000000000000004E-2</v>
      </c>
      <c r="AR9" s="78">
        <f t="shared" si="11"/>
        <v>0.13316687473990846</v>
      </c>
      <c r="AS9" s="78">
        <f t="shared" si="12"/>
        <v>3.2653061224489797</v>
      </c>
      <c r="AT9" s="78">
        <f t="shared" si="13"/>
        <v>0.278503046127067</v>
      </c>
      <c r="AU9" s="78">
        <v>0.13400000000000001</v>
      </c>
      <c r="AV9" s="78">
        <v>0.16600000000000001</v>
      </c>
      <c r="AW9" s="78">
        <f t="shared" si="14"/>
        <v>0.80722891566265065</v>
      </c>
      <c r="AX9" s="78">
        <f t="shared" si="15"/>
        <v>2.3880597014925371</v>
      </c>
      <c r="AY9" s="137">
        <v>5</v>
      </c>
      <c r="AZ9" s="137">
        <v>8</v>
      </c>
      <c r="BA9" s="137">
        <v>14</v>
      </c>
      <c r="BB9" s="137">
        <v>7</v>
      </c>
      <c r="BC9" s="145">
        <v>8</v>
      </c>
    </row>
    <row r="10" spans="2:55" ht="12.75" customHeight="1" x14ac:dyDescent="0.2">
      <c r="B10" s="75"/>
      <c r="C10" s="77"/>
      <c r="D10" s="77"/>
      <c r="E10" s="77"/>
      <c r="F10" s="78">
        <f>1.107+1.296</f>
        <v>2.403</v>
      </c>
      <c r="G10" s="114" t="s">
        <v>75</v>
      </c>
      <c r="H10" s="114" t="s">
        <v>75</v>
      </c>
      <c r="I10" s="78">
        <v>0.122</v>
      </c>
      <c r="J10" s="78">
        <v>6.4000000000000001E-2</v>
      </c>
      <c r="K10" s="78">
        <v>1.1879999999999999</v>
      </c>
      <c r="L10" s="78">
        <v>0.97399999999999998</v>
      </c>
      <c r="M10" s="78">
        <v>0.90600000000000003</v>
      </c>
      <c r="N10" s="79" t="s">
        <v>75</v>
      </c>
      <c r="O10" s="79" t="s">
        <v>75</v>
      </c>
      <c r="P10" s="79" t="s">
        <v>75</v>
      </c>
      <c r="Q10" s="114" t="s">
        <v>75</v>
      </c>
      <c r="R10" s="80">
        <f t="shared" si="3"/>
        <v>0.76262626262626265</v>
      </c>
      <c r="S10" s="80">
        <f t="shared" si="4"/>
        <v>0.81986531986531985</v>
      </c>
      <c r="T10" s="114" t="s">
        <v>75</v>
      </c>
      <c r="U10" s="78">
        <v>0.36</v>
      </c>
      <c r="V10" s="79" t="s">
        <v>75</v>
      </c>
      <c r="W10" s="78">
        <v>0.85499999999999998</v>
      </c>
      <c r="X10" s="78">
        <v>0.109</v>
      </c>
      <c r="Y10" s="78">
        <f>W:W/X:X</f>
        <v>7.8440366972477067</v>
      </c>
      <c r="Z10" s="78">
        <v>0.55700000000000005</v>
      </c>
      <c r="AA10" s="78">
        <v>0.77500000000000002</v>
      </c>
      <c r="AB10" s="78">
        <f t="shared" si="6"/>
        <v>0.32251352476071576</v>
      </c>
      <c r="AC10" s="78">
        <v>1.5549999999999999</v>
      </c>
      <c r="AD10" s="78">
        <f t="shared" si="17"/>
        <v>0.64710778193924257</v>
      </c>
      <c r="AE10" s="78">
        <v>0.123</v>
      </c>
      <c r="AF10" s="78">
        <f t="shared" si="18"/>
        <v>0.10353535353535354</v>
      </c>
      <c r="AG10" s="79" t="s">
        <v>75</v>
      </c>
      <c r="AH10" s="79" t="s">
        <v>75</v>
      </c>
      <c r="AI10" s="78">
        <v>0.13600000000000001</v>
      </c>
      <c r="AJ10" s="78">
        <v>7.4999999999999997E-2</v>
      </c>
      <c r="AK10" s="78">
        <f t="shared" si="7"/>
        <v>1.8133333333333335</v>
      </c>
      <c r="AL10" s="78">
        <f>AI10/AE10</f>
        <v>1.1056910569105691</v>
      </c>
      <c r="AM10" s="79" t="s">
        <v>75</v>
      </c>
      <c r="AN10" s="78">
        <f t="shared" si="9"/>
        <v>0.1144781144781145</v>
      </c>
      <c r="AO10" s="78">
        <f t="shared" si="10"/>
        <v>0.45333333333333337</v>
      </c>
      <c r="AP10" s="78">
        <v>0.3</v>
      </c>
      <c r="AQ10" s="78">
        <v>9.9000000000000005E-2</v>
      </c>
      <c r="AR10" s="78">
        <f t="shared" si="11"/>
        <v>0.12484394506866417</v>
      </c>
      <c r="AS10" s="78">
        <f t="shared" si="12"/>
        <v>3.0303030303030298</v>
      </c>
      <c r="AT10" s="78">
        <f t="shared" si="13"/>
        <v>0.25252525252525254</v>
      </c>
      <c r="AU10" s="78">
        <v>0.13400000000000001</v>
      </c>
      <c r="AV10" s="78">
        <v>0.16600000000000001</v>
      </c>
      <c r="AW10" s="78">
        <f t="shared" si="14"/>
        <v>0.80722891566265065</v>
      </c>
      <c r="AX10" s="78">
        <f t="shared" si="15"/>
        <v>2.2388059701492535</v>
      </c>
      <c r="AY10" s="135" t="s">
        <v>75</v>
      </c>
      <c r="AZ10" s="137">
        <v>10</v>
      </c>
      <c r="BA10" s="135" t="s">
        <v>75</v>
      </c>
      <c r="BB10" s="135" t="s">
        <v>75</v>
      </c>
      <c r="BC10" s="242" t="s">
        <v>75</v>
      </c>
    </row>
    <row r="11" spans="2:55" ht="12.75" customHeight="1" x14ac:dyDescent="0.2">
      <c r="B11" s="83">
        <v>22129</v>
      </c>
      <c r="C11" s="70" t="s">
        <v>278</v>
      </c>
      <c r="D11" s="71" t="s">
        <v>276</v>
      </c>
      <c r="E11" s="71" t="s">
        <v>207</v>
      </c>
      <c r="F11" s="72">
        <f>1.261+0.729</f>
        <v>1.9899999999999998</v>
      </c>
      <c r="G11" s="82">
        <f t="shared" si="0"/>
        <v>3.847</v>
      </c>
      <c r="H11" s="82">
        <f t="shared" si="1"/>
        <v>1.9331658291457288</v>
      </c>
      <c r="I11" s="72">
        <v>0.107</v>
      </c>
      <c r="J11" s="72">
        <v>5.3999999999999999E-2</v>
      </c>
      <c r="K11" s="72">
        <v>0.88900000000000001</v>
      </c>
      <c r="L11" s="72">
        <v>0.69099999999999995</v>
      </c>
      <c r="M11" s="72">
        <v>0.63100000000000001</v>
      </c>
      <c r="N11" s="72">
        <v>0.14899999999999999</v>
      </c>
      <c r="O11" s="72">
        <f>0.478+0.848</f>
        <v>1.3260000000000001</v>
      </c>
      <c r="P11" s="72">
        <f>N:N+O:O</f>
        <v>1.4750000000000001</v>
      </c>
      <c r="Q11" s="82">
        <f t="shared" si="2"/>
        <v>1.6591676040494938</v>
      </c>
      <c r="R11" s="82">
        <f t="shared" si="3"/>
        <v>0.70978627671541061</v>
      </c>
      <c r="S11" s="82">
        <f t="shared" si="4"/>
        <v>0.77727784026996616</v>
      </c>
      <c r="T11" s="82">
        <f t="shared" si="5"/>
        <v>8.8993288590604038</v>
      </c>
      <c r="U11" s="72">
        <v>0.32500000000000001</v>
      </c>
      <c r="V11" s="72">
        <f t="shared" si="16"/>
        <v>11.836923076923076</v>
      </c>
      <c r="W11" s="72">
        <v>0.65200000000000002</v>
      </c>
      <c r="X11" s="72">
        <v>0.14000000000000001</v>
      </c>
      <c r="Y11" s="72">
        <f>W:W/X:X</f>
        <v>4.6571428571428566</v>
      </c>
      <c r="Z11" s="72">
        <v>0.41499999999999998</v>
      </c>
      <c r="AA11" s="72">
        <v>0.51</v>
      </c>
      <c r="AB11" s="72">
        <f t="shared" si="6"/>
        <v>0.25628140703517593</v>
      </c>
      <c r="AC11" s="72">
        <v>1.1579999999999999</v>
      </c>
      <c r="AD11" s="72">
        <f t="shared" si="17"/>
        <v>0.58190954773869352</v>
      </c>
      <c r="AE11" s="72">
        <v>0.10199999999999999</v>
      </c>
      <c r="AF11" s="72">
        <f t="shared" si="18"/>
        <v>0.11473565804274465</v>
      </c>
      <c r="AG11" s="72">
        <f>AE:AE/P:P</f>
        <v>6.9152542372881348E-2</v>
      </c>
      <c r="AH11" s="72">
        <f t="shared" ref="AH11:AH25" si="19">AE11/N11</f>
        <v>0.68456375838926176</v>
      </c>
      <c r="AI11" s="73" t="s">
        <v>75</v>
      </c>
      <c r="AJ11" s="73" t="s">
        <v>75</v>
      </c>
      <c r="AK11" s="73" t="s">
        <v>75</v>
      </c>
      <c r="AL11" s="73" t="s">
        <v>75</v>
      </c>
      <c r="AM11" s="73" t="s">
        <v>75</v>
      </c>
      <c r="AN11" s="73" t="s">
        <v>75</v>
      </c>
      <c r="AO11" s="73" t="s">
        <v>75</v>
      </c>
      <c r="AP11" s="72">
        <v>0.214</v>
      </c>
      <c r="AQ11" s="72">
        <v>0.113</v>
      </c>
      <c r="AR11" s="72">
        <f t="shared" si="11"/>
        <v>0.10753768844221107</v>
      </c>
      <c r="AS11" s="72">
        <f t="shared" si="12"/>
        <v>1.8938053097345131</v>
      </c>
      <c r="AT11" s="72">
        <f t="shared" si="13"/>
        <v>0.24071991001124859</v>
      </c>
      <c r="AU11" s="72">
        <v>9.5000000000000001E-2</v>
      </c>
      <c r="AV11" s="72">
        <v>0.115</v>
      </c>
      <c r="AW11" s="72">
        <f t="shared" si="14"/>
        <v>0.82608695652173914</v>
      </c>
      <c r="AX11" s="72">
        <f t="shared" si="15"/>
        <v>2.2526315789473683</v>
      </c>
      <c r="AY11" s="136">
        <v>5</v>
      </c>
      <c r="AZ11" s="136">
        <v>6</v>
      </c>
      <c r="BA11" s="134" t="s">
        <v>75</v>
      </c>
      <c r="BB11" s="136">
        <v>5</v>
      </c>
      <c r="BC11" s="143">
        <v>6</v>
      </c>
    </row>
    <row r="12" spans="2:55" ht="12.75" customHeight="1" x14ac:dyDescent="0.2">
      <c r="B12" s="69"/>
      <c r="C12" s="71"/>
      <c r="D12" s="71"/>
      <c r="E12" s="71"/>
      <c r="F12" s="72">
        <f>1.261+0.729</f>
        <v>1.9899999999999998</v>
      </c>
      <c r="G12" s="82">
        <f t="shared" si="0"/>
        <v>3.6159999999999997</v>
      </c>
      <c r="H12" s="82">
        <f t="shared" si="1"/>
        <v>1.8170854271356784</v>
      </c>
      <c r="I12" s="72">
        <v>0.106</v>
      </c>
      <c r="J12" s="72">
        <v>5.2999999999999999E-2</v>
      </c>
      <c r="K12" s="72">
        <v>0.90700000000000003</v>
      </c>
      <c r="L12" s="72">
        <v>0.69899999999999995</v>
      </c>
      <c r="M12" s="72">
        <v>0.61</v>
      </c>
      <c r="N12" s="72">
        <v>0.14599999999999999</v>
      </c>
      <c r="O12" s="72">
        <v>1.095</v>
      </c>
      <c r="P12" s="72">
        <f>N:N+O:O</f>
        <v>1.2409999999999999</v>
      </c>
      <c r="Q12" s="82">
        <f t="shared" si="2"/>
        <v>1.3682469680264606</v>
      </c>
      <c r="R12" s="82">
        <f t="shared" si="3"/>
        <v>0.67254685777287759</v>
      </c>
      <c r="S12" s="82">
        <f t="shared" si="4"/>
        <v>0.77067254685777276</v>
      </c>
      <c r="T12" s="82">
        <f t="shared" si="5"/>
        <v>7.5</v>
      </c>
      <c r="U12" s="72">
        <v>0.32500000000000001</v>
      </c>
      <c r="V12" s="72">
        <f t="shared" si="16"/>
        <v>11.126153846153844</v>
      </c>
      <c r="W12" s="73" t="s">
        <v>75</v>
      </c>
      <c r="X12" s="73" t="s">
        <v>75</v>
      </c>
      <c r="Y12" s="73" t="s">
        <v>75</v>
      </c>
      <c r="Z12" s="72">
        <v>0.40799999999999997</v>
      </c>
      <c r="AA12" s="72">
        <v>0.51400000000000001</v>
      </c>
      <c r="AB12" s="72">
        <f t="shared" si="6"/>
        <v>0.25829145728643221</v>
      </c>
      <c r="AC12" s="72">
        <v>1.1140000000000001</v>
      </c>
      <c r="AD12" s="72">
        <f t="shared" si="17"/>
        <v>0.55979899497487451</v>
      </c>
      <c r="AE12" s="72">
        <v>0.109</v>
      </c>
      <c r="AF12" s="72">
        <f t="shared" si="18"/>
        <v>0.12017640573318633</v>
      </c>
      <c r="AG12" s="72">
        <f>AE:AE/P:P</f>
        <v>8.7832393231265113E-2</v>
      </c>
      <c r="AH12" s="72">
        <f t="shared" si="19"/>
        <v>0.74657534246575352</v>
      </c>
      <c r="AI12" s="73" t="s">
        <v>75</v>
      </c>
      <c r="AJ12" s="73" t="s">
        <v>75</v>
      </c>
      <c r="AK12" s="73" t="s">
        <v>75</v>
      </c>
      <c r="AL12" s="73" t="s">
        <v>75</v>
      </c>
      <c r="AM12" s="73" t="s">
        <v>75</v>
      </c>
      <c r="AN12" s="73" t="s">
        <v>75</v>
      </c>
      <c r="AO12" s="73" t="s">
        <v>75</v>
      </c>
      <c r="AP12" s="72">
        <v>0.23300000000000001</v>
      </c>
      <c r="AQ12" s="72">
        <v>0.10100000000000001</v>
      </c>
      <c r="AR12" s="72">
        <f t="shared" si="11"/>
        <v>0.11708542713567842</v>
      </c>
      <c r="AS12" s="72">
        <f t="shared" si="12"/>
        <v>2.3069306930693068</v>
      </c>
      <c r="AT12" s="72">
        <f t="shared" si="13"/>
        <v>0.25689084895259096</v>
      </c>
      <c r="AU12" s="72">
        <v>9.5000000000000001E-2</v>
      </c>
      <c r="AV12" s="72">
        <v>0.115</v>
      </c>
      <c r="AW12" s="72">
        <f t="shared" si="14"/>
        <v>0.82608695652173914</v>
      </c>
      <c r="AX12" s="72">
        <f t="shared" si="15"/>
        <v>2.4526315789473685</v>
      </c>
      <c r="AY12" s="134" t="s">
        <v>75</v>
      </c>
      <c r="AZ12" s="136">
        <v>7</v>
      </c>
      <c r="BA12" s="134" t="s">
        <v>75</v>
      </c>
      <c r="BB12" s="134" t="s">
        <v>75</v>
      </c>
      <c r="BC12" s="247" t="s">
        <v>75</v>
      </c>
    </row>
    <row r="13" spans="2:55" ht="12.75" customHeight="1" x14ac:dyDescent="0.2">
      <c r="B13" s="86">
        <v>22129</v>
      </c>
      <c r="C13" s="76" t="s">
        <v>278</v>
      </c>
      <c r="D13" s="77" t="s">
        <v>276</v>
      </c>
      <c r="E13" s="77" t="s">
        <v>207</v>
      </c>
      <c r="F13" s="78">
        <f>1.058+1.31</f>
        <v>2.3680000000000003</v>
      </c>
      <c r="G13" s="80">
        <f t="shared" si="0"/>
        <v>4.3130000000000006</v>
      </c>
      <c r="H13" s="80">
        <f t="shared" si="1"/>
        <v>1.8213682432432432</v>
      </c>
      <c r="I13" s="78">
        <v>0.12</v>
      </c>
      <c r="J13" s="78">
        <v>6.5000000000000002E-2</v>
      </c>
      <c r="K13" s="78">
        <v>1.0680000000000001</v>
      </c>
      <c r="L13" s="78">
        <v>0.79700000000000004</v>
      </c>
      <c r="M13" s="78">
        <v>0.77800000000000002</v>
      </c>
      <c r="N13" s="78">
        <v>0.154</v>
      </c>
      <c r="O13" s="78">
        <f>0.72+0.467+0.144</f>
        <v>1.331</v>
      </c>
      <c r="P13" s="78">
        <f>N:N+O:O</f>
        <v>1.4849999999999999</v>
      </c>
      <c r="Q13" s="80">
        <f t="shared" si="2"/>
        <v>1.390449438202247</v>
      </c>
      <c r="R13" s="80">
        <f t="shared" si="3"/>
        <v>0.72846441947565543</v>
      </c>
      <c r="S13" s="80">
        <f t="shared" si="4"/>
        <v>0.74625468164794007</v>
      </c>
      <c r="T13" s="80">
        <f t="shared" si="5"/>
        <v>8.6428571428571423</v>
      </c>
      <c r="U13" s="78">
        <v>0.35299999999999998</v>
      </c>
      <c r="V13" s="78">
        <f t="shared" si="16"/>
        <v>12.218130311614733</v>
      </c>
      <c r="W13" s="78">
        <v>0.8</v>
      </c>
      <c r="X13" s="78">
        <v>0.159</v>
      </c>
      <c r="Y13" s="78">
        <f>W:W/X:X</f>
        <v>5.0314465408805029</v>
      </c>
      <c r="Z13" s="78">
        <v>0.499</v>
      </c>
      <c r="AA13" s="78">
        <v>0.67600000000000005</v>
      </c>
      <c r="AB13" s="78">
        <f t="shared" si="6"/>
        <v>0.28547297297297297</v>
      </c>
      <c r="AC13" s="78">
        <v>1.345</v>
      </c>
      <c r="AD13" s="78">
        <f t="shared" si="17"/>
        <v>0.5679898648648648</v>
      </c>
      <c r="AE13" s="78">
        <v>0.11700000000000001</v>
      </c>
      <c r="AF13" s="78">
        <f t="shared" si="18"/>
        <v>0.10955056179775281</v>
      </c>
      <c r="AG13" s="78">
        <f>AE:AE/P:P</f>
        <v>7.8787878787878796E-2</v>
      </c>
      <c r="AH13" s="78">
        <f t="shared" si="19"/>
        <v>0.75974025974025983</v>
      </c>
      <c r="AI13" s="78">
        <v>0.125</v>
      </c>
      <c r="AJ13" s="78">
        <v>7.0000000000000007E-2</v>
      </c>
      <c r="AK13" s="78">
        <f t="shared" si="7"/>
        <v>1.7857142857142856</v>
      </c>
      <c r="AL13" s="78">
        <f>AI13/AE13</f>
        <v>1.0683760683760684</v>
      </c>
      <c r="AM13" s="78">
        <f>AI13/N13</f>
        <v>0.81168831168831168</v>
      </c>
      <c r="AN13" s="78">
        <f>AI13/K13</f>
        <v>0.11704119850187265</v>
      </c>
      <c r="AO13" s="78">
        <f t="shared" si="10"/>
        <v>0.46816479400749061</v>
      </c>
      <c r="AP13" s="78">
        <v>0.26700000000000002</v>
      </c>
      <c r="AQ13" s="78">
        <v>0.11799999999999999</v>
      </c>
      <c r="AR13" s="78">
        <f t="shared" si="11"/>
        <v>0.11275337837837837</v>
      </c>
      <c r="AS13" s="78">
        <f t="shared" si="12"/>
        <v>2.2627118644067798</v>
      </c>
      <c r="AT13" s="78">
        <f t="shared" si="13"/>
        <v>0.25</v>
      </c>
      <c r="AU13" s="78">
        <v>0.11700000000000001</v>
      </c>
      <c r="AV13" s="78">
        <v>0.14000000000000001</v>
      </c>
      <c r="AW13" s="78">
        <f t="shared" si="14"/>
        <v>0.83571428571428563</v>
      </c>
      <c r="AX13" s="78">
        <f t="shared" si="15"/>
        <v>2.2820512820512819</v>
      </c>
      <c r="AY13" s="137">
        <v>4</v>
      </c>
      <c r="AZ13" s="137">
        <v>8</v>
      </c>
      <c r="BA13" s="137">
        <v>11</v>
      </c>
      <c r="BB13" s="137">
        <v>7</v>
      </c>
      <c r="BC13" s="145">
        <v>5</v>
      </c>
    </row>
    <row r="14" spans="2:55" ht="12.75" customHeight="1" x14ac:dyDescent="0.2">
      <c r="B14" s="75"/>
      <c r="C14" s="77"/>
      <c r="D14" s="77"/>
      <c r="E14" s="77"/>
      <c r="F14" s="78">
        <f>1.058+1.31</f>
        <v>2.3680000000000003</v>
      </c>
      <c r="G14" s="80">
        <f t="shared" si="0"/>
        <v>4.1950000000000003</v>
      </c>
      <c r="H14" s="80">
        <f t="shared" si="1"/>
        <v>1.7715371621621621</v>
      </c>
      <c r="I14" s="78">
        <v>0.12</v>
      </c>
      <c r="J14" s="78">
        <v>6.4000000000000001E-2</v>
      </c>
      <c r="K14" s="78">
        <v>1.0329999999999999</v>
      </c>
      <c r="L14" s="78">
        <v>0.80300000000000005</v>
      </c>
      <c r="M14" s="78">
        <v>0.81100000000000005</v>
      </c>
      <c r="N14" s="78">
        <v>0.156</v>
      </c>
      <c r="O14" s="78">
        <v>1.208</v>
      </c>
      <c r="P14" s="78">
        <f>N:N+O:O</f>
        <v>1.3639999999999999</v>
      </c>
      <c r="Q14" s="80">
        <f t="shared" si="2"/>
        <v>1.3204259438528558</v>
      </c>
      <c r="R14" s="80">
        <f t="shared" si="3"/>
        <v>0.78509196515004853</v>
      </c>
      <c r="S14" s="80">
        <f t="shared" si="4"/>
        <v>0.77734753146176194</v>
      </c>
      <c r="T14" s="80">
        <f t="shared" si="5"/>
        <v>7.7435897435897436</v>
      </c>
      <c r="U14" s="78">
        <v>0.35299999999999998</v>
      </c>
      <c r="V14" s="78">
        <f t="shared" si="16"/>
        <v>11.883852691218133</v>
      </c>
      <c r="W14" s="79" t="s">
        <v>75</v>
      </c>
      <c r="X14" s="79" t="s">
        <v>75</v>
      </c>
      <c r="Y14" s="79" t="s">
        <v>75</v>
      </c>
      <c r="Z14" s="78">
        <v>0.49099999999999999</v>
      </c>
      <c r="AA14" s="78">
        <v>0.67700000000000005</v>
      </c>
      <c r="AB14" s="78">
        <f t="shared" si="6"/>
        <v>0.28589527027027023</v>
      </c>
      <c r="AC14" s="78">
        <v>1.3640000000000001</v>
      </c>
      <c r="AD14" s="78">
        <f t="shared" si="17"/>
        <v>0.57601351351351349</v>
      </c>
      <c r="AE14" s="78">
        <v>0.11700000000000001</v>
      </c>
      <c r="AF14" s="78">
        <f t="shared" si="18"/>
        <v>0.11326234269119072</v>
      </c>
      <c r="AG14" s="78">
        <f>AE:AE/P:P</f>
        <v>8.5777126099706752E-2</v>
      </c>
      <c r="AH14" s="78">
        <f t="shared" si="19"/>
        <v>0.75</v>
      </c>
      <c r="AI14" s="78">
        <v>0.125</v>
      </c>
      <c r="AJ14" s="78">
        <v>7.0000000000000007E-2</v>
      </c>
      <c r="AK14" s="78">
        <f t="shared" si="7"/>
        <v>1.7857142857142856</v>
      </c>
      <c r="AL14" s="78">
        <f>AI14/AE14</f>
        <v>1.0683760683760684</v>
      </c>
      <c r="AM14" s="78">
        <f>AI14/N14</f>
        <v>0.80128205128205132</v>
      </c>
      <c r="AN14" s="78">
        <f>AI14/K14</f>
        <v>0.12100677637947727</v>
      </c>
      <c r="AO14" s="78">
        <f t="shared" si="10"/>
        <v>0.48449612403100772</v>
      </c>
      <c r="AP14" s="78">
        <v>0.25800000000000001</v>
      </c>
      <c r="AQ14" s="78">
        <v>0.13700000000000001</v>
      </c>
      <c r="AR14" s="78">
        <f t="shared" si="11"/>
        <v>0.10895270270270269</v>
      </c>
      <c r="AS14" s="78">
        <f t="shared" si="12"/>
        <v>1.8832116788321167</v>
      </c>
      <c r="AT14" s="78">
        <f t="shared" si="13"/>
        <v>0.24975798644724106</v>
      </c>
      <c r="AU14" s="78">
        <v>0.11700000000000001</v>
      </c>
      <c r="AV14" s="78">
        <v>0.14000000000000001</v>
      </c>
      <c r="AW14" s="78">
        <f t="shared" si="14"/>
        <v>0.83571428571428563</v>
      </c>
      <c r="AX14" s="78">
        <f t="shared" si="15"/>
        <v>2.2051282051282048</v>
      </c>
      <c r="AY14" s="135" t="s">
        <v>75</v>
      </c>
      <c r="AZ14" s="137">
        <v>9</v>
      </c>
      <c r="BA14" s="135" t="s">
        <v>75</v>
      </c>
      <c r="BB14" s="135" t="s">
        <v>75</v>
      </c>
      <c r="BC14" s="242" t="s">
        <v>75</v>
      </c>
    </row>
    <row r="15" spans="2:55" ht="12.75" customHeight="1" x14ac:dyDescent="0.2">
      <c r="B15" s="83">
        <v>22129</v>
      </c>
      <c r="C15" s="70" t="s">
        <v>278</v>
      </c>
      <c r="D15" s="71" t="s">
        <v>276</v>
      </c>
      <c r="E15" s="71" t="s">
        <v>207</v>
      </c>
      <c r="F15" s="72">
        <v>1.7509999999999999</v>
      </c>
      <c r="G15" s="82">
        <f t="shared" si="0"/>
        <v>3.1989999999999998</v>
      </c>
      <c r="H15" s="82">
        <f t="shared" si="1"/>
        <v>1.826956025128498</v>
      </c>
      <c r="I15" s="72">
        <v>0.12</v>
      </c>
      <c r="J15" s="72">
        <v>5.8000000000000003E-2</v>
      </c>
      <c r="K15" s="72">
        <v>0.76600000000000001</v>
      </c>
      <c r="L15" s="72">
        <v>0.58599999999999997</v>
      </c>
      <c r="M15" s="72">
        <v>0.625</v>
      </c>
      <c r="N15" s="72">
        <v>0.14899999999999999</v>
      </c>
      <c r="O15" s="72">
        <v>0.89500000000000002</v>
      </c>
      <c r="P15" s="72">
        <f>N:N+O:O</f>
        <v>1.044</v>
      </c>
      <c r="Q15" s="82">
        <f t="shared" si="2"/>
        <v>1.3629242819843341</v>
      </c>
      <c r="R15" s="82">
        <f t="shared" si="3"/>
        <v>0.81592689295039167</v>
      </c>
      <c r="S15" s="82">
        <f t="shared" si="4"/>
        <v>0.76501305483028714</v>
      </c>
      <c r="T15" s="82">
        <f t="shared" si="5"/>
        <v>6.0067114093959733</v>
      </c>
      <c r="U15" s="72">
        <v>0.33600000000000002</v>
      </c>
      <c r="V15" s="72">
        <f t="shared" si="16"/>
        <v>9.5208333333333321</v>
      </c>
      <c r="W15" s="72">
        <v>0.61</v>
      </c>
      <c r="X15" s="72">
        <v>0.13400000000000001</v>
      </c>
      <c r="Y15" s="72">
        <f t="shared" ref="Y15:Y30" si="20">W:W/X:X</f>
        <v>4.5522388059701493</v>
      </c>
      <c r="Z15" s="72">
        <v>0.41099999999999998</v>
      </c>
      <c r="AA15" s="72">
        <v>0.53300000000000003</v>
      </c>
      <c r="AB15" s="72">
        <f t="shared" si="6"/>
        <v>0.30439748715019993</v>
      </c>
      <c r="AC15" s="72">
        <v>1.1459999999999999</v>
      </c>
      <c r="AD15" s="72">
        <f t="shared" si="17"/>
        <v>0.65448315248429467</v>
      </c>
      <c r="AE15" s="72">
        <v>0.111</v>
      </c>
      <c r="AF15" s="72">
        <f t="shared" si="18"/>
        <v>0.14490861618798956</v>
      </c>
      <c r="AG15" s="72">
        <f>AE:AE/P:P</f>
        <v>0.10632183908045977</v>
      </c>
      <c r="AH15" s="72">
        <f t="shared" si="19"/>
        <v>0.74496644295302017</v>
      </c>
      <c r="AI15" s="73" t="s">
        <v>75</v>
      </c>
      <c r="AJ15" s="73" t="s">
        <v>75</v>
      </c>
      <c r="AK15" s="73" t="s">
        <v>75</v>
      </c>
      <c r="AL15" s="73" t="s">
        <v>75</v>
      </c>
      <c r="AM15" s="73" t="s">
        <v>75</v>
      </c>
      <c r="AN15" s="73" t="s">
        <v>75</v>
      </c>
      <c r="AO15" s="73" t="s">
        <v>75</v>
      </c>
      <c r="AP15" s="72">
        <v>0.186</v>
      </c>
      <c r="AQ15" s="72">
        <v>9.9000000000000005E-2</v>
      </c>
      <c r="AR15" s="72">
        <f t="shared" si="11"/>
        <v>0.10622501427755569</v>
      </c>
      <c r="AS15" s="72">
        <f t="shared" si="12"/>
        <v>1.8787878787878787</v>
      </c>
      <c r="AT15" s="72">
        <f t="shared" si="13"/>
        <v>0.24281984334203655</v>
      </c>
      <c r="AU15" s="72">
        <v>9.1999999999999998E-2</v>
      </c>
      <c r="AV15" s="72">
        <v>8.5000000000000006E-2</v>
      </c>
      <c r="AW15" s="72">
        <f t="shared" si="14"/>
        <v>1.0823529411764705</v>
      </c>
      <c r="AX15" s="72">
        <f t="shared" si="15"/>
        <v>2.0217391304347827</v>
      </c>
      <c r="AY15" s="136">
        <v>4</v>
      </c>
      <c r="AZ15" s="136">
        <v>6</v>
      </c>
      <c r="BA15" s="134" t="s">
        <v>75</v>
      </c>
      <c r="BB15" s="136">
        <v>4</v>
      </c>
      <c r="BC15" s="143">
        <v>5</v>
      </c>
    </row>
    <row r="16" spans="2:55" ht="12.75" customHeight="1" x14ac:dyDescent="0.2">
      <c r="B16" s="69"/>
      <c r="C16" s="71"/>
      <c r="D16" s="71"/>
      <c r="E16" s="71"/>
      <c r="F16" s="72">
        <v>1.7509999999999999</v>
      </c>
      <c r="G16" s="110" t="s">
        <v>75</v>
      </c>
      <c r="H16" s="110" t="s">
        <v>75</v>
      </c>
      <c r="I16" s="72">
        <v>0.11799999999999999</v>
      </c>
      <c r="J16" s="72">
        <v>5.8999999999999997E-2</v>
      </c>
      <c r="K16" s="72">
        <v>0.78900000000000003</v>
      </c>
      <c r="L16" s="72">
        <v>0.63</v>
      </c>
      <c r="M16" s="72">
        <v>0.64800000000000002</v>
      </c>
      <c r="N16" s="72">
        <v>0.14099999999999999</v>
      </c>
      <c r="O16" s="73" t="s">
        <v>75</v>
      </c>
      <c r="P16" s="73" t="s">
        <v>75</v>
      </c>
      <c r="Q16" s="110" t="s">
        <v>75</v>
      </c>
      <c r="R16" s="82">
        <f t="shared" si="3"/>
        <v>0.82129277566539927</v>
      </c>
      <c r="S16" s="82">
        <f t="shared" si="4"/>
        <v>0.79847908745247143</v>
      </c>
      <c r="T16" s="110" t="s">
        <v>75</v>
      </c>
      <c r="U16" s="72">
        <v>0.33600000000000002</v>
      </c>
      <c r="V16" s="73" t="s">
        <v>75</v>
      </c>
      <c r="W16" s="72">
        <v>0.61699999999999999</v>
      </c>
      <c r="X16" s="72">
        <v>0.14799999999999999</v>
      </c>
      <c r="Y16" s="72">
        <f t="shared" si="20"/>
        <v>4.1689189189189193</v>
      </c>
      <c r="Z16" s="72">
        <v>0.41399999999999998</v>
      </c>
      <c r="AA16" s="72">
        <v>0.54300000000000004</v>
      </c>
      <c r="AB16" s="72">
        <f t="shared" si="6"/>
        <v>0.3101085094231868</v>
      </c>
      <c r="AC16" s="72">
        <v>1.1200000000000001</v>
      </c>
      <c r="AD16" s="72">
        <f t="shared" si="17"/>
        <v>0.63963449457452892</v>
      </c>
      <c r="AE16" s="72">
        <v>0.106</v>
      </c>
      <c r="AF16" s="72">
        <f t="shared" si="18"/>
        <v>0.13434727503168567</v>
      </c>
      <c r="AG16" s="73" t="s">
        <v>75</v>
      </c>
      <c r="AH16" s="72">
        <f t="shared" si="19"/>
        <v>0.75177304964539016</v>
      </c>
      <c r="AI16" s="73" t="s">
        <v>75</v>
      </c>
      <c r="AJ16" s="73" t="s">
        <v>75</v>
      </c>
      <c r="AK16" s="73" t="s">
        <v>75</v>
      </c>
      <c r="AL16" s="73" t="s">
        <v>75</v>
      </c>
      <c r="AM16" s="73" t="s">
        <v>75</v>
      </c>
      <c r="AN16" s="73" t="s">
        <v>75</v>
      </c>
      <c r="AO16" s="73" t="s">
        <v>75</v>
      </c>
      <c r="AP16" s="72">
        <v>0.188</v>
      </c>
      <c r="AQ16" s="72">
        <v>9.6000000000000002E-2</v>
      </c>
      <c r="AR16" s="72">
        <f t="shared" si="11"/>
        <v>0.10736721873215306</v>
      </c>
      <c r="AS16" s="72">
        <f t="shared" si="12"/>
        <v>1.9583333333333333</v>
      </c>
      <c r="AT16" s="72">
        <f t="shared" si="13"/>
        <v>0.23827629911280102</v>
      </c>
      <c r="AU16" s="72">
        <v>9.1999999999999998E-2</v>
      </c>
      <c r="AV16" s="72">
        <v>8.5000000000000006E-2</v>
      </c>
      <c r="AW16" s="72">
        <f t="shared" si="14"/>
        <v>1.0823529411764705</v>
      </c>
      <c r="AX16" s="72">
        <f t="shared" si="15"/>
        <v>2.0434782608695654</v>
      </c>
      <c r="AY16" s="134" t="s">
        <v>75</v>
      </c>
      <c r="AZ16" s="136">
        <v>7</v>
      </c>
      <c r="BA16" s="134" t="s">
        <v>75</v>
      </c>
      <c r="BB16" s="134" t="s">
        <v>75</v>
      </c>
      <c r="BC16" s="247" t="s">
        <v>75</v>
      </c>
    </row>
    <row r="17" spans="2:57" ht="12.75" customHeight="1" x14ac:dyDescent="0.2">
      <c r="B17" s="86">
        <v>22129</v>
      </c>
      <c r="C17" s="76" t="s">
        <v>278</v>
      </c>
      <c r="D17" s="77" t="s">
        <v>277</v>
      </c>
      <c r="E17" s="77" t="s">
        <v>207</v>
      </c>
      <c r="F17" s="78">
        <f>1.339+0.813</f>
        <v>2.1520000000000001</v>
      </c>
      <c r="G17" s="80">
        <f t="shared" si="0"/>
        <v>4.0969999999999995</v>
      </c>
      <c r="H17" s="80">
        <f t="shared" si="1"/>
        <v>1.9038104089219328</v>
      </c>
      <c r="I17" s="78">
        <v>0.122</v>
      </c>
      <c r="J17" s="78">
        <v>5.6000000000000001E-2</v>
      </c>
      <c r="K17" s="78">
        <v>1.0049999999999999</v>
      </c>
      <c r="L17" s="78">
        <v>0.70299999999999996</v>
      </c>
      <c r="M17" s="78">
        <v>0.69099999999999995</v>
      </c>
      <c r="N17" s="78">
        <v>0.151</v>
      </c>
      <c r="O17" s="78">
        <v>1.369</v>
      </c>
      <c r="P17" s="78">
        <f>N:N+O:O</f>
        <v>1.52</v>
      </c>
      <c r="Q17" s="80">
        <f t="shared" si="2"/>
        <v>1.5124378109452739</v>
      </c>
      <c r="R17" s="80">
        <f t="shared" si="3"/>
        <v>0.68756218905472644</v>
      </c>
      <c r="S17" s="80">
        <f t="shared" si="4"/>
        <v>0.69950248756218913</v>
      </c>
      <c r="T17" s="80">
        <f t="shared" si="5"/>
        <v>9.0662251655629138</v>
      </c>
      <c r="U17" s="78">
        <v>0.32800000000000001</v>
      </c>
      <c r="V17" s="78">
        <f t="shared" si="16"/>
        <v>12.490853658536583</v>
      </c>
      <c r="W17" s="78">
        <v>0.63900000000000001</v>
      </c>
      <c r="X17" s="78">
        <v>0.161</v>
      </c>
      <c r="Y17" s="78">
        <f t="shared" si="20"/>
        <v>3.968944099378882</v>
      </c>
      <c r="Z17" s="78">
        <v>0.44700000000000001</v>
      </c>
      <c r="AA17" s="78">
        <v>0.61099999999999999</v>
      </c>
      <c r="AB17" s="78">
        <f t="shared" si="6"/>
        <v>0.28392193308550184</v>
      </c>
      <c r="AC17" s="78">
        <v>1.246</v>
      </c>
      <c r="AD17" s="78">
        <f t="shared" si="17"/>
        <v>0.57899628252788105</v>
      </c>
      <c r="AE17" s="78">
        <v>0.105</v>
      </c>
      <c r="AF17" s="78">
        <f t="shared" si="18"/>
        <v>0.10447761194029852</v>
      </c>
      <c r="AG17" s="78">
        <f>AE:AE/P:P</f>
        <v>6.9078947368421045E-2</v>
      </c>
      <c r="AH17" s="78">
        <f t="shared" si="19"/>
        <v>0.69536423841059603</v>
      </c>
      <c r="AI17" s="78">
        <v>0.13500000000000001</v>
      </c>
      <c r="AJ17" s="78">
        <v>7.4999999999999997E-2</v>
      </c>
      <c r="AK17" s="78">
        <f t="shared" si="7"/>
        <v>1.8000000000000003</v>
      </c>
      <c r="AL17" s="78">
        <f t="shared" ref="AL17:AL23" si="21">AI17/AE17</f>
        <v>1.2857142857142858</v>
      </c>
      <c r="AM17" s="78">
        <f t="shared" ref="AM17:AM23" si="22">AI17/N17</f>
        <v>0.89403973509933787</v>
      </c>
      <c r="AN17" s="78">
        <f t="shared" ref="AN17:AN30" si="23">AI17/K17</f>
        <v>0.13432835820895525</v>
      </c>
      <c r="AO17" s="78">
        <f t="shared" si="10"/>
        <v>0.57692307692307698</v>
      </c>
      <c r="AP17" s="78">
        <v>0.23400000000000001</v>
      </c>
      <c r="AQ17" s="78">
        <v>0.11799999999999999</v>
      </c>
      <c r="AR17" s="78">
        <f t="shared" si="11"/>
        <v>0.10873605947955391</v>
      </c>
      <c r="AS17" s="78">
        <f t="shared" si="12"/>
        <v>1.9830508474576274</v>
      </c>
      <c r="AT17" s="78">
        <f t="shared" si="13"/>
        <v>0.23283582089552243</v>
      </c>
      <c r="AU17" s="79" t="s">
        <v>75</v>
      </c>
      <c r="AV17" s="79" t="s">
        <v>75</v>
      </c>
      <c r="AW17" s="79" t="s">
        <v>75</v>
      </c>
      <c r="AX17" s="79" t="s">
        <v>75</v>
      </c>
      <c r="AY17" s="137">
        <v>5</v>
      </c>
      <c r="AZ17" s="137">
        <v>5</v>
      </c>
      <c r="BA17" s="137">
        <v>12</v>
      </c>
      <c r="BB17" s="137">
        <v>5</v>
      </c>
      <c r="BC17" s="145">
        <v>5</v>
      </c>
    </row>
    <row r="18" spans="2:57" ht="12.75" customHeight="1" x14ac:dyDescent="0.2">
      <c r="B18" s="75"/>
      <c r="C18" s="77"/>
      <c r="D18" s="77"/>
      <c r="E18" s="77"/>
      <c r="F18" s="78">
        <f>1.339+0.813</f>
        <v>2.1520000000000001</v>
      </c>
      <c r="G18" s="114" t="s">
        <v>75</v>
      </c>
      <c r="H18" s="114" t="s">
        <v>75</v>
      </c>
      <c r="I18" s="78">
        <v>0.125</v>
      </c>
      <c r="J18" s="78">
        <v>5.2999999999999999E-2</v>
      </c>
      <c r="K18" s="78">
        <v>0.995</v>
      </c>
      <c r="L18" s="78">
        <v>0.76</v>
      </c>
      <c r="M18" s="78">
        <v>0.85299999999999998</v>
      </c>
      <c r="N18" s="78">
        <v>0.2</v>
      </c>
      <c r="O18" s="79" t="s">
        <v>75</v>
      </c>
      <c r="P18" s="79" t="s">
        <v>75</v>
      </c>
      <c r="Q18" s="114" t="s">
        <v>75</v>
      </c>
      <c r="R18" s="80">
        <f t="shared" si="3"/>
        <v>0.85728643216080402</v>
      </c>
      <c r="S18" s="80">
        <f t="shared" si="4"/>
        <v>0.76381909547738691</v>
      </c>
      <c r="T18" s="114" t="s">
        <v>75</v>
      </c>
      <c r="U18" s="78">
        <v>0.32800000000000001</v>
      </c>
      <c r="V18" s="79" t="s">
        <v>75</v>
      </c>
      <c r="W18" s="78">
        <v>0.64700000000000002</v>
      </c>
      <c r="X18" s="78">
        <v>0.14499999999999999</v>
      </c>
      <c r="Y18" s="78">
        <f t="shared" si="20"/>
        <v>4.4620689655172416</v>
      </c>
      <c r="Z18" s="78">
        <v>0.44600000000000001</v>
      </c>
      <c r="AA18" s="78">
        <v>0.60799999999999998</v>
      </c>
      <c r="AB18" s="78">
        <f t="shared" si="6"/>
        <v>0.28252788104089216</v>
      </c>
      <c r="AC18" s="78">
        <v>1.2250000000000001</v>
      </c>
      <c r="AD18" s="78">
        <f t="shared" si="17"/>
        <v>0.56923791821561343</v>
      </c>
      <c r="AE18" s="78">
        <v>0.106</v>
      </c>
      <c r="AF18" s="78">
        <f t="shared" si="18"/>
        <v>0.10653266331658291</v>
      </c>
      <c r="AG18" s="79" t="s">
        <v>75</v>
      </c>
      <c r="AH18" s="78">
        <f t="shared" si="19"/>
        <v>0.52999999999999992</v>
      </c>
      <c r="AI18" s="78">
        <v>0.13500000000000001</v>
      </c>
      <c r="AJ18" s="78">
        <v>7.4999999999999997E-2</v>
      </c>
      <c r="AK18" s="78">
        <f t="shared" si="7"/>
        <v>1.8000000000000003</v>
      </c>
      <c r="AL18" s="78">
        <f t="shared" si="21"/>
        <v>1.2735849056603774</v>
      </c>
      <c r="AM18" s="78">
        <f t="shared" si="22"/>
        <v>0.67500000000000004</v>
      </c>
      <c r="AN18" s="78">
        <f t="shared" si="23"/>
        <v>0.135678391959799</v>
      </c>
      <c r="AO18" s="78">
        <f t="shared" si="10"/>
        <v>0.64593301435406703</v>
      </c>
      <c r="AP18" s="78">
        <v>0.20899999999999999</v>
      </c>
      <c r="AQ18" s="78">
        <v>0.121</v>
      </c>
      <c r="AR18" s="78">
        <f t="shared" si="11"/>
        <v>9.7118959107806685E-2</v>
      </c>
      <c r="AS18" s="78">
        <f t="shared" si="12"/>
        <v>1.7272727272727273</v>
      </c>
      <c r="AT18" s="78">
        <f t="shared" si="13"/>
        <v>0.21005025125628141</v>
      </c>
      <c r="AU18" s="79" t="s">
        <v>75</v>
      </c>
      <c r="AV18" s="79" t="s">
        <v>75</v>
      </c>
      <c r="AW18" s="79" t="s">
        <v>75</v>
      </c>
      <c r="AX18" s="79" t="s">
        <v>75</v>
      </c>
      <c r="AY18" s="135" t="s">
        <v>75</v>
      </c>
      <c r="AZ18" s="137">
        <v>7</v>
      </c>
      <c r="BA18" s="135" t="s">
        <v>75</v>
      </c>
      <c r="BB18" s="135" t="s">
        <v>75</v>
      </c>
      <c r="BC18" s="242" t="s">
        <v>75</v>
      </c>
    </row>
    <row r="19" spans="2:57" ht="12.75" customHeight="1" x14ac:dyDescent="0.2">
      <c r="B19" s="83">
        <v>22129</v>
      </c>
      <c r="C19" s="70" t="s">
        <v>278</v>
      </c>
      <c r="D19" s="71" t="s">
        <v>277</v>
      </c>
      <c r="E19" s="71" t="s">
        <v>207</v>
      </c>
      <c r="F19" s="72">
        <f>1.46+0.306</f>
        <v>1.766</v>
      </c>
      <c r="G19" s="82">
        <f t="shared" si="0"/>
        <v>3.722</v>
      </c>
      <c r="H19" s="82">
        <f t="shared" si="1"/>
        <v>2.1075877689694225</v>
      </c>
      <c r="I19" s="72">
        <v>0.11799999999999999</v>
      </c>
      <c r="J19" s="72">
        <v>6.2E-2</v>
      </c>
      <c r="K19" s="72">
        <v>0.98499999999999999</v>
      </c>
      <c r="L19" s="72">
        <v>0.63800000000000001</v>
      </c>
      <c r="M19" s="72">
        <v>0.66900000000000004</v>
      </c>
      <c r="N19" s="72">
        <v>0.154</v>
      </c>
      <c r="O19" s="72">
        <v>1.0960000000000001</v>
      </c>
      <c r="P19" s="72">
        <f t="shared" ref="P19:P28" si="24">N:N+O:O</f>
        <v>1.25</v>
      </c>
      <c r="Q19" s="82">
        <f t="shared" si="2"/>
        <v>1.2690355329949239</v>
      </c>
      <c r="R19" s="82">
        <f t="shared" si="3"/>
        <v>0.67918781725888333</v>
      </c>
      <c r="S19" s="82">
        <f t="shared" si="4"/>
        <v>0.64771573604060917</v>
      </c>
      <c r="T19" s="82">
        <f t="shared" si="5"/>
        <v>7.1168831168831179</v>
      </c>
      <c r="U19" s="72">
        <v>0.34899999999999998</v>
      </c>
      <c r="V19" s="72">
        <f t="shared" si="16"/>
        <v>10.664756446991404</v>
      </c>
      <c r="W19" s="72">
        <v>0.65600000000000003</v>
      </c>
      <c r="X19" s="72">
        <v>0.16400000000000001</v>
      </c>
      <c r="Y19" s="72">
        <f t="shared" si="20"/>
        <v>4</v>
      </c>
      <c r="Z19" s="72">
        <v>0.438</v>
      </c>
      <c r="AA19" s="72">
        <v>0.59399999999999997</v>
      </c>
      <c r="AB19" s="72">
        <f t="shared" si="6"/>
        <v>0.33635334088335217</v>
      </c>
      <c r="AC19" s="72">
        <v>1.228</v>
      </c>
      <c r="AD19" s="72">
        <f t="shared" si="17"/>
        <v>0.69535673839184597</v>
      </c>
      <c r="AE19" s="72">
        <v>9.6000000000000002E-2</v>
      </c>
      <c r="AF19" s="72">
        <f t="shared" si="18"/>
        <v>9.746192893401015E-2</v>
      </c>
      <c r="AG19" s="72">
        <f t="shared" ref="AG19:AG25" si="25">AE:AE/P:P</f>
        <v>7.6800000000000007E-2</v>
      </c>
      <c r="AH19" s="72">
        <f t="shared" si="19"/>
        <v>0.62337662337662336</v>
      </c>
      <c r="AI19" s="72">
        <v>0.127</v>
      </c>
      <c r="AJ19" s="72">
        <v>8.5999999999999993E-2</v>
      </c>
      <c r="AK19" s="72">
        <f t="shared" si="7"/>
        <v>1.4767441860465118</v>
      </c>
      <c r="AL19" s="72">
        <f t="shared" si="21"/>
        <v>1.3229166666666667</v>
      </c>
      <c r="AM19" s="72">
        <f t="shared" si="22"/>
        <v>0.82467532467532467</v>
      </c>
      <c r="AN19" s="72">
        <f t="shared" si="23"/>
        <v>0.12893401015228426</v>
      </c>
      <c r="AO19" s="72">
        <f t="shared" si="10"/>
        <v>0.55701754385964908</v>
      </c>
      <c r="AP19" s="72">
        <v>0.22800000000000001</v>
      </c>
      <c r="AQ19" s="72">
        <v>0.111</v>
      </c>
      <c r="AR19" s="72">
        <f t="shared" si="11"/>
        <v>0.12910532276330691</v>
      </c>
      <c r="AS19" s="72">
        <f t="shared" si="12"/>
        <v>2.0540540540540539</v>
      </c>
      <c r="AT19" s="72">
        <f t="shared" si="13"/>
        <v>0.23147208121827412</v>
      </c>
      <c r="AU19" s="72">
        <v>0.105</v>
      </c>
      <c r="AV19" s="72">
        <v>0.128</v>
      </c>
      <c r="AW19" s="72">
        <f t="shared" ref="AW19:AW24" si="26">AU:AU/AV:AV</f>
        <v>0.8203125</v>
      </c>
      <c r="AX19" s="72">
        <f t="shared" ref="AX19:AX24" si="27">AP:AP/AU:AU</f>
        <v>2.1714285714285717</v>
      </c>
      <c r="AY19" s="136">
        <v>5</v>
      </c>
      <c r="AZ19" s="136">
        <v>6</v>
      </c>
      <c r="BA19" s="136">
        <v>9</v>
      </c>
      <c r="BB19" s="136">
        <v>6</v>
      </c>
      <c r="BC19" s="143">
        <v>5</v>
      </c>
    </row>
    <row r="20" spans="2:57" ht="12.75" customHeight="1" x14ac:dyDescent="0.2">
      <c r="B20" s="69"/>
      <c r="C20" s="71"/>
      <c r="D20" s="71"/>
      <c r="E20" s="71"/>
      <c r="F20" s="72">
        <f>1.46+0.306</f>
        <v>1.766</v>
      </c>
      <c r="G20" s="82">
        <f t="shared" si="0"/>
        <v>3.8570000000000002</v>
      </c>
      <c r="H20" s="82">
        <f t="shared" si="1"/>
        <v>2.1840317100792754</v>
      </c>
      <c r="I20" s="72">
        <v>0.11600000000000001</v>
      </c>
      <c r="J20" s="72">
        <v>5.8999999999999997E-2</v>
      </c>
      <c r="K20" s="72">
        <v>0.98</v>
      </c>
      <c r="L20" s="72">
        <v>0.65200000000000002</v>
      </c>
      <c r="M20" s="72">
        <v>0.66100000000000003</v>
      </c>
      <c r="N20" s="72">
        <v>0.14499999999999999</v>
      </c>
      <c r="O20" s="72">
        <v>1.244</v>
      </c>
      <c r="P20" s="72">
        <f t="shared" si="24"/>
        <v>1.389</v>
      </c>
      <c r="Q20" s="82">
        <f t="shared" si="2"/>
        <v>1.4173469387755102</v>
      </c>
      <c r="R20" s="82">
        <f t="shared" si="3"/>
        <v>0.67448979591836744</v>
      </c>
      <c r="S20" s="82">
        <f t="shared" si="4"/>
        <v>0.66530612244897958</v>
      </c>
      <c r="T20" s="82">
        <f t="shared" si="5"/>
        <v>8.5793103448275865</v>
      </c>
      <c r="U20" s="72">
        <v>0.34899999999999998</v>
      </c>
      <c r="V20" s="72">
        <f t="shared" si="16"/>
        <v>11.051575931232094</v>
      </c>
      <c r="W20" s="72">
        <v>0.66200000000000003</v>
      </c>
      <c r="X20" s="72">
        <v>0.157</v>
      </c>
      <c r="Y20" s="72">
        <f t="shared" si="20"/>
        <v>4.2165605095541405</v>
      </c>
      <c r="Z20" s="72">
        <v>0.44500000000000001</v>
      </c>
      <c r="AA20" s="72">
        <v>0.56599999999999995</v>
      </c>
      <c r="AB20" s="72">
        <f t="shared" si="6"/>
        <v>0.32049830124575307</v>
      </c>
      <c r="AC20" s="72">
        <v>1.27</v>
      </c>
      <c r="AD20" s="72">
        <f t="shared" si="17"/>
        <v>0.7191392978482446</v>
      </c>
      <c r="AE20" s="72">
        <v>9.6000000000000002E-2</v>
      </c>
      <c r="AF20" s="72">
        <f t="shared" si="18"/>
        <v>9.7959183673469397E-2</v>
      </c>
      <c r="AG20" s="72">
        <f t="shared" si="25"/>
        <v>6.9114470842332618E-2</v>
      </c>
      <c r="AH20" s="72">
        <f t="shared" si="19"/>
        <v>0.66206896551724148</v>
      </c>
      <c r="AI20" s="72">
        <v>0.127</v>
      </c>
      <c r="AJ20" s="72">
        <v>8.5999999999999993E-2</v>
      </c>
      <c r="AK20" s="72">
        <f t="shared" si="7"/>
        <v>1.4767441860465118</v>
      </c>
      <c r="AL20" s="72">
        <f t="shared" si="21"/>
        <v>1.3229166666666667</v>
      </c>
      <c r="AM20" s="72">
        <f t="shared" si="22"/>
        <v>0.87586206896551733</v>
      </c>
      <c r="AN20" s="72">
        <f t="shared" si="23"/>
        <v>0.12959183673469388</v>
      </c>
      <c r="AO20" s="72">
        <f t="shared" si="10"/>
        <v>0.57990867579908678</v>
      </c>
      <c r="AP20" s="72">
        <v>0.219</v>
      </c>
      <c r="AQ20" s="72">
        <v>0.122</v>
      </c>
      <c r="AR20" s="72">
        <f t="shared" si="11"/>
        <v>0.12400906002265005</v>
      </c>
      <c r="AS20" s="72">
        <f t="shared" si="12"/>
        <v>1.7950819672131149</v>
      </c>
      <c r="AT20" s="72">
        <f t="shared" si="13"/>
        <v>0.22346938775510206</v>
      </c>
      <c r="AU20" s="72">
        <v>0.105</v>
      </c>
      <c r="AV20" s="72">
        <v>0.128</v>
      </c>
      <c r="AW20" s="72">
        <f t="shared" si="26"/>
        <v>0.8203125</v>
      </c>
      <c r="AX20" s="72">
        <f t="shared" si="27"/>
        <v>2.0857142857142859</v>
      </c>
      <c r="AY20" s="134" t="s">
        <v>75</v>
      </c>
      <c r="AZ20" s="136">
        <v>7</v>
      </c>
      <c r="BA20" s="134" t="s">
        <v>75</v>
      </c>
      <c r="BB20" s="134" t="s">
        <v>75</v>
      </c>
      <c r="BC20" s="247" t="s">
        <v>75</v>
      </c>
    </row>
    <row r="21" spans="2:57" ht="12.75" customHeight="1" x14ac:dyDescent="0.2">
      <c r="B21" s="86">
        <v>22129</v>
      </c>
      <c r="C21" s="76" t="s">
        <v>278</v>
      </c>
      <c r="D21" s="77" t="s">
        <v>277</v>
      </c>
      <c r="E21" s="77" t="s">
        <v>207</v>
      </c>
      <c r="F21" s="78">
        <f>0.876+1.085</f>
        <v>1.9609999999999999</v>
      </c>
      <c r="G21" s="80">
        <f t="shared" si="0"/>
        <v>3.7970000000000002</v>
      </c>
      <c r="H21" s="80">
        <f t="shared" si="1"/>
        <v>1.9362570117287101</v>
      </c>
      <c r="I21" s="78">
        <v>0.107</v>
      </c>
      <c r="J21" s="78">
        <v>5.5E-2</v>
      </c>
      <c r="K21" s="78">
        <v>0.92700000000000005</v>
      </c>
      <c r="L21" s="78">
        <v>0.66700000000000004</v>
      </c>
      <c r="M21" s="78">
        <v>0.63400000000000001</v>
      </c>
      <c r="N21" s="78">
        <v>0.13200000000000001</v>
      </c>
      <c r="O21" s="78">
        <v>1.2749999999999999</v>
      </c>
      <c r="P21" s="78">
        <f t="shared" si="24"/>
        <v>1.407</v>
      </c>
      <c r="Q21" s="80">
        <f t="shared" si="2"/>
        <v>1.5177993527508091</v>
      </c>
      <c r="R21" s="80">
        <f t="shared" si="3"/>
        <v>0.68392664509169365</v>
      </c>
      <c r="S21" s="80">
        <f t="shared" si="4"/>
        <v>0.7195253505933118</v>
      </c>
      <c r="T21" s="80">
        <f t="shared" si="5"/>
        <v>9.6590909090909083</v>
      </c>
      <c r="U21" s="78">
        <v>0.32600000000000001</v>
      </c>
      <c r="V21" s="78">
        <f t="shared" si="16"/>
        <v>11.647239263803682</v>
      </c>
      <c r="W21" s="78">
        <v>0.63300000000000001</v>
      </c>
      <c r="X21" s="78">
        <v>0.152</v>
      </c>
      <c r="Y21" s="78">
        <f t="shared" si="20"/>
        <v>4.1644736842105265</v>
      </c>
      <c r="Z21" s="78">
        <v>0.40899999999999997</v>
      </c>
      <c r="AA21" s="78">
        <v>0.54300000000000004</v>
      </c>
      <c r="AB21" s="78">
        <f t="shared" si="6"/>
        <v>0.27689954105048448</v>
      </c>
      <c r="AC21" s="78">
        <v>1.145</v>
      </c>
      <c r="AD21" s="78">
        <f t="shared" si="17"/>
        <v>0.58388577256501795</v>
      </c>
      <c r="AE21" s="78">
        <v>0.10199999999999999</v>
      </c>
      <c r="AF21" s="78">
        <f t="shared" si="18"/>
        <v>0.11003236245954691</v>
      </c>
      <c r="AG21" s="78">
        <f t="shared" si="25"/>
        <v>7.2494669509594878E-2</v>
      </c>
      <c r="AH21" s="78">
        <f t="shared" si="19"/>
        <v>0.7727272727272726</v>
      </c>
      <c r="AI21" s="78">
        <v>0.126</v>
      </c>
      <c r="AJ21" s="78">
        <v>7.0000000000000007E-2</v>
      </c>
      <c r="AK21" s="78">
        <f t="shared" si="7"/>
        <v>1.7999999999999998</v>
      </c>
      <c r="AL21" s="78">
        <f t="shared" si="21"/>
        <v>1.2352941176470589</v>
      </c>
      <c r="AM21" s="78">
        <f t="shared" si="22"/>
        <v>0.95454545454545447</v>
      </c>
      <c r="AN21" s="78">
        <f t="shared" si="23"/>
        <v>0.13592233009708737</v>
      </c>
      <c r="AO21" s="78">
        <f t="shared" si="10"/>
        <v>0.57272727272727275</v>
      </c>
      <c r="AP21" s="78">
        <v>0.22</v>
      </c>
      <c r="AQ21" s="78">
        <v>9.4E-2</v>
      </c>
      <c r="AR21" s="78">
        <f t="shared" si="11"/>
        <v>0.11218765935747069</v>
      </c>
      <c r="AS21" s="78">
        <f t="shared" si="12"/>
        <v>2.3404255319148937</v>
      </c>
      <c r="AT21" s="78">
        <f t="shared" si="13"/>
        <v>0.23732470334412081</v>
      </c>
      <c r="AU21" s="78">
        <v>0.108</v>
      </c>
      <c r="AV21" s="78">
        <v>0.11600000000000001</v>
      </c>
      <c r="AW21" s="78">
        <f t="shared" si="26"/>
        <v>0.93103448275862066</v>
      </c>
      <c r="AX21" s="78">
        <f t="shared" si="27"/>
        <v>2.0370370370370372</v>
      </c>
      <c r="AY21" s="137">
        <v>5</v>
      </c>
      <c r="AZ21" s="137">
        <v>6</v>
      </c>
      <c r="BA21" s="137">
        <v>11</v>
      </c>
      <c r="BB21" s="137">
        <v>6</v>
      </c>
      <c r="BC21" s="145">
        <v>6</v>
      </c>
    </row>
    <row r="22" spans="2:57" ht="12.75" customHeight="1" x14ac:dyDescent="0.2">
      <c r="B22" s="75"/>
      <c r="C22" s="77"/>
      <c r="D22" s="77"/>
      <c r="E22" s="77"/>
      <c r="F22" s="78">
        <f>0.876+1.085</f>
        <v>1.9609999999999999</v>
      </c>
      <c r="G22" s="80">
        <f t="shared" si="0"/>
        <v>3.7480000000000002</v>
      </c>
      <c r="H22" s="80">
        <f t="shared" si="1"/>
        <v>1.9112697603263644</v>
      </c>
      <c r="I22" s="78">
        <v>0.106</v>
      </c>
      <c r="J22" s="78">
        <v>5.6000000000000001E-2</v>
      </c>
      <c r="K22" s="78">
        <v>0.93600000000000005</v>
      </c>
      <c r="L22" s="78">
        <v>0.67100000000000004</v>
      </c>
      <c r="M22" s="78">
        <v>0.64100000000000001</v>
      </c>
      <c r="N22" s="78">
        <v>0.14199999999999999</v>
      </c>
      <c r="O22" s="78">
        <f>0.409+0.381+0.406</f>
        <v>1.1960000000000002</v>
      </c>
      <c r="P22" s="78">
        <f t="shared" si="24"/>
        <v>1.3380000000000001</v>
      </c>
      <c r="Q22" s="80">
        <f t="shared" si="2"/>
        <v>1.4294871794871795</v>
      </c>
      <c r="R22" s="80">
        <f t="shared" si="3"/>
        <v>0.68482905982905984</v>
      </c>
      <c r="S22" s="80">
        <f t="shared" si="4"/>
        <v>0.71688034188034189</v>
      </c>
      <c r="T22" s="80">
        <f t="shared" si="5"/>
        <v>8.4225352112676077</v>
      </c>
      <c r="U22" s="78">
        <v>0.32600000000000001</v>
      </c>
      <c r="V22" s="78">
        <f t="shared" si="16"/>
        <v>11.496932515337424</v>
      </c>
      <c r="W22" s="78">
        <v>0.63</v>
      </c>
      <c r="X22" s="78">
        <v>0.14000000000000001</v>
      </c>
      <c r="Y22" s="78">
        <f t="shared" si="20"/>
        <v>4.5</v>
      </c>
      <c r="Z22" s="78">
        <v>0.41</v>
      </c>
      <c r="AA22" s="78">
        <v>0.53800000000000003</v>
      </c>
      <c r="AB22" s="78">
        <f t="shared" si="6"/>
        <v>0.27434982151963289</v>
      </c>
      <c r="AC22" s="78">
        <v>1.1399999999999999</v>
      </c>
      <c r="AD22" s="78">
        <f t="shared" si="17"/>
        <v>0.58133605303416624</v>
      </c>
      <c r="AE22" s="78">
        <v>0.108</v>
      </c>
      <c r="AF22" s="78">
        <f t="shared" si="18"/>
        <v>0.11538461538461538</v>
      </c>
      <c r="AG22" s="78">
        <f t="shared" si="25"/>
        <v>8.0717488789237665E-2</v>
      </c>
      <c r="AH22" s="78">
        <f t="shared" si="19"/>
        <v>0.76056338028169024</v>
      </c>
      <c r="AI22" s="78">
        <v>0.126</v>
      </c>
      <c r="AJ22" s="78">
        <v>7.0000000000000007E-2</v>
      </c>
      <c r="AK22" s="78">
        <f t="shared" si="7"/>
        <v>1.7999999999999998</v>
      </c>
      <c r="AL22" s="78">
        <f t="shared" si="21"/>
        <v>1.1666666666666667</v>
      </c>
      <c r="AM22" s="78">
        <f t="shared" si="22"/>
        <v>0.88732394366197187</v>
      </c>
      <c r="AN22" s="78">
        <f t="shared" si="23"/>
        <v>0.13461538461538461</v>
      </c>
      <c r="AO22" s="78">
        <f t="shared" si="10"/>
        <v>0.60576923076923084</v>
      </c>
      <c r="AP22" s="78">
        <v>0.20799999999999999</v>
      </c>
      <c r="AQ22" s="78">
        <v>0.10100000000000001</v>
      </c>
      <c r="AR22" s="78">
        <f t="shared" si="11"/>
        <v>0.10606833248342683</v>
      </c>
      <c r="AS22" s="78">
        <f t="shared" si="12"/>
        <v>2.059405940594059</v>
      </c>
      <c r="AT22" s="78">
        <f t="shared" si="13"/>
        <v>0.22222222222222221</v>
      </c>
      <c r="AU22" s="78">
        <v>0.108</v>
      </c>
      <c r="AV22" s="78">
        <v>0.11600000000000001</v>
      </c>
      <c r="AW22" s="78">
        <f t="shared" si="26"/>
        <v>0.93103448275862066</v>
      </c>
      <c r="AX22" s="78">
        <f t="shared" si="27"/>
        <v>1.9259259259259258</v>
      </c>
      <c r="AY22" s="135" t="s">
        <v>75</v>
      </c>
      <c r="AZ22" s="137">
        <v>8</v>
      </c>
      <c r="BA22" s="135" t="s">
        <v>75</v>
      </c>
      <c r="BB22" s="135" t="s">
        <v>75</v>
      </c>
      <c r="BC22" s="242" t="s">
        <v>75</v>
      </c>
    </row>
    <row r="23" spans="2:57" ht="12.75" customHeight="1" x14ac:dyDescent="0.2">
      <c r="B23" s="160">
        <v>22097</v>
      </c>
      <c r="C23" s="70" t="s">
        <v>278</v>
      </c>
      <c r="D23" s="71" t="s">
        <v>272</v>
      </c>
      <c r="E23" s="71" t="s">
        <v>202</v>
      </c>
      <c r="F23" s="72">
        <f>1.203+0.934</f>
        <v>2.137</v>
      </c>
      <c r="G23" s="82">
        <f t="shared" si="0"/>
        <v>4.0719999999999992</v>
      </c>
      <c r="H23" s="82">
        <f t="shared" si="1"/>
        <v>1.9054749649040708</v>
      </c>
      <c r="I23" s="72">
        <v>0.124</v>
      </c>
      <c r="J23" s="72">
        <v>0.06</v>
      </c>
      <c r="K23" s="72">
        <v>0.95</v>
      </c>
      <c r="L23" s="72">
        <v>0.73599999999999999</v>
      </c>
      <c r="M23" s="72">
        <v>0.70599999999999996</v>
      </c>
      <c r="N23" s="72">
        <v>0.161</v>
      </c>
      <c r="O23" s="72">
        <f>0.617+0.718</f>
        <v>1.335</v>
      </c>
      <c r="P23" s="72">
        <f t="shared" si="24"/>
        <v>1.496</v>
      </c>
      <c r="Q23" s="82">
        <f t="shared" si="2"/>
        <v>1.5747368421052632</v>
      </c>
      <c r="R23" s="82">
        <f t="shared" si="3"/>
        <v>0.74315789473684213</v>
      </c>
      <c r="S23" s="82">
        <f t="shared" si="4"/>
        <v>0.77473684210526317</v>
      </c>
      <c r="T23" s="82">
        <f t="shared" si="5"/>
        <v>8.2919254658385082</v>
      </c>
      <c r="U23" s="72">
        <v>0.32700000000000001</v>
      </c>
      <c r="V23" s="72">
        <f t="shared" si="16"/>
        <v>12.452599388379202</v>
      </c>
      <c r="W23" s="72">
        <v>0.68500000000000005</v>
      </c>
      <c r="X23" s="72">
        <v>0.16200000000000001</v>
      </c>
      <c r="Y23" s="72">
        <f t="shared" si="20"/>
        <v>4.2283950617283956</v>
      </c>
      <c r="Z23" s="72">
        <v>0.438</v>
      </c>
      <c r="AA23" s="72">
        <v>0.58299999999999996</v>
      </c>
      <c r="AB23" s="72">
        <f t="shared" si="6"/>
        <v>0.272812353766963</v>
      </c>
      <c r="AC23" s="72">
        <v>1.1930000000000001</v>
      </c>
      <c r="AD23" s="72">
        <f t="shared" si="17"/>
        <v>0.55825924192793641</v>
      </c>
      <c r="AE23" s="72">
        <v>0.112</v>
      </c>
      <c r="AF23" s="72">
        <f t="shared" si="18"/>
        <v>0.11789473684210527</v>
      </c>
      <c r="AG23" s="72">
        <f t="shared" si="25"/>
        <v>7.4866310160427815E-2</v>
      </c>
      <c r="AH23" s="72">
        <f t="shared" si="19"/>
        <v>0.69565217391304346</v>
      </c>
      <c r="AI23" s="72">
        <v>0.125</v>
      </c>
      <c r="AJ23" s="72">
        <v>7.0000000000000007E-2</v>
      </c>
      <c r="AK23" s="72">
        <f t="shared" si="7"/>
        <v>1.7857142857142856</v>
      </c>
      <c r="AL23" s="72">
        <f t="shared" si="21"/>
        <v>1.1160714285714286</v>
      </c>
      <c r="AM23" s="72">
        <f t="shared" si="22"/>
        <v>0.77639751552795033</v>
      </c>
      <c r="AN23" s="72">
        <f t="shared" si="23"/>
        <v>0.13157894736842105</v>
      </c>
      <c r="AO23" s="72">
        <f t="shared" si="10"/>
        <v>0.52083333333333337</v>
      </c>
      <c r="AP23" s="72">
        <v>0.24</v>
      </c>
      <c r="AQ23" s="72">
        <v>0.115</v>
      </c>
      <c r="AR23" s="72">
        <f t="shared" si="11"/>
        <v>0.11230697239120262</v>
      </c>
      <c r="AS23" s="72">
        <f t="shared" si="12"/>
        <v>2.0869565217391304</v>
      </c>
      <c r="AT23" s="72">
        <f t="shared" si="13"/>
        <v>0.25263157894736843</v>
      </c>
      <c r="AU23" s="72">
        <v>0.10100000000000001</v>
      </c>
      <c r="AV23" s="72">
        <v>0.108</v>
      </c>
      <c r="AW23" s="72">
        <f t="shared" si="26"/>
        <v>0.93518518518518523</v>
      </c>
      <c r="AX23" s="72">
        <f t="shared" si="27"/>
        <v>2.3762376237623761</v>
      </c>
      <c r="AY23" s="136">
        <v>5</v>
      </c>
      <c r="AZ23" s="136">
        <v>7</v>
      </c>
      <c r="BA23" s="136">
        <v>10</v>
      </c>
      <c r="BB23" s="136">
        <v>6</v>
      </c>
      <c r="BC23" s="143">
        <v>5</v>
      </c>
    </row>
    <row r="24" spans="2:57" ht="12.75" customHeight="1" x14ac:dyDescent="0.2">
      <c r="B24" s="69"/>
      <c r="C24" s="71"/>
      <c r="D24" s="71"/>
      <c r="E24" s="71"/>
      <c r="F24" s="72">
        <f>1.203+0.934</f>
        <v>2.137</v>
      </c>
      <c r="G24" s="82">
        <f t="shared" si="0"/>
        <v>4.266</v>
      </c>
      <c r="H24" s="82">
        <f t="shared" si="1"/>
        <v>1.9962564342536266</v>
      </c>
      <c r="I24" s="72">
        <v>0.112</v>
      </c>
      <c r="J24" s="72">
        <v>0.06</v>
      </c>
      <c r="K24" s="72">
        <v>0.94699999999999995</v>
      </c>
      <c r="L24" s="72">
        <v>0.749</v>
      </c>
      <c r="M24" s="72">
        <v>0.71099999999999997</v>
      </c>
      <c r="N24" s="72">
        <v>0.16900000000000001</v>
      </c>
      <c r="O24" s="72">
        <v>1.518</v>
      </c>
      <c r="P24" s="72">
        <f t="shared" si="24"/>
        <v>1.6870000000000001</v>
      </c>
      <c r="Q24" s="82">
        <f t="shared" si="2"/>
        <v>1.7814149947201692</v>
      </c>
      <c r="R24" s="82">
        <f t="shared" si="3"/>
        <v>0.75079197465681102</v>
      </c>
      <c r="S24" s="82">
        <f t="shared" si="4"/>
        <v>0.79091869060190079</v>
      </c>
      <c r="T24" s="82">
        <f t="shared" si="5"/>
        <v>8.9822485207100584</v>
      </c>
      <c r="U24" s="72">
        <v>0.32700000000000001</v>
      </c>
      <c r="V24" s="72">
        <f t="shared" si="16"/>
        <v>13.045871559633028</v>
      </c>
      <c r="W24" s="72">
        <v>0.67100000000000004</v>
      </c>
      <c r="X24" s="72">
        <v>0.154</v>
      </c>
      <c r="Y24" s="72">
        <f t="shared" si="20"/>
        <v>4.3571428571428577</v>
      </c>
      <c r="Z24" s="72">
        <v>0.41299999999999998</v>
      </c>
      <c r="AA24" s="72">
        <v>0.59899999999999998</v>
      </c>
      <c r="AB24" s="72">
        <f t="shared" si="6"/>
        <v>0.28029948525970988</v>
      </c>
      <c r="AC24" s="72">
        <v>1.21</v>
      </c>
      <c r="AD24" s="72">
        <f t="shared" si="17"/>
        <v>0.5662143191389799</v>
      </c>
      <c r="AE24" s="72">
        <v>0.11</v>
      </c>
      <c r="AF24" s="72">
        <f t="shared" si="18"/>
        <v>0.11615628299894404</v>
      </c>
      <c r="AG24" s="72">
        <f t="shared" si="25"/>
        <v>6.5204505038529939E-2</v>
      </c>
      <c r="AH24" s="72">
        <f t="shared" si="19"/>
        <v>0.65088757396449703</v>
      </c>
      <c r="AI24" s="72">
        <v>0.125</v>
      </c>
      <c r="AJ24" s="72">
        <v>7.0000000000000007E-2</v>
      </c>
      <c r="AK24" s="72">
        <f t="shared" ref="AK24" si="28">AI24/AJ24</f>
        <v>1.7857142857142856</v>
      </c>
      <c r="AL24" s="72">
        <f t="shared" ref="AL24" si="29">AI24/AE24</f>
        <v>1.1363636363636365</v>
      </c>
      <c r="AM24" s="72">
        <f t="shared" ref="AM24" si="30">AI24/N24</f>
        <v>0.73964497041420119</v>
      </c>
      <c r="AN24" s="72">
        <f t="shared" si="23"/>
        <v>0.13199577613516369</v>
      </c>
      <c r="AO24" s="72">
        <f t="shared" ref="AO24" si="31">AI24/AP24</f>
        <v>0.57870370370370372</v>
      </c>
      <c r="AP24" s="72">
        <v>0.216</v>
      </c>
      <c r="AQ24" s="72">
        <v>0.13200000000000001</v>
      </c>
      <c r="AR24" s="72">
        <f t="shared" si="11"/>
        <v>0.10107627515208235</v>
      </c>
      <c r="AS24" s="72">
        <f t="shared" si="12"/>
        <v>1.6363636363636362</v>
      </c>
      <c r="AT24" s="72">
        <f t="shared" si="13"/>
        <v>0.22808870116156285</v>
      </c>
      <c r="AU24" s="72">
        <v>0.10100000000000001</v>
      </c>
      <c r="AV24" s="72">
        <v>0.108</v>
      </c>
      <c r="AW24" s="72">
        <f t="shared" si="26"/>
        <v>0.93518518518518523</v>
      </c>
      <c r="AX24" s="72">
        <f t="shared" si="27"/>
        <v>2.1386138613861383</v>
      </c>
      <c r="AY24" s="134" t="s">
        <v>75</v>
      </c>
      <c r="AZ24" s="136">
        <v>8</v>
      </c>
      <c r="BA24" s="134" t="s">
        <v>75</v>
      </c>
      <c r="BB24" s="134" t="s">
        <v>75</v>
      </c>
      <c r="BC24" s="247" t="s">
        <v>75</v>
      </c>
    </row>
    <row r="25" spans="2:57" ht="12.75" customHeight="1" x14ac:dyDescent="0.2">
      <c r="B25" s="159">
        <v>22097</v>
      </c>
      <c r="C25" s="76" t="s">
        <v>278</v>
      </c>
      <c r="D25" s="77" t="s">
        <v>272</v>
      </c>
      <c r="E25" s="77" t="s">
        <v>202</v>
      </c>
      <c r="F25" s="78">
        <f>1.315+0.806</f>
        <v>2.121</v>
      </c>
      <c r="G25" s="80">
        <f t="shared" si="0"/>
        <v>3.7240000000000002</v>
      </c>
      <c r="H25" s="80">
        <f t="shared" si="1"/>
        <v>1.7557755775577559</v>
      </c>
      <c r="I25" s="78">
        <v>0.13</v>
      </c>
      <c r="J25" s="78">
        <v>0.06</v>
      </c>
      <c r="K25" s="78">
        <v>0.90700000000000003</v>
      </c>
      <c r="L25" s="78">
        <v>0.74099999999999999</v>
      </c>
      <c r="M25" s="78">
        <v>0.75</v>
      </c>
      <c r="N25" s="78">
        <v>0.15</v>
      </c>
      <c r="O25" s="78">
        <v>0.98599999999999999</v>
      </c>
      <c r="P25" s="78">
        <f t="shared" si="24"/>
        <v>1.1359999999999999</v>
      </c>
      <c r="Q25" s="80">
        <f t="shared" si="2"/>
        <v>1.2524807056229326</v>
      </c>
      <c r="R25" s="80">
        <f t="shared" si="3"/>
        <v>0.82690187431091511</v>
      </c>
      <c r="S25" s="80">
        <f t="shared" si="4"/>
        <v>0.81697905181918407</v>
      </c>
      <c r="T25" s="80">
        <f t="shared" si="5"/>
        <v>6.5733333333333333</v>
      </c>
      <c r="U25" s="78">
        <v>0.35799999999999998</v>
      </c>
      <c r="V25" s="78">
        <f t="shared" si="16"/>
        <v>10.40223463687151</v>
      </c>
      <c r="W25" s="78">
        <v>0.72799999999999998</v>
      </c>
      <c r="X25" s="78">
        <v>0.16300000000000001</v>
      </c>
      <c r="Y25" s="78">
        <f t="shared" si="20"/>
        <v>4.4662576687116564</v>
      </c>
      <c r="Z25" s="78">
        <v>0.45500000000000002</v>
      </c>
      <c r="AA25" s="78">
        <v>0.56799999999999995</v>
      </c>
      <c r="AB25" s="78">
        <f t="shared" si="6"/>
        <v>0.26779820839226776</v>
      </c>
      <c r="AC25" s="78">
        <v>1.24</v>
      </c>
      <c r="AD25" s="78">
        <f t="shared" si="17"/>
        <v>0.58462989156058465</v>
      </c>
      <c r="AE25" s="78">
        <v>0.115</v>
      </c>
      <c r="AF25" s="78">
        <f t="shared" si="18"/>
        <v>0.12679162072767364</v>
      </c>
      <c r="AG25" s="78">
        <f t="shared" si="25"/>
        <v>0.1012323943661972</v>
      </c>
      <c r="AH25" s="78">
        <f t="shared" si="19"/>
        <v>0.76666666666666672</v>
      </c>
      <c r="AI25" s="78">
        <v>0.124</v>
      </c>
      <c r="AJ25" s="78">
        <v>7.9000000000000001E-2</v>
      </c>
      <c r="AK25" s="78">
        <f t="shared" si="7"/>
        <v>1.5696202531645569</v>
      </c>
      <c r="AL25" s="78">
        <f>AI25/AE25</f>
        <v>1.0782608695652174</v>
      </c>
      <c r="AM25" s="78">
        <f>AI25/N25</f>
        <v>0.82666666666666666</v>
      </c>
      <c r="AN25" s="78">
        <f t="shared" si="23"/>
        <v>0.13671444321940462</v>
      </c>
      <c r="AO25" s="78">
        <f t="shared" si="10"/>
        <v>0.5714285714285714</v>
      </c>
      <c r="AP25" s="78">
        <v>0.217</v>
      </c>
      <c r="AQ25" s="78">
        <v>0.1</v>
      </c>
      <c r="AR25" s="78">
        <f t="shared" si="11"/>
        <v>0.10231023102310231</v>
      </c>
      <c r="AS25" s="78">
        <f t="shared" si="12"/>
        <v>2.17</v>
      </c>
      <c r="AT25" s="78">
        <f t="shared" si="13"/>
        <v>0.23925027563395809</v>
      </c>
      <c r="AU25" s="79" t="s">
        <v>75</v>
      </c>
      <c r="AV25" s="79" t="s">
        <v>75</v>
      </c>
      <c r="AW25" s="79" t="s">
        <v>75</v>
      </c>
      <c r="AX25" s="79" t="s">
        <v>75</v>
      </c>
      <c r="AY25" s="137">
        <v>4</v>
      </c>
      <c r="AZ25" s="137">
        <v>7</v>
      </c>
      <c r="BA25" s="137">
        <v>14</v>
      </c>
      <c r="BB25" s="137">
        <v>7</v>
      </c>
      <c r="BC25" s="145">
        <v>7</v>
      </c>
    </row>
    <row r="26" spans="2:57" ht="12.75" customHeight="1" x14ac:dyDescent="0.2">
      <c r="B26" s="75"/>
      <c r="C26" s="77"/>
      <c r="D26" s="77"/>
      <c r="E26" s="77"/>
      <c r="F26" s="78">
        <f>1.315+0.806</f>
        <v>2.121</v>
      </c>
      <c r="G26" s="80">
        <f t="shared" si="0"/>
        <v>4.1100000000000003</v>
      </c>
      <c r="H26" s="80">
        <f t="shared" si="1"/>
        <v>1.9377652050919378</v>
      </c>
      <c r="I26" s="78">
        <v>0.12</v>
      </c>
      <c r="J26" s="78">
        <v>0.05</v>
      </c>
      <c r="K26" s="78">
        <v>0.879</v>
      </c>
      <c r="L26" s="78">
        <v>0.74399999999999999</v>
      </c>
      <c r="M26" s="78">
        <v>0.747</v>
      </c>
      <c r="N26" s="78">
        <v>0.16</v>
      </c>
      <c r="O26" s="78">
        <v>1.41</v>
      </c>
      <c r="P26" s="78">
        <f t="shared" si="24"/>
        <v>1.5699999999999998</v>
      </c>
      <c r="Q26" s="80">
        <f t="shared" si="2"/>
        <v>1.7861205915813423</v>
      </c>
      <c r="R26" s="80">
        <f t="shared" si="3"/>
        <v>0.84982935153583616</v>
      </c>
      <c r="S26" s="80">
        <f t="shared" si="4"/>
        <v>0.84641638225255966</v>
      </c>
      <c r="T26" s="80">
        <f t="shared" si="5"/>
        <v>8.8125</v>
      </c>
      <c r="U26" s="78">
        <v>0.35799999999999998</v>
      </c>
      <c r="V26" s="78">
        <f t="shared" si="16"/>
        <v>11.480446927374302</v>
      </c>
      <c r="W26" s="78">
        <v>0.72799999999999998</v>
      </c>
      <c r="X26" s="78">
        <v>0.16300000000000001</v>
      </c>
      <c r="Y26" s="78">
        <f t="shared" si="20"/>
        <v>4.4662576687116564</v>
      </c>
      <c r="Z26" s="79" t="s">
        <v>75</v>
      </c>
      <c r="AA26" s="79" t="s">
        <v>75</v>
      </c>
      <c r="AB26" s="79" t="s">
        <v>75</v>
      </c>
      <c r="AC26" s="79" t="s">
        <v>75</v>
      </c>
      <c r="AD26" s="79" t="s">
        <v>75</v>
      </c>
      <c r="AE26" s="79" t="s">
        <v>75</v>
      </c>
      <c r="AF26" s="79" t="s">
        <v>75</v>
      </c>
      <c r="AG26" s="79" t="s">
        <v>75</v>
      </c>
      <c r="AH26" s="79" t="s">
        <v>75</v>
      </c>
      <c r="AI26" s="78">
        <v>0.124</v>
      </c>
      <c r="AJ26" s="78">
        <v>7.9000000000000001E-2</v>
      </c>
      <c r="AK26" s="78">
        <f t="shared" ref="AK26" si="32">AI26/AJ26</f>
        <v>1.5696202531645569</v>
      </c>
      <c r="AL26" s="79" t="s">
        <v>75</v>
      </c>
      <c r="AM26" s="78">
        <f>AI26/N26</f>
        <v>0.77500000000000002</v>
      </c>
      <c r="AN26" s="78">
        <f t="shared" si="23"/>
        <v>0.14106939704209329</v>
      </c>
      <c r="AO26" s="78">
        <f t="shared" ref="AO26" si="33">AI26/AP26</f>
        <v>0.54625550660792954</v>
      </c>
      <c r="AP26" s="78">
        <v>0.22700000000000001</v>
      </c>
      <c r="AQ26" s="78">
        <v>0.12</v>
      </c>
      <c r="AR26" s="78">
        <f t="shared" si="11"/>
        <v>0.10702498821310703</v>
      </c>
      <c r="AS26" s="78">
        <f t="shared" si="12"/>
        <v>1.8916666666666668</v>
      </c>
      <c r="AT26" s="78">
        <f t="shared" si="13"/>
        <v>0.25824800910125145</v>
      </c>
      <c r="AU26" s="79" t="s">
        <v>75</v>
      </c>
      <c r="AV26" s="79" t="s">
        <v>75</v>
      </c>
      <c r="AW26" s="79" t="s">
        <v>75</v>
      </c>
      <c r="AX26" s="79" t="s">
        <v>75</v>
      </c>
      <c r="AY26" s="135" t="s">
        <v>75</v>
      </c>
      <c r="AZ26" s="137">
        <v>5</v>
      </c>
      <c r="BA26" s="135" t="s">
        <v>75</v>
      </c>
      <c r="BB26" s="135" t="s">
        <v>75</v>
      </c>
      <c r="BC26" s="242" t="s">
        <v>75</v>
      </c>
    </row>
    <row r="27" spans="2:57" ht="12.75" customHeight="1" x14ac:dyDescent="0.2">
      <c r="B27" s="160">
        <v>22097</v>
      </c>
      <c r="C27" s="70" t="s">
        <v>278</v>
      </c>
      <c r="D27" s="71" t="s">
        <v>273</v>
      </c>
      <c r="E27" s="71" t="s">
        <v>271</v>
      </c>
      <c r="F27" s="72">
        <f>1.565+0.777</f>
        <v>2.3420000000000001</v>
      </c>
      <c r="G27" s="82">
        <f t="shared" si="0"/>
        <v>4.3529999999999998</v>
      </c>
      <c r="H27" s="82">
        <f t="shared" si="1"/>
        <v>1.8586678052946197</v>
      </c>
      <c r="I27" s="72">
        <v>0.12</v>
      </c>
      <c r="J27" s="72">
        <v>5.5E-2</v>
      </c>
      <c r="K27" s="72">
        <v>0.97899999999999998</v>
      </c>
      <c r="L27" s="72">
        <v>0.77100000000000002</v>
      </c>
      <c r="M27" s="72">
        <v>0.78700000000000003</v>
      </c>
      <c r="N27" s="72">
        <v>0.17</v>
      </c>
      <c r="O27" s="72">
        <v>1.4710000000000001</v>
      </c>
      <c r="P27" s="72">
        <f t="shared" si="24"/>
        <v>1.641</v>
      </c>
      <c r="Q27" s="82">
        <f t="shared" si="2"/>
        <v>1.6762002042900919</v>
      </c>
      <c r="R27" s="82">
        <f t="shared" si="3"/>
        <v>0.80388151174668032</v>
      </c>
      <c r="S27" s="82">
        <f t="shared" si="4"/>
        <v>0.78753830439223704</v>
      </c>
      <c r="T27" s="82">
        <f t="shared" si="5"/>
        <v>8.6529411764705877</v>
      </c>
      <c r="U27" s="72">
        <v>0.36599999999999999</v>
      </c>
      <c r="V27" s="72">
        <f t="shared" si="16"/>
        <v>11.89344262295082</v>
      </c>
      <c r="W27" s="72">
        <v>0.72799999999999998</v>
      </c>
      <c r="X27" s="72">
        <v>0.16300000000000001</v>
      </c>
      <c r="Y27" s="72">
        <f t="shared" si="20"/>
        <v>4.4662576687116564</v>
      </c>
      <c r="Z27" s="72">
        <v>0.48299999999999998</v>
      </c>
      <c r="AA27" s="72">
        <v>0.63900000000000001</v>
      </c>
      <c r="AB27" s="72">
        <f>AA27/F27</f>
        <v>0.27284372331340734</v>
      </c>
      <c r="AC27" s="72">
        <v>1.31</v>
      </c>
      <c r="AD27" s="72">
        <f>AC27/F27</f>
        <v>0.55935098206660971</v>
      </c>
      <c r="AE27" s="72">
        <v>0.107</v>
      </c>
      <c r="AF27" s="72">
        <f>AE27/K27</f>
        <v>0.10929519918283963</v>
      </c>
      <c r="AG27" s="72">
        <f>AE:AE/P:P</f>
        <v>6.5204143814747109E-2</v>
      </c>
      <c r="AH27" s="72">
        <f>AE27/N27</f>
        <v>0.62941176470588234</v>
      </c>
      <c r="AI27" s="72">
        <v>0.13</v>
      </c>
      <c r="AJ27" s="72">
        <v>7.8E-2</v>
      </c>
      <c r="AK27" s="72">
        <f t="shared" si="7"/>
        <v>1.6666666666666667</v>
      </c>
      <c r="AL27" s="72">
        <f>AI27/AE27</f>
        <v>1.2149532710280375</v>
      </c>
      <c r="AM27" s="72">
        <f>AI27/N27</f>
        <v>0.76470588235294112</v>
      </c>
      <c r="AN27" s="72">
        <f t="shared" si="23"/>
        <v>0.1327885597548519</v>
      </c>
      <c r="AO27" s="72">
        <f t="shared" si="10"/>
        <v>0.58823529411764708</v>
      </c>
      <c r="AP27" s="72">
        <v>0.221</v>
      </c>
      <c r="AQ27" s="72">
        <v>0.128</v>
      </c>
      <c r="AR27" s="72">
        <f t="shared" si="11"/>
        <v>9.4363791631084534E-2</v>
      </c>
      <c r="AS27" s="72">
        <f t="shared" si="12"/>
        <v>1.7265625</v>
      </c>
      <c r="AT27" s="72">
        <f t="shared" si="13"/>
        <v>0.22574055158324821</v>
      </c>
      <c r="AU27" s="72">
        <v>0.11</v>
      </c>
      <c r="AV27" s="72">
        <v>0.16500000000000001</v>
      </c>
      <c r="AW27" s="72">
        <f>AU:AU/AV:AV</f>
        <v>0.66666666666666663</v>
      </c>
      <c r="AX27" s="72">
        <f>AP:AP/AU:AU</f>
        <v>2.0090909090909093</v>
      </c>
      <c r="AY27" s="136">
        <v>4</v>
      </c>
      <c r="AZ27" s="136">
        <v>6</v>
      </c>
      <c r="BA27" s="136">
        <v>15</v>
      </c>
      <c r="BB27" s="136">
        <v>7</v>
      </c>
      <c r="BC27" s="143">
        <v>7</v>
      </c>
    </row>
    <row r="28" spans="2:57" ht="12.75" customHeight="1" x14ac:dyDescent="0.2">
      <c r="B28" s="69"/>
      <c r="C28" s="71"/>
      <c r="D28" s="71"/>
      <c r="E28" s="71"/>
      <c r="F28" s="72">
        <f>1.565+0.777</f>
        <v>2.3420000000000001</v>
      </c>
      <c r="G28" s="82">
        <f t="shared" si="0"/>
        <v>4.4019999999999992</v>
      </c>
      <c r="H28" s="82">
        <f t="shared" si="1"/>
        <v>1.8795900939368058</v>
      </c>
      <c r="I28" s="72">
        <v>0.11799999999999999</v>
      </c>
      <c r="J28" s="72">
        <v>0.06</v>
      </c>
      <c r="K28" s="72">
        <v>0.95799999999999996</v>
      </c>
      <c r="L28" s="72">
        <v>0.79</v>
      </c>
      <c r="M28" s="72">
        <v>0.78100000000000003</v>
      </c>
      <c r="N28" s="72">
        <v>0.17</v>
      </c>
      <c r="O28" s="72">
        <v>1.5249999999999999</v>
      </c>
      <c r="P28" s="72">
        <f t="shared" si="24"/>
        <v>1.6949999999999998</v>
      </c>
      <c r="Q28" s="82">
        <f t="shared" si="2"/>
        <v>1.7693110647181627</v>
      </c>
      <c r="R28" s="82">
        <f t="shared" si="3"/>
        <v>0.81524008350730692</v>
      </c>
      <c r="S28" s="82">
        <f t="shared" si="4"/>
        <v>0.82463465553235915</v>
      </c>
      <c r="T28" s="82">
        <f t="shared" si="5"/>
        <v>8.970588235294116</v>
      </c>
      <c r="U28" s="72">
        <v>0.36599999999999999</v>
      </c>
      <c r="V28" s="72">
        <f t="shared" si="16"/>
        <v>12.027322404371583</v>
      </c>
      <c r="W28" s="72">
        <v>0.72799999999999998</v>
      </c>
      <c r="X28" s="72">
        <v>0.16300000000000001</v>
      </c>
      <c r="Y28" s="72">
        <f t="shared" si="20"/>
        <v>4.4662576687116564</v>
      </c>
      <c r="Z28" s="73" t="s">
        <v>75</v>
      </c>
      <c r="AA28" s="72">
        <v>0.629</v>
      </c>
      <c r="AB28" s="72">
        <f>AA28/F28</f>
        <v>0.26857386848847137</v>
      </c>
      <c r="AC28" s="72">
        <v>1.2430000000000001</v>
      </c>
      <c r="AD28" s="72">
        <f>AC28/F28</f>
        <v>0.53074295473953892</v>
      </c>
      <c r="AE28" s="72">
        <v>0.111</v>
      </c>
      <c r="AF28" s="72">
        <f>AE28/K28</f>
        <v>0.11586638830897704</v>
      </c>
      <c r="AG28" s="72">
        <f>AE:AE/P:P</f>
        <v>6.5486725663716827E-2</v>
      </c>
      <c r="AH28" s="72">
        <f>AE28/N28</f>
        <v>0.65294117647058825</v>
      </c>
      <c r="AI28" s="72">
        <v>0.13</v>
      </c>
      <c r="AJ28" s="72">
        <v>7.8E-2</v>
      </c>
      <c r="AK28" s="72">
        <f t="shared" ref="AK28" si="34">AI28/AJ28</f>
        <v>1.6666666666666667</v>
      </c>
      <c r="AL28" s="72">
        <f>AI28/AE28</f>
        <v>1.1711711711711712</v>
      </c>
      <c r="AM28" s="72">
        <f>AI28/N28</f>
        <v>0.76470588235294112</v>
      </c>
      <c r="AN28" s="72">
        <f t="shared" si="23"/>
        <v>0.13569937369519833</v>
      </c>
      <c r="AO28" s="72">
        <f t="shared" ref="AO28" si="35">AI28/AP28</f>
        <v>0.56768558951965065</v>
      </c>
      <c r="AP28" s="72">
        <v>0.22900000000000001</v>
      </c>
      <c r="AQ28" s="72">
        <v>0.153</v>
      </c>
      <c r="AR28" s="72">
        <f t="shared" si="11"/>
        <v>9.7779675491033308E-2</v>
      </c>
      <c r="AS28" s="72">
        <f t="shared" si="12"/>
        <v>1.4967320261437909</v>
      </c>
      <c r="AT28" s="72">
        <f t="shared" si="13"/>
        <v>0.23903966597077247</v>
      </c>
      <c r="AU28" s="72">
        <v>0.11</v>
      </c>
      <c r="AV28" s="72">
        <v>0.16500000000000001</v>
      </c>
      <c r="AW28" s="72">
        <f>AU:AU/AV:AV</f>
        <v>0.66666666666666663</v>
      </c>
      <c r="AX28" s="72">
        <f>AP:AP/AU:AU</f>
        <v>2.081818181818182</v>
      </c>
      <c r="AY28" s="134" t="s">
        <v>75</v>
      </c>
      <c r="AZ28" s="136">
        <v>7</v>
      </c>
      <c r="BA28" s="134" t="s">
        <v>75</v>
      </c>
      <c r="BB28" s="134" t="s">
        <v>75</v>
      </c>
      <c r="BC28" s="247" t="s">
        <v>75</v>
      </c>
    </row>
    <row r="29" spans="2:57" ht="12.75" customHeight="1" x14ac:dyDescent="0.2">
      <c r="B29" s="159">
        <v>22097</v>
      </c>
      <c r="C29" s="76" t="s">
        <v>278</v>
      </c>
      <c r="D29" s="77"/>
      <c r="E29" s="77"/>
      <c r="F29" s="78">
        <f>1.482+0.986</f>
        <v>2.468</v>
      </c>
      <c r="G29" s="114" t="s">
        <v>75</v>
      </c>
      <c r="H29" s="114" t="s">
        <v>75</v>
      </c>
      <c r="I29" s="78">
        <v>0.113</v>
      </c>
      <c r="J29" s="78">
        <v>5.6000000000000001E-2</v>
      </c>
      <c r="K29" s="78">
        <v>0.97699999999999998</v>
      </c>
      <c r="L29" s="78">
        <v>0.85699999999999998</v>
      </c>
      <c r="M29" s="78">
        <v>0.90400000000000003</v>
      </c>
      <c r="N29" s="79" t="s">
        <v>75</v>
      </c>
      <c r="O29" s="79" t="s">
        <v>75</v>
      </c>
      <c r="P29" s="79" t="s">
        <v>75</v>
      </c>
      <c r="Q29" s="114" t="s">
        <v>75</v>
      </c>
      <c r="R29" s="80">
        <f t="shared" si="3"/>
        <v>0.92528147389969295</v>
      </c>
      <c r="S29" s="80">
        <f t="shared" si="4"/>
        <v>0.87717502558853633</v>
      </c>
      <c r="T29" s="114" t="s">
        <v>75</v>
      </c>
      <c r="U29" s="78">
        <v>0.35899999999999999</v>
      </c>
      <c r="V29" s="79" t="s">
        <v>75</v>
      </c>
      <c r="W29" s="78">
        <v>0.70499999999999996</v>
      </c>
      <c r="X29" s="78">
        <v>0.17100000000000001</v>
      </c>
      <c r="Y29" s="78">
        <f t="shared" si="20"/>
        <v>4.1228070175438587</v>
      </c>
      <c r="Z29" s="78">
        <v>0.46100000000000002</v>
      </c>
      <c r="AA29" s="78">
        <v>0.624</v>
      </c>
      <c r="AB29" s="78">
        <f>AA29/F29</f>
        <v>0.25283630470016205</v>
      </c>
      <c r="AC29" s="78">
        <v>1.2809999999999999</v>
      </c>
      <c r="AD29" s="78">
        <f>AC29/F29</f>
        <v>0.51904376012965958</v>
      </c>
      <c r="AE29" s="78">
        <v>0.113</v>
      </c>
      <c r="AF29" s="78">
        <f>AE29/K29</f>
        <v>0.11566018423746162</v>
      </c>
      <c r="AG29" s="79" t="s">
        <v>75</v>
      </c>
      <c r="AH29" s="79" t="s">
        <v>75</v>
      </c>
      <c r="AI29" s="78">
        <v>0.123</v>
      </c>
      <c r="AJ29" s="78">
        <v>6.6000000000000003E-2</v>
      </c>
      <c r="AK29" s="78">
        <f t="shared" si="7"/>
        <v>1.8636363636363635</v>
      </c>
      <c r="AL29" s="78">
        <f>AI29/AE29</f>
        <v>1.0884955752212389</v>
      </c>
      <c r="AM29" s="79" t="s">
        <v>75</v>
      </c>
      <c r="AN29" s="78">
        <f t="shared" si="23"/>
        <v>0.12589559877175024</v>
      </c>
      <c r="AO29" s="78">
        <f t="shared" si="10"/>
        <v>0.44086021505376338</v>
      </c>
      <c r="AP29" s="78">
        <v>0.27900000000000003</v>
      </c>
      <c r="AQ29" s="78">
        <v>0.15</v>
      </c>
      <c r="AR29" s="78">
        <f t="shared" si="11"/>
        <v>0.11304700162074556</v>
      </c>
      <c r="AS29" s="78">
        <f t="shared" si="12"/>
        <v>1.8600000000000003</v>
      </c>
      <c r="AT29" s="78">
        <f t="shared" si="13"/>
        <v>0.28556806550665303</v>
      </c>
      <c r="AU29" s="79" t="s">
        <v>75</v>
      </c>
      <c r="AV29" s="79" t="s">
        <v>75</v>
      </c>
      <c r="AW29" s="79" t="s">
        <v>75</v>
      </c>
      <c r="AX29" s="79" t="s">
        <v>75</v>
      </c>
      <c r="AY29" s="137">
        <v>5</v>
      </c>
      <c r="AZ29" s="137">
        <v>6</v>
      </c>
      <c r="BA29" s="137">
        <v>12</v>
      </c>
      <c r="BB29" s="137">
        <v>11</v>
      </c>
      <c r="BC29" s="242" t="s">
        <v>75</v>
      </c>
    </row>
    <row r="30" spans="2:57" ht="12.75" customHeight="1" x14ac:dyDescent="0.2">
      <c r="B30" s="153"/>
      <c r="C30" s="91"/>
      <c r="D30" s="91"/>
      <c r="E30" s="91"/>
      <c r="F30" s="92">
        <f>1.482+0.986</f>
        <v>2.468</v>
      </c>
      <c r="G30" s="94">
        <f t="shared" si="0"/>
        <v>4.0739999999999998</v>
      </c>
      <c r="H30" s="94">
        <f t="shared" si="1"/>
        <v>1.6507293354943273</v>
      </c>
      <c r="I30" s="92">
        <v>0.113</v>
      </c>
      <c r="J30" s="92">
        <v>5.5E-2</v>
      </c>
      <c r="K30" s="92">
        <v>0.96899999999999997</v>
      </c>
      <c r="L30" s="92">
        <v>0.84099999999999997</v>
      </c>
      <c r="M30" s="92">
        <v>0.79900000000000004</v>
      </c>
      <c r="N30" s="92">
        <v>0.19</v>
      </c>
      <c r="O30" s="92">
        <f>0.587+0.52</f>
        <v>1.107</v>
      </c>
      <c r="P30" s="92">
        <f>N:N+O:O</f>
        <v>1.2969999999999999</v>
      </c>
      <c r="Q30" s="94">
        <f t="shared" si="2"/>
        <v>1.3384932920536636</v>
      </c>
      <c r="R30" s="94">
        <f t="shared" si="3"/>
        <v>0.82456140350877205</v>
      </c>
      <c r="S30" s="94">
        <f t="shared" si="4"/>
        <v>0.86790505675954588</v>
      </c>
      <c r="T30" s="94">
        <f t="shared" si="5"/>
        <v>5.8263157894736839</v>
      </c>
      <c r="U30" s="92">
        <v>0.35899999999999999</v>
      </c>
      <c r="V30" s="92">
        <f t="shared" si="16"/>
        <v>11.348189415041782</v>
      </c>
      <c r="W30" s="92">
        <v>0.71399999999999997</v>
      </c>
      <c r="X30" s="92">
        <v>0.17799999999999999</v>
      </c>
      <c r="Y30" s="92">
        <f t="shared" si="20"/>
        <v>4.01123595505618</v>
      </c>
      <c r="Z30" s="92">
        <v>0.46700000000000003</v>
      </c>
      <c r="AA30" s="92">
        <v>0.629</v>
      </c>
      <c r="AB30" s="92">
        <f>AA30/F30</f>
        <v>0.25486223662884927</v>
      </c>
      <c r="AC30" s="92">
        <v>1.2849999999999999</v>
      </c>
      <c r="AD30" s="92">
        <f>AC30/F30</f>
        <v>0.52066450567260936</v>
      </c>
      <c r="AE30" s="92">
        <v>0.113</v>
      </c>
      <c r="AF30" s="92">
        <f>AE30/K30</f>
        <v>0.11661506707946337</v>
      </c>
      <c r="AG30" s="92">
        <f>AE:AE/P:P</f>
        <v>8.7124132613723981E-2</v>
      </c>
      <c r="AH30" s="92">
        <f>AE30/N30</f>
        <v>0.59473684210526312</v>
      </c>
      <c r="AI30" s="92">
        <v>0.123</v>
      </c>
      <c r="AJ30" s="92">
        <v>6.6000000000000003E-2</v>
      </c>
      <c r="AK30" s="92">
        <f t="shared" ref="AK30" si="36">AI30/AJ30</f>
        <v>1.8636363636363635</v>
      </c>
      <c r="AL30" s="92">
        <f>AI30/AE30</f>
        <v>1.0884955752212389</v>
      </c>
      <c r="AM30" s="92">
        <f t="shared" ref="AM30" si="37">AI30/N30</f>
        <v>0.64736842105263159</v>
      </c>
      <c r="AN30" s="92">
        <f t="shared" si="23"/>
        <v>0.12693498452012383</v>
      </c>
      <c r="AO30" s="92">
        <f t="shared" ref="AO30" si="38">AI30/AP30</f>
        <v>0.46240601503759393</v>
      </c>
      <c r="AP30" s="92">
        <v>0.26600000000000001</v>
      </c>
      <c r="AQ30" s="92">
        <v>0.13300000000000001</v>
      </c>
      <c r="AR30" s="92">
        <f t="shared" si="11"/>
        <v>0.10777957860615885</v>
      </c>
      <c r="AS30" s="92">
        <f t="shared" si="12"/>
        <v>2</v>
      </c>
      <c r="AT30" s="92">
        <f t="shared" si="13"/>
        <v>0.27450980392156865</v>
      </c>
      <c r="AU30" s="93" t="s">
        <v>75</v>
      </c>
      <c r="AV30" s="93" t="s">
        <v>75</v>
      </c>
      <c r="AW30" s="93" t="s">
        <v>75</v>
      </c>
      <c r="AX30" s="93" t="s">
        <v>75</v>
      </c>
      <c r="AY30" s="138" t="s">
        <v>75</v>
      </c>
      <c r="AZ30" s="241">
        <v>7</v>
      </c>
      <c r="BA30" s="138" t="s">
        <v>75</v>
      </c>
      <c r="BB30" s="138" t="s">
        <v>75</v>
      </c>
      <c r="BC30" s="243" t="s">
        <v>75</v>
      </c>
    </row>
    <row r="31" spans="2:57" ht="12.75" customHeight="1" x14ac:dyDescent="0.2">
      <c r="B31" s="1"/>
      <c r="E31" s="2" t="s">
        <v>25</v>
      </c>
      <c r="F31" s="8">
        <f>MIN(F3:F30)</f>
        <v>1.7509999999999999</v>
      </c>
      <c r="G31" s="8">
        <f t="shared" ref="G31:BC31" si="39">MIN(G3:G30)</f>
        <v>3.1989999999999998</v>
      </c>
      <c r="H31" s="8">
        <f t="shared" si="39"/>
        <v>1.6507293354943273</v>
      </c>
      <c r="I31" s="8">
        <f t="shared" si="39"/>
        <v>0.106</v>
      </c>
      <c r="J31" s="8">
        <f t="shared" si="39"/>
        <v>0.05</v>
      </c>
      <c r="K31" s="8">
        <f t="shared" si="39"/>
        <v>0.76600000000000001</v>
      </c>
      <c r="L31" s="8">
        <f t="shared" si="39"/>
        <v>0.58599999999999997</v>
      </c>
      <c r="M31" s="8">
        <f t="shared" si="39"/>
        <v>0.61</v>
      </c>
      <c r="N31" s="8">
        <f t="shared" si="39"/>
        <v>0.13200000000000001</v>
      </c>
      <c r="O31" s="8">
        <f t="shared" si="39"/>
        <v>0.89500000000000002</v>
      </c>
      <c r="P31" s="8">
        <f t="shared" si="39"/>
        <v>1.044</v>
      </c>
      <c r="Q31" s="8">
        <f t="shared" si="39"/>
        <v>1.2524807056229326</v>
      </c>
      <c r="R31" s="8">
        <f t="shared" si="39"/>
        <v>0.67254685777287759</v>
      </c>
      <c r="S31" s="8">
        <f t="shared" si="39"/>
        <v>0.64771573604060917</v>
      </c>
      <c r="T31" s="8">
        <f t="shared" si="39"/>
        <v>5.8263157894736839</v>
      </c>
      <c r="U31" s="8">
        <f t="shared" si="39"/>
        <v>0.32500000000000001</v>
      </c>
      <c r="V31" s="8">
        <f t="shared" si="39"/>
        <v>9.5208333333333321</v>
      </c>
      <c r="W31" s="8">
        <f t="shared" si="39"/>
        <v>0.61</v>
      </c>
      <c r="X31" s="8">
        <f t="shared" si="39"/>
        <v>0.109</v>
      </c>
      <c r="Y31" s="8">
        <f t="shared" si="39"/>
        <v>3.968944099378882</v>
      </c>
      <c r="Z31" s="8">
        <f t="shared" si="39"/>
        <v>0.40799999999999997</v>
      </c>
      <c r="AA31" s="8">
        <f t="shared" si="39"/>
        <v>0.51</v>
      </c>
      <c r="AB31" s="8">
        <f t="shared" si="39"/>
        <v>0.25283630470016205</v>
      </c>
      <c r="AC31" s="8">
        <f t="shared" si="39"/>
        <v>1.1140000000000001</v>
      </c>
      <c r="AD31" s="8">
        <f t="shared" si="39"/>
        <v>0.51904376012965958</v>
      </c>
      <c r="AE31" s="8">
        <f t="shared" si="39"/>
        <v>9.6000000000000002E-2</v>
      </c>
      <c r="AF31" s="8">
        <f t="shared" si="39"/>
        <v>9.106678230702514E-2</v>
      </c>
      <c r="AG31" s="8">
        <f t="shared" si="39"/>
        <v>6.5204143814747109E-2</v>
      </c>
      <c r="AH31" s="8">
        <f t="shared" si="39"/>
        <v>0.52999999999999992</v>
      </c>
      <c r="AI31" s="8">
        <f t="shared" si="39"/>
        <v>0.123</v>
      </c>
      <c r="AJ31" s="8">
        <f t="shared" si="39"/>
        <v>6.6000000000000003E-2</v>
      </c>
      <c r="AK31" s="8">
        <f t="shared" si="39"/>
        <v>1.4767441860465118</v>
      </c>
      <c r="AL31" s="8">
        <f t="shared" si="39"/>
        <v>1.0546875</v>
      </c>
      <c r="AM31" s="8">
        <f t="shared" si="39"/>
        <v>0.64736842105263159</v>
      </c>
      <c r="AN31" s="8">
        <f t="shared" si="39"/>
        <v>0.1144781144781145</v>
      </c>
      <c r="AO31" s="8">
        <f t="shared" si="39"/>
        <v>0.42307692307692302</v>
      </c>
      <c r="AP31" s="8">
        <f t="shared" si="39"/>
        <v>0.186</v>
      </c>
      <c r="AQ31" s="8">
        <f t="shared" si="39"/>
        <v>9.0999999999999998E-2</v>
      </c>
      <c r="AR31" s="8">
        <f t="shared" si="39"/>
        <v>9.4363791631084534E-2</v>
      </c>
      <c r="AS31" s="8">
        <f t="shared" si="39"/>
        <v>1.4967320261437909</v>
      </c>
      <c r="AT31" s="8">
        <f t="shared" si="39"/>
        <v>0.21005025125628141</v>
      </c>
      <c r="AU31" s="8">
        <f t="shared" si="39"/>
        <v>9.1999999999999998E-2</v>
      </c>
      <c r="AV31" s="8">
        <f t="shared" si="39"/>
        <v>8.5000000000000006E-2</v>
      </c>
      <c r="AW31" s="8">
        <f t="shared" si="39"/>
        <v>0.66666666666666663</v>
      </c>
      <c r="AX31" s="8">
        <f t="shared" si="39"/>
        <v>1.9259259259259258</v>
      </c>
      <c r="AY31" s="9">
        <f t="shared" si="39"/>
        <v>4</v>
      </c>
      <c r="AZ31" s="9">
        <f t="shared" si="39"/>
        <v>5</v>
      </c>
      <c r="BA31" s="9">
        <f t="shared" si="39"/>
        <v>9</v>
      </c>
      <c r="BB31" s="9">
        <f t="shared" si="39"/>
        <v>4</v>
      </c>
      <c r="BC31" s="9">
        <f t="shared" si="39"/>
        <v>5</v>
      </c>
      <c r="BD31" s="8"/>
      <c r="BE31" s="8"/>
    </row>
    <row r="32" spans="2:57" ht="12.75" customHeight="1" x14ac:dyDescent="0.2">
      <c r="B32" s="1"/>
      <c r="E32" s="2" t="s">
        <v>26</v>
      </c>
      <c r="F32" s="8">
        <f>MAX(F3:F30)</f>
        <v>2.7610000000000001</v>
      </c>
      <c r="G32" s="8">
        <f t="shared" ref="G32:BC32" si="40">MAX(G3:G30)</f>
        <v>5.0039999999999996</v>
      </c>
      <c r="H32" s="8">
        <f t="shared" si="40"/>
        <v>2.507399577167019</v>
      </c>
      <c r="I32" s="8">
        <f t="shared" si="40"/>
        <v>0.14699999999999999</v>
      </c>
      <c r="J32" s="8">
        <f t="shared" si="40"/>
        <v>7.0999999999999994E-2</v>
      </c>
      <c r="K32" s="8">
        <f t="shared" si="40"/>
        <v>1.1879999999999999</v>
      </c>
      <c r="L32" s="8">
        <f t="shared" si="40"/>
        <v>0.98599999999999999</v>
      </c>
      <c r="M32" s="8">
        <f t="shared" si="40"/>
        <v>0.97299999999999998</v>
      </c>
      <c r="N32" s="8">
        <f t="shared" si="40"/>
        <v>0.2</v>
      </c>
      <c r="O32" s="8">
        <f t="shared" si="40"/>
        <v>1.6619999999999999</v>
      </c>
      <c r="P32" s="8">
        <f t="shared" si="40"/>
        <v>1.8479999999999999</v>
      </c>
      <c r="Q32" s="8">
        <f t="shared" si="40"/>
        <v>1.8973305954825461</v>
      </c>
      <c r="R32" s="8">
        <f t="shared" si="40"/>
        <v>0.92528147389969295</v>
      </c>
      <c r="S32" s="8">
        <f t="shared" si="40"/>
        <v>0.88398357289527718</v>
      </c>
      <c r="T32" s="8">
        <f t="shared" si="40"/>
        <v>9.6590909090909083</v>
      </c>
      <c r="U32" s="8">
        <f t="shared" si="40"/>
        <v>0.39500000000000002</v>
      </c>
      <c r="V32" s="8">
        <f t="shared" ref="V32" si="41">MAX(V3:V30)</f>
        <v>13.994100294985248</v>
      </c>
      <c r="W32" s="8">
        <f t="shared" si="40"/>
        <v>0.875</v>
      </c>
      <c r="X32" s="8">
        <f t="shared" si="40"/>
        <v>0.17799999999999999</v>
      </c>
      <c r="Y32" s="8">
        <f t="shared" si="40"/>
        <v>7.8440366972477067</v>
      </c>
      <c r="Z32" s="8">
        <f t="shared" si="40"/>
        <v>0.57899999999999996</v>
      </c>
      <c r="AA32" s="8">
        <f t="shared" si="40"/>
        <v>0.82499999999999996</v>
      </c>
      <c r="AB32" s="8">
        <f t="shared" si="40"/>
        <v>0.36945031712473575</v>
      </c>
      <c r="AC32" s="8">
        <f t="shared" si="40"/>
        <v>1.605</v>
      </c>
      <c r="AD32" s="8">
        <f t="shared" si="40"/>
        <v>0.77959830866807622</v>
      </c>
      <c r="AE32" s="8">
        <f t="shared" si="40"/>
        <v>0.128</v>
      </c>
      <c r="AF32" s="8">
        <f t="shared" si="40"/>
        <v>0.14490861618798956</v>
      </c>
      <c r="AG32" s="8">
        <f t="shared" si="40"/>
        <v>0.10632183908045977</v>
      </c>
      <c r="AH32" s="8">
        <f t="shared" si="40"/>
        <v>0.7727272727272726</v>
      </c>
      <c r="AI32" s="8">
        <f t="shared" si="40"/>
        <v>0.14299999999999999</v>
      </c>
      <c r="AJ32" s="8">
        <f t="shared" si="40"/>
        <v>8.5999999999999993E-2</v>
      </c>
      <c r="AK32" s="8">
        <f t="shared" si="40"/>
        <v>1.9565217391304348</v>
      </c>
      <c r="AL32" s="8">
        <f t="shared" si="40"/>
        <v>1.361904761904762</v>
      </c>
      <c r="AM32" s="8">
        <f t="shared" si="40"/>
        <v>0.95454545454545447</v>
      </c>
      <c r="AN32" s="8">
        <f t="shared" si="40"/>
        <v>0.14106939704209329</v>
      </c>
      <c r="AO32" s="8">
        <f t="shared" si="40"/>
        <v>0.64593301435406703</v>
      </c>
      <c r="AP32" s="8">
        <f t="shared" si="40"/>
        <v>0.33800000000000002</v>
      </c>
      <c r="AQ32" s="8">
        <f t="shared" si="40"/>
        <v>0.153</v>
      </c>
      <c r="AR32" s="8">
        <f t="shared" si="40"/>
        <v>0.15803382663847781</v>
      </c>
      <c r="AS32" s="8">
        <f t="shared" si="40"/>
        <v>3.2857142857142856</v>
      </c>
      <c r="AT32" s="8">
        <f t="shared" si="40"/>
        <v>0.30698151950718683</v>
      </c>
      <c r="AU32" s="8">
        <f t="shared" si="40"/>
        <v>0.13400000000000001</v>
      </c>
      <c r="AV32" s="8">
        <f t="shared" si="40"/>
        <v>0.16600000000000001</v>
      </c>
      <c r="AW32" s="8">
        <f t="shared" si="40"/>
        <v>1.0823529411764705</v>
      </c>
      <c r="AX32" s="8">
        <f t="shared" si="40"/>
        <v>2.5555555555555554</v>
      </c>
      <c r="AY32" s="9">
        <f t="shared" si="40"/>
        <v>5</v>
      </c>
      <c r="AZ32" s="9">
        <f t="shared" si="40"/>
        <v>10</v>
      </c>
      <c r="BA32" s="9">
        <f t="shared" si="40"/>
        <v>16</v>
      </c>
      <c r="BB32" s="9">
        <f t="shared" si="40"/>
        <v>11</v>
      </c>
      <c r="BC32" s="9">
        <f t="shared" si="40"/>
        <v>10</v>
      </c>
      <c r="BD32" s="8"/>
      <c r="BE32" s="8"/>
    </row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BC40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2" width="18.7109375" style="46" customWidth="1"/>
    <col min="3" max="4" width="18.7109375" style="1" customWidth="1"/>
    <col min="5" max="5" width="36.7109375" style="1" customWidth="1"/>
    <col min="6" max="52" width="8.7109375" style="1" customWidth="1"/>
    <col min="53" max="55" width="10.7109375" style="1" customWidth="1"/>
    <col min="56" max="16384" width="9.140625" style="1"/>
  </cols>
  <sheetData>
    <row r="1" spans="2:55" ht="12" customHeight="1" x14ac:dyDescent="0.2">
      <c r="AN1" s="96"/>
    </row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x14ac:dyDescent="0.2">
      <c r="B3" s="61">
        <v>22131</v>
      </c>
      <c r="C3" s="62" t="s">
        <v>285</v>
      </c>
      <c r="D3" s="63" t="s">
        <v>142</v>
      </c>
      <c r="E3" s="63" t="s">
        <v>208</v>
      </c>
      <c r="F3" s="64">
        <v>1.84</v>
      </c>
      <c r="G3" s="146" t="s">
        <v>75</v>
      </c>
      <c r="H3" s="146" t="s">
        <v>75</v>
      </c>
      <c r="I3" s="64">
        <v>9.8000000000000004E-2</v>
      </c>
      <c r="J3" s="64">
        <v>4.8000000000000001E-2</v>
      </c>
      <c r="K3" s="64">
        <v>0.84299999999999997</v>
      </c>
      <c r="L3" s="64">
        <v>0.66200000000000003</v>
      </c>
      <c r="M3" s="64">
        <v>0.66300000000000003</v>
      </c>
      <c r="N3" s="64">
        <v>0.113</v>
      </c>
      <c r="O3" s="66" t="s">
        <v>75</v>
      </c>
      <c r="P3" s="66" t="s">
        <v>75</v>
      </c>
      <c r="Q3" s="146" t="s">
        <v>75</v>
      </c>
      <c r="R3" s="65">
        <f t="shared" ref="R3:R32" si="0">M3/K3</f>
        <v>0.78647686832740216</v>
      </c>
      <c r="S3" s="65">
        <f t="shared" ref="S3:S32" si="1">L3/K3</f>
        <v>0.78529062870699884</v>
      </c>
      <c r="T3" s="146" t="s">
        <v>75</v>
      </c>
      <c r="U3" s="64">
        <v>0.30199999999999999</v>
      </c>
      <c r="V3" s="66" t="s">
        <v>75</v>
      </c>
      <c r="W3" s="64">
        <v>0.61199999999999999</v>
      </c>
      <c r="X3" s="64">
        <v>0.13100000000000001</v>
      </c>
      <c r="Y3" s="64">
        <f>W:W/X:X</f>
        <v>4.671755725190839</v>
      </c>
      <c r="Z3" s="64">
        <v>0.39800000000000002</v>
      </c>
      <c r="AA3" s="64">
        <v>0.54700000000000004</v>
      </c>
      <c r="AB3" s="64">
        <f>AA3/F3</f>
        <v>0.29728260869565221</v>
      </c>
      <c r="AC3" s="64">
        <v>1.1970000000000001</v>
      </c>
      <c r="AD3" s="64">
        <f>AC3/F3</f>
        <v>0.65054347826086956</v>
      </c>
      <c r="AE3" s="64">
        <v>9.5000000000000001E-2</v>
      </c>
      <c r="AF3" s="64">
        <f>AE3/K3</f>
        <v>0.11269276393831555</v>
      </c>
      <c r="AG3" s="66" t="s">
        <v>75</v>
      </c>
      <c r="AH3" s="64">
        <f>AE3/N3</f>
        <v>0.84070796460176989</v>
      </c>
      <c r="AI3" s="64">
        <v>0.09</v>
      </c>
      <c r="AJ3" s="66" t="s">
        <v>75</v>
      </c>
      <c r="AK3" s="66" t="s">
        <v>75</v>
      </c>
      <c r="AL3" s="64">
        <f t="shared" ref="AL3:AL26" si="2">AI3/AE3</f>
        <v>0.94736842105263153</v>
      </c>
      <c r="AM3" s="64">
        <f t="shared" ref="AM3:AM26" si="3">AI3/N3</f>
        <v>0.79646017699115035</v>
      </c>
      <c r="AN3" s="64">
        <f>AI3/K3</f>
        <v>0.10676156583629894</v>
      </c>
      <c r="AO3" s="64">
        <f t="shared" ref="AO3:AO31" si="4">AI3/AP3</f>
        <v>0.45685279187817257</v>
      </c>
      <c r="AP3" s="64">
        <v>0.19700000000000001</v>
      </c>
      <c r="AQ3" s="64">
        <v>0.123</v>
      </c>
      <c r="AR3" s="64">
        <f t="shared" ref="AR3:AR32" si="5">AP3/F3</f>
        <v>0.10706521739130435</v>
      </c>
      <c r="AS3" s="64">
        <f t="shared" ref="AS3:AS32" si="6">AP3/AQ3</f>
        <v>1.6016260162601628</v>
      </c>
      <c r="AT3" s="64">
        <f t="shared" ref="AT3:AT32" si="7">AP3/K3</f>
        <v>0.23368920521945435</v>
      </c>
      <c r="AU3" s="64">
        <v>0.13300000000000001</v>
      </c>
      <c r="AV3" s="64">
        <v>9.8000000000000004E-2</v>
      </c>
      <c r="AW3" s="64">
        <f t="shared" ref="AW3:AW31" si="8">AU3/AV3</f>
        <v>1.3571428571428572</v>
      </c>
      <c r="AX3" s="65">
        <f t="shared" ref="AX3:AX31" si="9">AP3/AU3</f>
        <v>1.481203007518797</v>
      </c>
      <c r="AY3" s="260" t="s">
        <v>75</v>
      </c>
      <c r="AZ3" s="133">
        <v>8</v>
      </c>
      <c r="BA3" s="260" t="s">
        <v>75</v>
      </c>
      <c r="BB3" s="260" t="s">
        <v>75</v>
      </c>
      <c r="BC3" s="261" t="s">
        <v>75</v>
      </c>
    </row>
    <row r="4" spans="2:55" x14ac:dyDescent="0.2">
      <c r="B4" s="69"/>
      <c r="C4" s="71"/>
      <c r="D4" s="71"/>
      <c r="E4" s="71"/>
      <c r="F4" s="72">
        <v>1.84</v>
      </c>
      <c r="G4" s="110" t="s">
        <v>75</v>
      </c>
      <c r="H4" s="110" t="s">
        <v>75</v>
      </c>
      <c r="I4" s="72">
        <v>9.2999999999999999E-2</v>
      </c>
      <c r="J4" s="72">
        <v>4.4999999999999998E-2</v>
      </c>
      <c r="K4" s="72">
        <v>0.84699999999999998</v>
      </c>
      <c r="L4" s="72">
        <v>0.66700000000000004</v>
      </c>
      <c r="M4" s="72">
        <v>0.65700000000000003</v>
      </c>
      <c r="N4" s="72">
        <v>0.11799999999999999</v>
      </c>
      <c r="O4" s="73" t="s">
        <v>75</v>
      </c>
      <c r="P4" s="73" t="s">
        <v>75</v>
      </c>
      <c r="Q4" s="110" t="s">
        <v>75</v>
      </c>
      <c r="R4" s="82">
        <f t="shared" si="0"/>
        <v>0.77567886658795759</v>
      </c>
      <c r="S4" s="82">
        <f t="shared" si="1"/>
        <v>0.7874852420306967</v>
      </c>
      <c r="T4" s="110" t="s">
        <v>75</v>
      </c>
      <c r="U4" s="72">
        <v>0.30199999999999999</v>
      </c>
      <c r="V4" s="73" t="s">
        <v>75</v>
      </c>
      <c r="W4" s="72">
        <v>0.63400000000000001</v>
      </c>
      <c r="X4" s="72">
        <v>0.13500000000000001</v>
      </c>
      <c r="Y4" s="72">
        <f>W:W/X:X</f>
        <v>4.6962962962962962</v>
      </c>
      <c r="Z4" s="72">
        <v>0.41199999999999998</v>
      </c>
      <c r="AA4" s="73" t="s">
        <v>75</v>
      </c>
      <c r="AB4" s="73" t="s">
        <v>75</v>
      </c>
      <c r="AC4" s="73" t="s">
        <v>75</v>
      </c>
      <c r="AD4" s="73" t="s">
        <v>75</v>
      </c>
      <c r="AE4" s="73" t="s">
        <v>75</v>
      </c>
      <c r="AF4" s="73" t="s">
        <v>75</v>
      </c>
      <c r="AG4" s="73" t="s">
        <v>75</v>
      </c>
      <c r="AH4" s="73" t="s">
        <v>75</v>
      </c>
      <c r="AI4" s="72">
        <v>0.09</v>
      </c>
      <c r="AJ4" s="73" t="s">
        <v>75</v>
      </c>
      <c r="AK4" s="73" t="s">
        <v>75</v>
      </c>
      <c r="AL4" s="73" t="s">
        <v>75</v>
      </c>
      <c r="AM4" s="72">
        <f t="shared" si="3"/>
        <v>0.76271186440677963</v>
      </c>
      <c r="AN4" s="72">
        <f t="shared" ref="AN4:AN32" si="10">AI4/K4</f>
        <v>0.10625737898465171</v>
      </c>
      <c r="AO4" s="72">
        <f t="shared" si="4"/>
        <v>0.47872340425531912</v>
      </c>
      <c r="AP4" s="72">
        <v>0.188</v>
      </c>
      <c r="AQ4" s="72">
        <v>0.14799999999999999</v>
      </c>
      <c r="AR4" s="72">
        <f t="shared" si="5"/>
        <v>0.10217391304347825</v>
      </c>
      <c r="AS4" s="72">
        <f t="shared" si="6"/>
        <v>1.2702702702702704</v>
      </c>
      <c r="AT4" s="72">
        <f t="shared" si="7"/>
        <v>0.22195985832349469</v>
      </c>
      <c r="AU4" s="72">
        <v>0.13300000000000001</v>
      </c>
      <c r="AV4" s="72">
        <v>9.8000000000000004E-2</v>
      </c>
      <c r="AW4" s="72">
        <f t="shared" ref="AW4" si="11">AU4/AV4</f>
        <v>1.3571428571428572</v>
      </c>
      <c r="AX4" s="82">
        <f t="shared" ref="AX4" si="12">AP4/AU4</f>
        <v>1.4135338345864661</v>
      </c>
      <c r="AY4" s="134" t="s">
        <v>75</v>
      </c>
      <c r="AZ4" s="134" t="s">
        <v>75</v>
      </c>
      <c r="BA4" s="134" t="s">
        <v>75</v>
      </c>
      <c r="BB4" s="134" t="s">
        <v>75</v>
      </c>
      <c r="BC4" s="247" t="s">
        <v>75</v>
      </c>
    </row>
    <row r="5" spans="2:55" x14ac:dyDescent="0.2">
      <c r="B5" s="86">
        <v>22131</v>
      </c>
      <c r="C5" s="76" t="s">
        <v>285</v>
      </c>
      <c r="D5" s="77" t="s">
        <v>288</v>
      </c>
      <c r="E5" s="77" t="s">
        <v>208</v>
      </c>
      <c r="F5" s="78">
        <f>1.32+0.65</f>
        <v>1.9700000000000002</v>
      </c>
      <c r="G5" s="80">
        <f>I5+J5+K5+L5+M5+N5+O5</f>
        <v>4.0830000000000002</v>
      </c>
      <c r="H5" s="80">
        <f>G5/F5</f>
        <v>2.0725888324873094</v>
      </c>
      <c r="I5" s="78">
        <v>0.105</v>
      </c>
      <c r="J5" s="78">
        <v>5.6000000000000001E-2</v>
      </c>
      <c r="K5" s="78">
        <v>0.91600000000000004</v>
      </c>
      <c r="L5" s="78">
        <v>0.72099999999999997</v>
      </c>
      <c r="M5" s="78">
        <v>0.68799999999999994</v>
      </c>
      <c r="N5" s="78">
        <v>0.122</v>
      </c>
      <c r="O5" s="78">
        <v>1.4750000000000001</v>
      </c>
      <c r="P5" s="78">
        <f>N:N+O:O</f>
        <v>1.597</v>
      </c>
      <c r="Q5" s="80">
        <f>(N5+O5)/K5</f>
        <v>1.7434497816593886</v>
      </c>
      <c r="R5" s="80">
        <f t="shared" ref="R5:R10" si="13">M5/K5</f>
        <v>0.75109170305676842</v>
      </c>
      <c r="S5" s="80">
        <f t="shared" ref="S5:S10" si="14">L5/K5</f>
        <v>0.78711790393013092</v>
      </c>
      <c r="T5" s="80">
        <f>O5/N5</f>
        <v>12.090163934426231</v>
      </c>
      <c r="U5" s="78">
        <v>0.316</v>
      </c>
      <c r="V5" s="78">
        <f>G5/U5</f>
        <v>12.920886075949367</v>
      </c>
      <c r="W5" s="78">
        <v>0.61699999999999999</v>
      </c>
      <c r="X5" s="78">
        <v>0.13800000000000001</v>
      </c>
      <c r="Y5" s="78">
        <f>W:W/X:X</f>
        <v>4.4710144927536231</v>
      </c>
      <c r="Z5" s="78">
        <v>0.443</v>
      </c>
      <c r="AA5" s="78">
        <v>0.60399999999999998</v>
      </c>
      <c r="AB5" s="78">
        <f t="shared" ref="AB5:AB11" si="15">AA5/F5</f>
        <v>0.30659898477157355</v>
      </c>
      <c r="AC5" s="78">
        <v>1.266</v>
      </c>
      <c r="AD5" s="78">
        <f t="shared" ref="AD5:AD11" si="16">AC5/F5</f>
        <v>0.64263959390862935</v>
      </c>
      <c r="AE5" s="78">
        <v>0.106</v>
      </c>
      <c r="AF5" s="78">
        <f t="shared" ref="AF5:AF10" si="17">AE5/K5</f>
        <v>0.11572052401746724</v>
      </c>
      <c r="AG5" s="78">
        <f>AE:AE/P:P</f>
        <v>6.6374452097683154E-2</v>
      </c>
      <c r="AH5" s="78">
        <f t="shared" ref="AH5:AH11" si="18">AE5/N5</f>
        <v>0.86885245901639341</v>
      </c>
      <c r="AI5" s="78">
        <v>9.7000000000000003E-2</v>
      </c>
      <c r="AJ5" s="78">
        <v>7.1999999999999995E-2</v>
      </c>
      <c r="AK5" s="78">
        <f>AI5/AJ5</f>
        <v>1.3472222222222223</v>
      </c>
      <c r="AL5" s="78">
        <f>AI5/AE5</f>
        <v>0.91509433962264153</v>
      </c>
      <c r="AM5" s="78">
        <f>AI5/N5</f>
        <v>0.79508196721311475</v>
      </c>
      <c r="AN5" s="78">
        <f t="shared" ref="AN5:AN10" si="19">AI5/K5</f>
        <v>0.10589519650655022</v>
      </c>
      <c r="AO5" s="78">
        <f>AI5/AP5</f>
        <v>0.4731707317073171</v>
      </c>
      <c r="AP5" s="78">
        <v>0.20499999999999999</v>
      </c>
      <c r="AQ5" s="78">
        <v>0.127</v>
      </c>
      <c r="AR5" s="78">
        <f t="shared" ref="AR5:AR10" si="20">AP5/F5</f>
        <v>0.10406091370558374</v>
      </c>
      <c r="AS5" s="78">
        <f t="shared" ref="AS5:AS10" si="21">AP5/AQ5</f>
        <v>1.6141732283464565</v>
      </c>
      <c r="AT5" s="78">
        <f t="shared" ref="AT5:AT10" si="22">AP5/K5</f>
        <v>0.22379912663755455</v>
      </c>
      <c r="AU5" s="78">
        <v>9.8000000000000004E-2</v>
      </c>
      <c r="AV5" s="78">
        <v>0.14399999999999999</v>
      </c>
      <c r="AW5" s="78">
        <f>AU5/AV5</f>
        <v>0.68055555555555558</v>
      </c>
      <c r="AX5" s="80">
        <f>AP5/AU5</f>
        <v>2.0918367346938775</v>
      </c>
      <c r="AY5" s="137">
        <v>5</v>
      </c>
      <c r="AZ5" s="137">
        <v>8</v>
      </c>
      <c r="BA5" s="137">
        <v>10</v>
      </c>
      <c r="BB5" s="137">
        <v>7</v>
      </c>
      <c r="BC5" s="145">
        <v>6</v>
      </c>
    </row>
    <row r="6" spans="2:55" x14ac:dyDescent="0.2">
      <c r="B6" s="75"/>
      <c r="C6" s="77"/>
      <c r="D6" s="77"/>
      <c r="E6" s="77"/>
      <c r="F6" s="78">
        <f>1.32+0.65</f>
        <v>1.9700000000000002</v>
      </c>
      <c r="G6" s="80">
        <f>I6+J6+K6+L6+M6+N6+O6</f>
        <v>3.6520000000000001</v>
      </c>
      <c r="H6" s="80">
        <f>G6/F6</f>
        <v>1.8538071065989847</v>
      </c>
      <c r="I6" s="78">
        <v>0.108</v>
      </c>
      <c r="J6" s="78">
        <v>5.6000000000000001E-2</v>
      </c>
      <c r="K6" s="78">
        <v>0.91200000000000003</v>
      </c>
      <c r="L6" s="78">
        <v>0.745</v>
      </c>
      <c r="M6" s="78">
        <v>0.67</v>
      </c>
      <c r="N6" s="78">
        <v>0.12</v>
      </c>
      <c r="O6" s="78">
        <v>1.0409999999999999</v>
      </c>
      <c r="P6" s="78">
        <f>N:N+O:O</f>
        <v>1.161</v>
      </c>
      <c r="Q6" s="80">
        <f>(N6+O6)/K6</f>
        <v>1.2730263157894737</v>
      </c>
      <c r="R6" s="80">
        <f t="shared" si="13"/>
        <v>0.73464912280701755</v>
      </c>
      <c r="S6" s="80">
        <f t="shared" si="14"/>
        <v>0.81688596491228072</v>
      </c>
      <c r="T6" s="80">
        <f>O6/N6</f>
        <v>8.6749999999999989</v>
      </c>
      <c r="U6" s="78">
        <v>0.316</v>
      </c>
      <c r="V6" s="78">
        <f>G6/U6</f>
        <v>11.556962025316457</v>
      </c>
      <c r="W6" s="78">
        <v>0.625</v>
      </c>
      <c r="X6" s="78">
        <v>0.13800000000000001</v>
      </c>
      <c r="Y6" s="78">
        <f>W:W/X:X</f>
        <v>4.5289855072463761</v>
      </c>
      <c r="Z6" s="79" t="s">
        <v>75</v>
      </c>
      <c r="AA6" s="78">
        <v>0.58499999999999996</v>
      </c>
      <c r="AB6" s="78">
        <f t="shared" si="15"/>
        <v>0.29695431472081213</v>
      </c>
      <c r="AC6" s="78">
        <v>1.2749999999999999</v>
      </c>
      <c r="AD6" s="78">
        <f t="shared" si="16"/>
        <v>0.64720812182741105</v>
      </c>
      <c r="AE6" s="78">
        <v>0.1</v>
      </c>
      <c r="AF6" s="78">
        <f t="shared" si="17"/>
        <v>0.10964912280701755</v>
      </c>
      <c r="AG6" s="78">
        <f>AE:AE/P:P</f>
        <v>8.6132644272179162E-2</v>
      </c>
      <c r="AH6" s="78">
        <f t="shared" si="18"/>
        <v>0.83333333333333337</v>
      </c>
      <c r="AI6" s="78">
        <v>9.7000000000000003E-2</v>
      </c>
      <c r="AJ6" s="78">
        <v>7.1999999999999995E-2</v>
      </c>
      <c r="AK6" s="78">
        <f>AI6/AJ6</f>
        <v>1.3472222222222223</v>
      </c>
      <c r="AL6" s="78">
        <f>AI6/AE6</f>
        <v>0.97</v>
      </c>
      <c r="AM6" s="78">
        <f>AI6/N6</f>
        <v>0.80833333333333335</v>
      </c>
      <c r="AN6" s="78">
        <f t="shared" si="19"/>
        <v>0.10635964912280702</v>
      </c>
      <c r="AO6" s="78">
        <f>AI6/AP6</f>
        <v>0.44495412844036697</v>
      </c>
      <c r="AP6" s="78">
        <v>0.218</v>
      </c>
      <c r="AQ6" s="78">
        <v>0.14000000000000001</v>
      </c>
      <c r="AR6" s="78">
        <f t="shared" si="20"/>
        <v>0.11065989847715735</v>
      </c>
      <c r="AS6" s="78">
        <f t="shared" si="21"/>
        <v>1.5571428571428569</v>
      </c>
      <c r="AT6" s="78">
        <f t="shared" si="22"/>
        <v>0.23903508771929824</v>
      </c>
      <c r="AU6" s="78">
        <v>9.8000000000000004E-2</v>
      </c>
      <c r="AV6" s="78">
        <v>0.14399999999999999</v>
      </c>
      <c r="AW6" s="78">
        <f t="shared" ref="AW6" si="23">AU6/AV6</f>
        <v>0.68055555555555558</v>
      </c>
      <c r="AX6" s="80">
        <f t="shared" ref="AX6" si="24">AP6/AU6</f>
        <v>2.2244897959183674</v>
      </c>
      <c r="AY6" s="135" t="s">
        <v>75</v>
      </c>
      <c r="AZ6" s="135" t="s">
        <v>75</v>
      </c>
      <c r="BA6" s="135" t="s">
        <v>75</v>
      </c>
      <c r="BB6" s="135" t="s">
        <v>75</v>
      </c>
      <c r="BC6" s="242" t="s">
        <v>75</v>
      </c>
    </row>
    <row r="7" spans="2:55" x14ac:dyDescent="0.2">
      <c r="B7" s="83">
        <v>22131</v>
      </c>
      <c r="C7" s="70" t="s">
        <v>285</v>
      </c>
      <c r="D7" s="71" t="s">
        <v>288</v>
      </c>
      <c r="E7" s="71" t="s">
        <v>208</v>
      </c>
      <c r="F7" s="72">
        <f>1.228+0.73</f>
        <v>1.958</v>
      </c>
      <c r="G7" s="110" t="s">
        <v>75</v>
      </c>
      <c r="H7" s="110" t="s">
        <v>75</v>
      </c>
      <c r="I7" s="72">
        <v>0.10199999999999999</v>
      </c>
      <c r="J7" s="72">
        <v>4.9000000000000002E-2</v>
      </c>
      <c r="K7" s="72">
        <v>0.87</v>
      </c>
      <c r="L7" s="72">
        <v>0.60199999999999998</v>
      </c>
      <c r="M7" s="72">
        <v>0.58199999999999996</v>
      </c>
      <c r="N7" s="72">
        <v>0.113</v>
      </c>
      <c r="O7" s="73" t="s">
        <v>75</v>
      </c>
      <c r="P7" s="73" t="s">
        <v>75</v>
      </c>
      <c r="Q7" s="110" t="s">
        <v>75</v>
      </c>
      <c r="R7" s="82">
        <f t="shared" si="13"/>
        <v>0.66896551724137931</v>
      </c>
      <c r="S7" s="82">
        <f t="shared" si="14"/>
        <v>0.69195402298850572</v>
      </c>
      <c r="T7" s="110" t="s">
        <v>75</v>
      </c>
      <c r="U7" s="72">
        <v>0.29699999999999999</v>
      </c>
      <c r="V7" s="73" t="s">
        <v>75</v>
      </c>
      <c r="W7" s="72">
        <v>0.61399999999999999</v>
      </c>
      <c r="X7" s="72">
        <v>0.125</v>
      </c>
      <c r="Y7" s="72">
        <f>W:W/X:X</f>
        <v>4.9119999999999999</v>
      </c>
      <c r="Z7" s="72">
        <v>0.379</v>
      </c>
      <c r="AA7" s="72">
        <v>0.54500000000000004</v>
      </c>
      <c r="AB7" s="72">
        <f t="shared" si="15"/>
        <v>0.27834525025536266</v>
      </c>
      <c r="AC7" s="72">
        <v>1.153</v>
      </c>
      <c r="AD7" s="72">
        <f t="shared" si="16"/>
        <v>0.58886618998978557</v>
      </c>
      <c r="AE7" s="72">
        <v>0.10199999999999999</v>
      </c>
      <c r="AF7" s="72">
        <f t="shared" si="17"/>
        <v>0.11724137931034483</v>
      </c>
      <c r="AG7" s="73" t="s">
        <v>75</v>
      </c>
      <c r="AH7" s="72">
        <f t="shared" si="18"/>
        <v>0.90265486725663713</v>
      </c>
      <c r="AI7" s="72">
        <v>9.7000000000000003E-2</v>
      </c>
      <c r="AJ7" s="72">
        <v>6.9000000000000006E-2</v>
      </c>
      <c r="AK7" s="72">
        <f>AI7/AJ7</f>
        <v>1.4057971014492754</v>
      </c>
      <c r="AL7" s="72">
        <f>AI7/AE7</f>
        <v>0.95098039215686281</v>
      </c>
      <c r="AM7" s="72">
        <f>AI7/N7</f>
        <v>0.8584070796460177</v>
      </c>
      <c r="AN7" s="72">
        <f t="shared" si="19"/>
        <v>0.11149425287356322</v>
      </c>
      <c r="AO7" s="72">
        <f>AI7/AP7</f>
        <v>0.46634615384615385</v>
      </c>
      <c r="AP7" s="72">
        <v>0.20799999999999999</v>
      </c>
      <c r="AQ7" s="72">
        <v>0.128</v>
      </c>
      <c r="AR7" s="72">
        <f t="shared" si="20"/>
        <v>0.10623084780388151</v>
      </c>
      <c r="AS7" s="72">
        <f t="shared" si="21"/>
        <v>1.625</v>
      </c>
      <c r="AT7" s="72">
        <f t="shared" si="22"/>
        <v>0.23908045977011494</v>
      </c>
      <c r="AU7" s="72">
        <v>0.121</v>
      </c>
      <c r="AV7" s="72">
        <v>0.11899999999999999</v>
      </c>
      <c r="AW7" s="72">
        <f>AU7/AV7</f>
        <v>1.0168067226890756</v>
      </c>
      <c r="AX7" s="82">
        <f>AP7/AU7</f>
        <v>1.71900826446281</v>
      </c>
      <c r="AY7" s="136">
        <v>5</v>
      </c>
      <c r="AZ7" s="136">
        <v>8</v>
      </c>
      <c r="BA7" s="134" t="s">
        <v>75</v>
      </c>
      <c r="BB7" s="136">
        <v>7</v>
      </c>
      <c r="BC7" s="143">
        <v>6</v>
      </c>
    </row>
    <row r="8" spans="2:55" x14ac:dyDescent="0.2">
      <c r="B8" s="69"/>
      <c r="C8" s="71"/>
      <c r="D8" s="71"/>
      <c r="E8" s="71"/>
      <c r="F8" s="72">
        <f>1.228+0.73</f>
        <v>1.958</v>
      </c>
      <c r="G8" s="82">
        <f>I8+J8+K8+L8+M8+N8+O8</f>
        <v>3.6559999999999997</v>
      </c>
      <c r="H8" s="82">
        <f>G8/F8</f>
        <v>1.8672114402451481</v>
      </c>
      <c r="I8" s="72">
        <v>0.105</v>
      </c>
      <c r="J8" s="72">
        <v>4.8000000000000001E-2</v>
      </c>
      <c r="K8" s="72">
        <v>0.85099999999999998</v>
      </c>
      <c r="L8" s="72">
        <v>0.58299999999999996</v>
      </c>
      <c r="M8" s="72">
        <v>0.6</v>
      </c>
      <c r="N8" s="72">
        <v>0.113</v>
      </c>
      <c r="O8" s="72">
        <f>0.561+0.33+0.465</f>
        <v>1.3560000000000001</v>
      </c>
      <c r="P8" s="72">
        <f>N:N+O:O</f>
        <v>1.4690000000000001</v>
      </c>
      <c r="Q8" s="82">
        <f>(N8+O8)/K8</f>
        <v>1.7262044653349002</v>
      </c>
      <c r="R8" s="82">
        <f t="shared" si="13"/>
        <v>0.70505287896592239</v>
      </c>
      <c r="S8" s="82">
        <f t="shared" si="14"/>
        <v>0.68507638072855459</v>
      </c>
      <c r="T8" s="82">
        <f>O8/N8</f>
        <v>12</v>
      </c>
      <c r="U8" s="72">
        <v>0.29699999999999999</v>
      </c>
      <c r="V8" s="72">
        <f>G8/U8</f>
        <v>12.30976430976431</v>
      </c>
      <c r="W8" s="73" t="s">
        <v>75</v>
      </c>
      <c r="X8" s="73" t="s">
        <v>75</v>
      </c>
      <c r="Y8" s="73" t="s">
        <v>75</v>
      </c>
      <c r="Z8" s="72">
        <v>0.38900000000000001</v>
      </c>
      <c r="AA8" s="72">
        <v>0.51300000000000001</v>
      </c>
      <c r="AB8" s="72">
        <f t="shared" si="15"/>
        <v>0.26200204290091933</v>
      </c>
      <c r="AC8" s="72">
        <v>1.159</v>
      </c>
      <c r="AD8" s="72">
        <f t="shared" si="16"/>
        <v>0.59193054136874368</v>
      </c>
      <c r="AE8" s="72">
        <v>0.11</v>
      </c>
      <c r="AF8" s="72">
        <f t="shared" si="17"/>
        <v>0.1292596944770858</v>
      </c>
      <c r="AG8" s="72">
        <f>AE:AE/P:P</f>
        <v>7.488087134104833E-2</v>
      </c>
      <c r="AH8" s="72">
        <f t="shared" si="18"/>
        <v>0.97345132743362828</v>
      </c>
      <c r="AI8" s="72">
        <v>9.7000000000000003E-2</v>
      </c>
      <c r="AJ8" s="72">
        <v>6.9000000000000006E-2</v>
      </c>
      <c r="AK8" s="72">
        <f>AI8/AJ8</f>
        <v>1.4057971014492754</v>
      </c>
      <c r="AL8" s="72">
        <f>AI8/AE8</f>
        <v>0.88181818181818183</v>
      </c>
      <c r="AM8" s="72">
        <f>AI8/N8</f>
        <v>0.8584070796460177</v>
      </c>
      <c r="AN8" s="72">
        <f t="shared" si="19"/>
        <v>0.11398354876615747</v>
      </c>
      <c r="AO8" s="72">
        <f>AI8/AP8</f>
        <v>0.46634615384615385</v>
      </c>
      <c r="AP8" s="72">
        <v>0.20799999999999999</v>
      </c>
      <c r="AQ8" s="72">
        <v>0.13</v>
      </c>
      <c r="AR8" s="72">
        <f t="shared" si="20"/>
        <v>0.10623084780388151</v>
      </c>
      <c r="AS8" s="72">
        <f t="shared" si="21"/>
        <v>1.5999999999999999</v>
      </c>
      <c r="AT8" s="72">
        <f t="shared" si="22"/>
        <v>0.24441833137485311</v>
      </c>
      <c r="AU8" s="72">
        <v>0.121</v>
      </c>
      <c r="AV8" s="72">
        <v>0.11899999999999999</v>
      </c>
      <c r="AW8" s="72">
        <f t="shared" ref="AW8" si="25">AU8/AV8</f>
        <v>1.0168067226890756</v>
      </c>
      <c r="AX8" s="82">
        <f t="shared" ref="AX8" si="26">AP8/AU8</f>
        <v>1.71900826446281</v>
      </c>
      <c r="AY8" s="134" t="s">
        <v>75</v>
      </c>
      <c r="AZ8" s="134" t="s">
        <v>75</v>
      </c>
      <c r="BA8" s="134" t="s">
        <v>75</v>
      </c>
      <c r="BB8" s="134" t="s">
        <v>75</v>
      </c>
      <c r="BC8" s="247" t="s">
        <v>75</v>
      </c>
    </row>
    <row r="9" spans="2:55" x14ac:dyDescent="0.2">
      <c r="B9" s="159">
        <v>22131</v>
      </c>
      <c r="C9" s="76" t="s">
        <v>285</v>
      </c>
      <c r="D9" s="77" t="s">
        <v>290</v>
      </c>
      <c r="E9" s="77"/>
      <c r="F9" s="78">
        <v>1.796</v>
      </c>
      <c r="G9" s="80">
        <f>I9+J9+K9+L9+M9+N9+O9</f>
        <v>3.8840000000000003</v>
      </c>
      <c r="H9" s="80">
        <f>G9/F9</f>
        <v>2.1625835189309579</v>
      </c>
      <c r="I9" s="78">
        <v>0.09</v>
      </c>
      <c r="J9" s="78">
        <v>0.05</v>
      </c>
      <c r="K9" s="78">
        <v>0.91</v>
      </c>
      <c r="L9" s="78">
        <v>0.67400000000000004</v>
      </c>
      <c r="M9" s="78">
        <v>0.62</v>
      </c>
      <c r="N9" s="78">
        <v>0.11</v>
      </c>
      <c r="O9" s="78">
        <v>1.43</v>
      </c>
      <c r="P9" s="78">
        <f>N:N+O:O</f>
        <v>1.54</v>
      </c>
      <c r="Q9" s="80">
        <f>(N9+O9)/K9</f>
        <v>1.6923076923076923</v>
      </c>
      <c r="R9" s="80">
        <f t="shared" si="13"/>
        <v>0.68131868131868134</v>
      </c>
      <c r="S9" s="80">
        <f t="shared" si="14"/>
        <v>0.74065934065934069</v>
      </c>
      <c r="T9" s="80">
        <f>O9/N9</f>
        <v>13</v>
      </c>
      <c r="U9" s="78">
        <v>0.316</v>
      </c>
      <c r="V9" s="78">
        <f>G9/U9</f>
        <v>12.291139240506331</v>
      </c>
      <c r="W9" s="78">
        <v>0.6</v>
      </c>
      <c r="X9" s="78">
        <v>0.13600000000000001</v>
      </c>
      <c r="Y9" s="78">
        <f t="shared" ref="Y9:Y23" si="27">W:W/X:X</f>
        <v>4.4117647058823524</v>
      </c>
      <c r="Z9" s="78">
        <v>0.38400000000000001</v>
      </c>
      <c r="AA9" s="78">
        <v>0.53600000000000003</v>
      </c>
      <c r="AB9" s="78">
        <f t="shared" si="15"/>
        <v>0.2984409799554566</v>
      </c>
      <c r="AC9" s="78">
        <v>1.137</v>
      </c>
      <c r="AD9" s="78">
        <f t="shared" si="16"/>
        <v>0.63307349665924273</v>
      </c>
      <c r="AE9" s="78">
        <v>0.11</v>
      </c>
      <c r="AF9" s="78">
        <f t="shared" si="17"/>
        <v>0.12087912087912088</v>
      </c>
      <c r="AG9" s="78">
        <f>AE:AE/P:P</f>
        <v>7.1428571428571425E-2</v>
      </c>
      <c r="AH9" s="78">
        <f t="shared" si="18"/>
        <v>1</v>
      </c>
      <c r="AI9" s="78">
        <v>0.1</v>
      </c>
      <c r="AJ9" s="78">
        <v>7.0000000000000007E-2</v>
      </c>
      <c r="AK9" s="78">
        <f>AI9/AJ9</f>
        <v>1.4285714285714286</v>
      </c>
      <c r="AL9" s="78">
        <f>AI9/AE9</f>
        <v>0.90909090909090917</v>
      </c>
      <c r="AM9" s="78">
        <f>AI9/N9</f>
        <v>0.90909090909090917</v>
      </c>
      <c r="AN9" s="78">
        <f t="shared" si="19"/>
        <v>0.10989010989010989</v>
      </c>
      <c r="AO9" s="78">
        <f>AI9/AP9</f>
        <v>0.5</v>
      </c>
      <c r="AP9" s="78">
        <v>0.2</v>
      </c>
      <c r="AQ9" s="78">
        <v>0.1</v>
      </c>
      <c r="AR9" s="78">
        <f t="shared" si="20"/>
        <v>0.111358574610245</v>
      </c>
      <c r="AS9" s="78">
        <f t="shared" si="21"/>
        <v>2</v>
      </c>
      <c r="AT9" s="78">
        <f t="shared" si="22"/>
        <v>0.21978021978021978</v>
      </c>
      <c r="AU9" s="78">
        <v>0.11799999999999999</v>
      </c>
      <c r="AV9" s="78">
        <v>0.128</v>
      </c>
      <c r="AW9" s="78">
        <f>AU9/AV9</f>
        <v>0.92187499999999989</v>
      </c>
      <c r="AX9" s="80">
        <f>AP9/AU9</f>
        <v>1.6949152542372883</v>
      </c>
      <c r="AY9" s="137">
        <v>5</v>
      </c>
      <c r="AZ9" s="137">
        <v>8</v>
      </c>
      <c r="BA9" s="137">
        <v>10</v>
      </c>
      <c r="BB9" s="137">
        <v>6</v>
      </c>
      <c r="BC9" s="145">
        <v>7</v>
      </c>
    </row>
    <row r="10" spans="2:55" x14ac:dyDescent="0.2">
      <c r="B10" s="75"/>
      <c r="C10" s="77"/>
      <c r="D10" s="77"/>
      <c r="E10" s="77"/>
      <c r="F10" s="78">
        <v>1.796</v>
      </c>
      <c r="G10" s="80">
        <f>I10+J10+K10+L10+M10+N10+O10</f>
        <v>3.88</v>
      </c>
      <c r="H10" s="80">
        <f>G10/F10</f>
        <v>2.1603563474387526</v>
      </c>
      <c r="I10" s="78">
        <v>0.1</v>
      </c>
      <c r="J10" s="78">
        <v>0.05</v>
      </c>
      <c r="K10" s="78">
        <v>0.9</v>
      </c>
      <c r="L10" s="78">
        <v>0.65</v>
      </c>
      <c r="M10" s="78">
        <v>0.63</v>
      </c>
      <c r="N10" s="78">
        <v>0.12</v>
      </c>
      <c r="O10" s="78">
        <v>1.43</v>
      </c>
      <c r="P10" s="78">
        <f>N:N+O:O</f>
        <v>1.5499999999999998</v>
      </c>
      <c r="Q10" s="80">
        <f>(N10+O10)/K10</f>
        <v>1.7222222222222219</v>
      </c>
      <c r="R10" s="80">
        <f t="shared" si="13"/>
        <v>0.7</v>
      </c>
      <c r="S10" s="80">
        <f t="shared" si="14"/>
        <v>0.72222222222222221</v>
      </c>
      <c r="T10" s="80">
        <f>O10/N10</f>
        <v>11.916666666666666</v>
      </c>
      <c r="U10" s="78">
        <v>0.316</v>
      </c>
      <c r="V10" s="78">
        <f>G10/U10</f>
        <v>12.278481012658228</v>
      </c>
      <c r="W10" s="78">
        <v>0.62</v>
      </c>
      <c r="X10" s="78">
        <v>0.13200000000000001</v>
      </c>
      <c r="Y10" s="78">
        <f t="shared" si="27"/>
        <v>4.6969696969696964</v>
      </c>
      <c r="Z10" s="78">
        <v>0.38900000000000001</v>
      </c>
      <c r="AA10" s="78">
        <v>0.53100000000000003</v>
      </c>
      <c r="AB10" s="78">
        <f t="shared" si="15"/>
        <v>0.29565701559020047</v>
      </c>
      <c r="AC10" s="78">
        <v>1.1659999999999999</v>
      </c>
      <c r="AD10" s="78">
        <f t="shared" si="16"/>
        <v>0.64922048997772819</v>
      </c>
      <c r="AE10" s="78">
        <v>0.1</v>
      </c>
      <c r="AF10" s="78">
        <f t="shared" si="17"/>
        <v>0.11111111111111112</v>
      </c>
      <c r="AG10" s="78">
        <f>AE:AE/P:P</f>
        <v>6.4516129032258077E-2</v>
      </c>
      <c r="AH10" s="78">
        <f t="shared" si="18"/>
        <v>0.83333333333333337</v>
      </c>
      <c r="AI10" s="78">
        <v>0.1</v>
      </c>
      <c r="AJ10" s="78">
        <v>7.0000000000000007E-2</v>
      </c>
      <c r="AK10" s="78">
        <f t="shared" ref="AK10" si="28">AI10/AJ10</f>
        <v>1.4285714285714286</v>
      </c>
      <c r="AL10" s="78">
        <f t="shared" ref="AL10" si="29">AI10/AE10</f>
        <v>1</v>
      </c>
      <c r="AM10" s="78">
        <f t="shared" ref="AM10" si="30">AI10/N10</f>
        <v>0.83333333333333337</v>
      </c>
      <c r="AN10" s="78">
        <f t="shared" si="19"/>
        <v>0.11111111111111112</v>
      </c>
      <c r="AO10" s="79" t="s">
        <v>75</v>
      </c>
      <c r="AP10" s="78">
        <v>0.19</v>
      </c>
      <c r="AQ10" s="78">
        <v>0.12</v>
      </c>
      <c r="AR10" s="78">
        <f t="shared" si="20"/>
        <v>0.10579064587973273</v>
      </c>
      <c r="AS10" s="78">
        <f t="shared" si="21"/>
        <v>1.5833333333333335</v>
      </c>
      <c r="AT10" s="78">
        <f t="shared" si="22"/>
        <v>0.21111111111111111</v>
      </c>
      <c r="AU10" s="78">
        <v>0.11799999999999999</v>
      </c>
      <c r="AV10" s="78">
        <v>0.128</v>
      </c>
      <c r="AW10" s="78">
        <f t="shared" ref="AW10" si="31">AU10/AV10</f>
        <v>0.92187499999999989</v>
      </c>
      <c r="AX10" s="80">
        <f t="shared" ref="AX10" si="32">AP10/AU10</f>
        <v>1.6101694915254239</v>
      </c>
      <c r="AY10" s="135" t="s">
        <v>75</v>
      </c>
      <c r="AZ10" s="137">
        <v>9</v>
      </c>
      <c r="BA10" s="135" t="s">
        <v>75</v>
      </c>
      <c r="BB10" s="135" t="s">
        <v>75</v>
      </c>
      <c r="BC10" s="242" t="s">
        <v>75</v>
      </c>
    </row>
    <row r="11" spans="2:55" x14ac:dyDescent="0.2">
      <c r="B11" s="83">
        <v>22124</v>
      </c>
      <c r="C11" s="70" t="s">
        <v>285</v>
      </c>
      <c r="D11" s="71" t="s">
        <v>286</v>
      </c>
      <c r="E11" s="71" t="s">
        <v>209</v>
      </c>
      <c r="F11" s="72">
        <f>1.455+0.945</f>
        <v>2.4</v>
      </c>
      <c r="G11" s="82">
        <f t="shared" ref="G11:G32" si="33">I11+J11+K11+L11+M11+N11+O11</f>
        <v>3.8689999999999998</v>
      </c>
      <c r="H11" s="82">
        <f t="shared" ref="H11:H32" si="34">G11/F11</f>
        <v>1.6120833333333333</v>
      </c>
      <c r="I11" s="72">
        <v>0.108</v>
      </c>
      <c r="J11" s="72">
        <v>5.5E-2</v>
      </c>
      <c r="K11" s="72">
        <v>0.96299999999999997</v>
      </c>
      <c r="L11" s="72">
        <v>0.71</v>
      </c>
      <c r="M11" s="72">
        <v>0.71199999999999997</v>
      </c>
      <c r="N11" s="72">
        <v>0.13500000000000001</v>
      </c>
      <c r="O11" s="72">
        <v>1.1859999999999999</v>
      </c>
      <c r="P11" s="72">
        <f>N:N+O:O</f>
        <v>1.321</v>
      </c>
      <c r="Q11" s="82">
        <f t="shared" ref="Q11:Q32" si="35">(N11+O11)/K11</f>
        <v>1.3717549325025959</v>
      </c>
      <c r="R11" s="82">
        <f t="shared" si="0"/>
        <v>0.7393561786085151</v>
      </c>
      <c r="S11" s="82">
        <f t="shared" si="1"/>
        <v>0.73727933541017654</v>
      </c>
      <c r="T11" s="82">
        <f t="shared" ref="T11:T32" si="36">O11/N11</f>
        <v>8.7851851851851848</v>
      </c>
      <c r="U11" s="72">
        <v>0.317</v>
      </c>
      <c r="V11" s="72">
        <f t="shared" ref="V11:V32" si="37">G11/U11</f>
        <v>12.205047318611987</v>
      </c>
      <c r="W11" s="72">
        <v>0.70099999999999996</v>
      </c>
      <c r="X11" s="72">
        <v>0.15</v>
      </c>
      <c r="Y11" s="72">
        <f t="shared" si="27"/>
        <v>4.6733333333333329</v>
      </c>
      <c r="Z11" s="72">
        <v>0.46500000000000002</v>
      </c>
      <c r="AA11" s="72">
        <v>0.66500000000000004</v>
      </c>
      <c r="AB11" s="72">
        <f t="shared" si="15"/>
        <v>0.27708333333333335</v>
      </c>
      <c r="AC11" s="72">
        <v>1.337</v>
      </c>
      <c r="AD11" s="72">
        <f t="shared" si="16"/>
        <v>0.55708333333333337</v>
      </c>
      <c r="AE11" s="72">
        <v>0.123</v>
      </c>
      <c r="AF11" s="72">
        <f t="shared" ref="AF11:AF32" si="38">AE11/K11</f>
        <v>0.12772585669781933</v>
      </c>
      <c r="AG11" s="72">
        <f>AE:AE/P:P</f>
        <v>9.3111279333838004E-2</v>
      </c>
      <c r="AH11" s="72">
        <f t="shared" si="18"/>
        <v>0.91111111111111098</v>
      </c>
      <c r="AI11" s="73" t="s">
        <v>75</v>
      </c>
      <c r="AJ11" s="73" t="s">
        <v>75</v>
      </c>
      <c r="AK11" s="73" t="s">
        <v>75</v>
      </c>
      <c r="AL11" s="73" t="s">
        <v>75</v>
      </c>
      <c r="AM11" s="73" t="s">
        <v>75</v>
      </c>
      <c r="AN11" s="73" t="s">
        <v>75</v>
      </c>
      <c r="AO11" s="73" t="s">
        <v>75</v>
      </c>
      <c r="AP11" s="72">
        <v>0.23499999999999999</v>
      </c>
      <c r="AQ11" s="72">
        <v>0.16</v>
      </c>
      <c r="AR11" s="72">
        <f t="shared" si="5"/>
        <v>9.7916666666666666E-2</v>
      </c>
      <c r="AS11" s="72">
        <f t="shared" si="6"/>
        <v>1.4687499999999998</v>
      </c>
      <c r="AT11" s="72">
        <f t="shared" si="7"/>
        <v>0.24402907580477673</v>
      </c>
      <c r="AU11" s="72">
        <v>0.10299999999999999</v>
      </c>
      <c r="AV11" s="73" t="s">
        <v>75</v>
      </c>
      <c r="AW11" s="73" t="s">
        <v>75</v>
      </c>
      <c r="AX11" s="82">
        <f t="shared" si="9"/>
        <v>2.2815533980582523</v>
      </c>
      <c r="AY11" s="136">
        <v>5</v>
      </c>
      <c r="AZ11" s="136">
        <v>6</v>
      </c>
      <c r="BA11" s="134" t="s">
        <v>75</v>
      </c>
      <c r="BB11" s="136">
        <v>7</v>
      </c>
      <c r="BC11" s="143">
        <v>6</v>
      </c>
    </row>
    <row r="12" spans="2:55" x14ac:dyDescent="0.2">
      <c r="B12" s="69"/>
      <c r="C12" s="71"/>
      <c r="D12" s="71"/>
      <c r="E12" s="71"/>
      <c r="F12" s="72">
        <f>1.455+0.945</f>
        <v>2.4</v>
      </c>
      <c r="G12" s="110" t="s">
        <v>75</v>
      </c>
      <c r="H12" s="110" t="s">
        <v>75</v>
      </c>
      <c r="I12" s="72">
        <v>0.10100000000000001</v>
      </c>
      <c r="J12" s="72">
        <v>5.3999999999999999E-2</v>
      </c>
      <c r="K12" s="72">
        <v>0.93300000000000005</v>
      </c>
      <c r="L12" s="72">
        <v>0.76800000000000002</v>
      </c>
      <c r="M12" s="72">
        <v>0.77</v>
      </c>
      <c r="N12" s="72">
        <v>0.126</v>
      </c>
      <c r="O12" s="73" t="s">
        <v>75</v>
      </c>
      <c r="P12" s="73" t="s">
        <v>75</v>
      </c>
      <c r="Q12" s="110" t="s">
        <v>75</v>
      </c>
      <c r="R12" s="82">
        <f t="shared" si="0"/>
        <v>0.82529474812433012</v>
      </c>
      <c r="S12" s="82">
        <f t="shared" si="1"/>
        <v>0.82315112540192925</v>
      </c>
      <c r="T12" s="110" t="s">
        <v>75</v>
      </c>
      <c r="U12" s="72">
        <v>0.317</v>
      </c>
      <c r="V12" s="73" t="s">
        <v>75</v>
      </c>
      <c r="W12" s="72">
        <v>0.70499999999999996</v>
      </c>
      <c r="X12" s="72">
        <v>0.15</v>
      </c>
      <c r="Y12" s="72">
        <f t="shared" si="27"/>
        <v>4.7</v>
      </c>
      <c r="Z12" s="73" t="s">
        <v>75</v>
      </c>
      <c r="AA12" s="73" t="s">
        <v>75</v>
      </c>
      <c r="AB12" s="73" t="s">
        <v>75</v>
      </c>
      <c r="AC12" s="73" t="s">
        <v>75</v>
      </c>
      <c r="AD12" s="73" t="s">
        <v>75</v>
      </c>
      <c r="AE12" s="73" t="s">
        <v>75</v>
      </c>
      <c r="AF12" s="73" t="s">
        <v>75</v>
      </c>
      <c r="AG12" s="73" t="s">
        <v>75</v>
      </c>
      <c r="AH12" s="73" t="s">
        <v>75</v>
      </c>
      <c r="AI12" s="73" t="s">
        <v>75</v>
      </c>
      <c r="AJ12" s="73" t="s">
        <v>75</v>
      </c>
      <c r="AK12" s="73" t="s">
        <v>75</v>
      </c>
      <c r="AL12" s="73" t="s">
        <v>75</v>
      </c>
      <c r="AM12" s="73" t="s">
        <v>75</v>
      </c>
      <c r="AN12" s="73" t="s">
        <v>75</v>
      </c>
      <c r="AO12" s="73" t="s">
        <v>75</v>
      </c>
      <c r="AP12" s="72">
        <v>0.24199999999999999</v>
      </c>
      <c r="AQ12" s="72">
        <v>0.14499999999999999</v>
      </c>
      <c r="AR12" s="72">
        <f t="shared" si="5"/>
        <v>0.10083333333333333</v>
      </c>
      <c r="AS12" s="72">
        <f t="shared" si="6"/>
        <v>1.6689655172413793</v>
      </c>
      <c r="AT12" s="72">
        <f t="shared" si="7"/>
        <v>0.25937834941050375</v>
      </c>
      <c r="AU12" s="72">
        <v>0.10299999999999999</v>
      </c>
      <c r="AV12" s="73" t="s">
        <v>75</v>
      </c>
      <c r="AW12" s="73" t="s">
        <v>75</v>
      </c>
      <c r="AX12" s="82">
        <f t="shared" ref="AX12" si="39">AP12/AU12</f>
        <v>2.349514563106796</v>
      </c>
      <c r="AY12" s="134" t="s">
        <v>75</v>
      </c>
      <c r="AZ12" s="136">
        <v>8</v>
      </c>
      <c r="BA12" s="134" t="s">
        <v>75</v>
      </c>
      <c r="BB12" s="134" t="s">
        <v>75</v>
      </c>
      <c r="BC12" s="247" t="s">
        <v>75</v>
      </c>
    </row>
    <row r="13" spans="2:55" x14ac:dyDescent="0.2">
      <c r="B13" s="86">
        <v>22124</v>
      </c>
      <c r="C13" s="76" t="s">
        <v>285</v>
      </c>
      <c r="D13" s="77" t="s">
        <v>286</v>
      </c>
      <c r="E13" s="77" t="s">
        <v>209</v>
      </c>
      <c r="F13" s="78">
        <f>0.939+1.14</f>
        <v>2.0789999999999997</v>
      </c>
      <c r="G13" s="114" t="s">
        <v>75</v>
      </c>
      <c r="H13" s="114" t="s">
        <v>75</v>
      </c>
      <c r="I13" s="78">
        <v>0.106</v>
      </c>
      <c r="J13" s="78">
        <v>5.5E-2</v>
      </c>
      <c r="K13" s="78">
        <v>0.88900000000000001</v>
      </c>
      <c r="L13" s="78">
        <v>0.70299999999999996</v>
      </c>
      <c r="M13" s="79" t="s">
        <v>75</v>
      </c>
      <c r="N13" s="79" t="s">
        <v>75</v>
      </c>
      <c r="O13" s="79" t="s">
        <v>75</v>
      </c>
      <c r="P13" s="79" t="s">
        <v>75</v>
      </c>
      <c r="Q13" s="114" t="s">
        <v>75</v>
      </c>
      <c r="R13" s="114" t="s">
        <v>75</v>
      </c>
      <c r="S13" s="80">
        <f>L13/K13</f>
        <v>0.79077615298087733</v>
      </c>
      <c r="T13" s="114" t="s">
        <v>75</v>
      </c>
      <c r="U13" s="78">
        <v>0.312</v>
      </c>
      <c r="V13" s="79" t="s">
        <v>75</v>
      </c>
      <c r="W13" s="78">
        <v>0.628</v>
      </c>
      <c r="X13" s="78">
        <v>0.14199999999999999</v>
      </c>
      <c r="Y13" s="78">
        <f t="shared" si="27"/>
        <v>4.422535211267606</v>
      </c>
      <c r="Z13" s="78">
        <v>0.44800000000000001</v>
      </c>
      <c r="AA13" s="78">
        <v>0.68200000000000005</v>
      </c>
      <c r="AB13" s="78">
        <f>AA13/F13</f>
        <v>0.32804232804232814</v>
      </c>
      <c r="AC13" s="78">
        <v>1.2629999999999999</v>
      </c>
      <c r="AD13" s="78">
        <f>AC13/F13</f>
        <v>0.60750360750360755</v>
      </c>
      <c r="AE13" s="78">
        <v>0.121</v>
      </c>
      <c r="AF13" s="78">
        <f>AE13/K13</f>
        <v>0.13610798650168729</v>
      </c>
      <c r="AG13" s="79" t="s">
        <v>75</v>
      </c>
      <c r="AH13" s="79" t="s">
        <v>75</v>
      </c>
      <c r="AI13" s="79" t="s">
        <v>75</v>
      </c>
      <c r="AJ13" s="79" t="s">
        <v>75</v>
      </c>
      <c r="AK13" s="79" t="s">
        <v>75</v>
      </c>
      <c r="AL13" s="79" t="s">
        <v>75</v>
      </c>
      <c r="AM13" s="79" t="s">
        <v>75</v>
      </c>
      <c r="AN13" s="79" t="s">
        <v>75</v>
      </c>
      <c r="AO13" s="79" t="s">
        <v>75</v>
      </c>
      <c r="AP13" s="78">
        <v>0.217</v>
      </c>
      <c r="AQ13" s="78">
        <v>0.16</v>
      </c>
      <c r="AR13" s="78">
        <f>AP13/F13</f>
        <v>0.10437710437710439</v>
      </c>
      <c r="AS13" s="78">
        <f>AP13/AQ13</f>
        <v>1.35625</v>
      </c>
      <c r="AT13" s="78">
        <f>AP13/K13</f>
        <v>0.24409448818897636</v>
      </c>
      <c r="AU13" s="78">
        <v>0.14199999999999999</v>
      </c>
      <c r="AV13" s="78">
        <v>0.157</v>
      </c>
      <c r="AW13" s="78">
        <f>AU13/AV13</f>
        <v>0.90445859872611456</v>
      </c>
      <c r="AX13" s="80">
        <f>AP13/AU13</f>
        <v>1.5281690140845072</v>
      </c>
      <c r="AY13" s="137">
        <v>5</v>
      </c>
      <c r="AZ13" s="137">
        <v>8</v>
      </c>
      <c r="BA13" s="135" t="s">
        <v>75</v>
      </c>
      <c r="BB13" s="137">
        <v>7</v>
      </c>
      <c r="BC13" s="145">
        <v>6</v>
      </c>
    </row>
    <row r="14" spans="2:55" x14ac:dyDescent="0.2">
      <c r="B14" s="75"/>
      <c r="C14" s="77"/>
      <c r="D14" s="77"/>
      <c r="E14" s="77"/>
      <c r="F14" s="78">
        <f>0.939+1.14</f>
        <v>2.0789999999999997</v>
      </c>
      <c r="G14" s="80">
        <f>I14+J14+K14+L14+M14+N14+O14</f>
        <v>3.6830000000000003</v>
      </c>
      <c r="H14" s="80">
        <f>G14/F14</f>
        <v>1.7715247715247719</v>
      </c>
      <c r="I14" s="78">
        <v>0.105</v>
      </c>
      <c r="J14" s="78">
        <v>5.1999999999999998E-2</v>
      </c>
      <c r="K14" s="78">
        <v>0.91900000000000004</v>
      </c>
      <c r="L14" s="78">
        <v>0.69299999999999995</v>
      </c>
      <c r="M14" s="78">
        <v>0.68500000000000005</v>
      </c>
      <c r="N14" s="78">
        <v>0.12</v>
      </c>
      <c r="O14" s="78">
        <v>1.109</v>
      </c>
      <c r="P14" s="78">
        <f>N:N+O:O</f>
        <v>1.2290000000000001</v>
      </c>
      <c r="Q14" s="80">
        <f>(N14+O14)/K14</f>
        <v>1.3373231773667029</v>
      </c>
      <c r="R14" s="80">
        <f>M14/K14</f>
        <v>0.74537540805223068</v>
      </c>
      <c r="S14" s="80">
        <f>L14/K14</f>
        <v>0.75408052230685518</v>
      </c>
      <c r="T14" s="80">
        <f>O14/N14</f>
        <v>9.2416666666666671</v>
      </c>
      <c r="U14" s="78">
        <v>0.312</v>
      </c>
      <c r="V14" s="78">
        <f>G14/U14</f>
        <v>11.804487179487181</v>
      </c>
      <c r="W14" s="78">
        <v>0.67400000000000004</v>
      </c>
      <c r="X14" s="78">
        <v>0.14499999999999999</v>
      </c>
      <c r="Y14" s="78">
        <f t="shared" si="27"/>
        <v>4.6482758620689664</v>
      </c>
      <c r="Z14" s="79" t="s">
        <v>75</v>
      </c>
      <c r="AA14" s="78">
        <v>0.68</v>
      </c>
      <c r="AB14" s="78">
        <f>AA14/F14</f>
        <v>0.32708032708032714</v>
      </c>
      <c r="AC14" s="78">
        <v>1.264</v>
      </c>
      <c r="AD14" s="78">
        <f>AC14/F14</f>
        <v>0.60798460798460807</v>
      </c>
      <c r="AE14" s="78">
        <v>0.111</v>
      </c>
      <c r="AF14" s="78">
        <f>AE14/K14</f>
        <v>0.12078346028291621</v>
      </c>
      <c r="AG14" s="78">
        <f>AE:AE/P:P</f>
        <v>9.0317331163547593E-2</v>
      </c>
      <c r="AH14" s="78">
        <f>AE14/N14</f>
        <v>0.92500000000000004</v>
      </c>
      <c r="AI14" s="79" t="s">
        <v>75</v>
      </c>
      <c r="AJ14" s="79" t="s">
        <v>75</v>
      </c>
      <c r="AK14" s="79" t="s">
        <v>75</v>
      </c>
      <c r="AL14" s="79" t="s">
        <v>75</v>
      </c>
      <c r="AM14" s="79" t="s">
        <v>75</v>
      </c>
      <c r="AN14" s="79" t="s">
        <v>75</v>
      </c>
      <c r="AO14" s="79" t="s">
        <v>75</v>
      </c>
      <c r="AP14" s="78">
        <v>0.218</v>
      </c>
      <c r="AQ14" s="78">
        <v>0.127</v>
      </c>
      <c r="AR14" s="78">
        <f>AP14/F14</f>
        <v>0.10485810485810487</v>
      </c>
      <c r="AS14" s="78">
        <f>AP14/AQ14</f>
        <v>1.7165354330708662</v>
      </c>
      <c r="AT14" s="78">
        <f>AP14/K14</f>
        <v>0.23721436343852012</v>
      </c>
      <c r="AU14" s="78">
        <v>0.14199999999999999</v>
      </c>
      <c r="AV14" s="78">
        <v>0.157</v>
      </c>
      <c r="AW14" s="78">
        <f>AU14/AV14</f>
        <v>0.90445859872611456</v>
      </c>
      <c r="AX14" s="80">
        <f>AP14/AU14</f>
        <v>1.535211267605634</v>
      </c>
      <c r="AY14" s="135" t="s">
        <v>75</v>
      </c>
      <c r="AZ14" s="135" t="s">
        <v>75</v>
      </c>
      <c r="BA14" s="135" t="s">
        <v>75</v>
      </c>
      <c r="BB14" s="135" t="s">
        <v>75</v>
      </c>
      <c r="BC14" s="242" t="s">
        <v>75</v>
      </c>
    </row>
    <row r="15" spans="2:55" x14ac:dyDescent="0.2">
      <c r="B15" s="83">
        <v>31592</v>
      </c>
      <c r="C15" s="70" t="s">
        <v>285</v>
      </c>
      <c r="D15" s="71" t="s">
        <v>287</v>
      </c>
      <c r="E15" s="71" t="s">
        <v>284</v>
      </c>
      <c r="F15" s="72">
        <f>0.944+1.117</f>
        <v>2.0609999999999999</v>
      </c>
      <c r="G15" s="110" t="s">
        <v>75</v>
      </c>
      <c r="H15" s="110" t="s">
        <v>75</v>
      </c>
      <c r="I15" s="72">
        <v>0.112</v>
      </c>
      <c r="J15" s="72">
        <v>5.5E-2</v>
      </c>
      <c r="K15" s="72">
        <v>0.87</v>
      </c>
      <c r="L15" s="72">
        <v>0.63700000000000001</v>
      </c>
      <c r="M15" s="72">
        <v>0.64900000000000002</v>
      </c>
      <c r="N15" s="73" t="s">
        <v>75</v>
      </c>
      <c r="O15" s="73" t="s">
        <v>75</v>
      </c>
      <c r="P15" s="73" t="s">
        <v>75</v>
      </c>
      <c r="Q15" s="110" t="s">
        <v>75</v>
      </c>
      <c r="R15" s="82">
        <f t="shared" si="0"/>
        <v>0.74597701149425288</v>
      </c>
      <c r="S15" s="82">
        <f t="shared" si="1"/>
        <v>0.73218390804597699</v>
      </c>
      <c r="T15" s="110" t="s">
        <v>75</v>
      </c>
      <c r="U15" s="72">
        <v>0.318</v>
      </c>
      <c r="V15" s="73" t="s">
        <v>75</v>
      </c>
      <c r="W15" s="72">
        <v>0.55400000000000005</v>
      </c>
      <c r="X15" s="72">
        <v>0.111</v>
      </c>
      <c r="Y15" s="72">
        <f t="shared" si="27"/>
        <v>4.9909909909909915</v>
      </c>
      <c r="Z15" s="72">
        <v>0.441</v>
      </c>
      <c r="AA15" s="72">
        <v>0.56899999999999995</v>
      </c>
      <c r="AB15" s="72">
        <f>AA15/F15</f>
        <v>0.27607957302280445</v>
      </c>
      <c r="AC15" s="72">
        <v>1.1619999999999999</v>
      </c>
      <c r="AD15" s="72">
        <f>AC15/F15</f>
        <v>0.56380397865114018</v>
      </c>
      <c r="AE15" s="72">
        <v>0.108</v>
      </c>
      <c r="AF15" s="72">
        <f t="shared" si="38"/>
        <v>0.12413793103448276</v>
      </c>
      <c r="AG15" s="73" t="s">
        <v>75</v>
      </c>
      <c r="AH15" s="73" t="s">
        <v>75</v>
      </c>
      <c r="AI15" s="72">
        <v>9.1999999999999998E-2</v>
      </c>
      <c r="AJ15" s="72">
        <v>5.8999999999999997E-2</v>
      </c>
      <c r="AK15" s="72">
        <f t="shared" ref="AK15:AK31" si="40">AI15/AJ15</f>
        <v>1.5593220338983051</v>
      </c>
      <c r="AL15" s="72">
        <f t="shared" si="2"/>
        <v>0.85185185185185186</v>
      </c>
      <c r="AM15" s="73" t="s">
        <v>75</v>
      </c>
      <c r="AN15" s="72">
        <f t="shared" si="10"/>
        <v>0.10574712643678161</v>
      </c>
      <c r="AO15" s="72">
        <f t="shared" si="4"/>
        <v>0.47916666666666663</v>
      </c>
      <c r="AP15" s="72">
        <v>0.192</v>
      </c>
      <c r="AQ15" s="72">
        <v>0.11899999999999999</v>
      </c>
      <c r="AR15" s="72">
        <f t="shared" si="5"/>
        <v>9.3158660844250368E-2</v>
      </c>
      <c r="AS15" s="72">
        <f t="shared" si="6"/>
        <v>1.6134453781512605</v>
      </c>
      <c r="AT15" s="72">
        <f t="shared" si="7"/>
        <v>0.22068965517241379</v>
      </c>
      <c r="AU15" s="72">
        <v>8.2000000000000003E-2</v>
      </c>
      <c r="AV15" s="72">
        <v>0.14499999999999999</v>
      </c>
      <c r="AW15" s="72">
        <f t="shared" si="8"/>
        <v>0.56551724137931036</v>
      </c>
      <c r="AX15" s="82">
        <f t="shared" si="9"/>
        <v>2.3414634146341462</v>
      </c>
      <c r="AY15" s="136">
        <v>5</v>
      </c>
      <c r="AZ15" s="136">
        <v>8</v>
      </c>
      <c r="BA15" s="136">
        <v>5</v>
      </c>
      <c r="BB15" s="136">
        <v>7</v>
      </c>
      <c r="BC15" s="143">
        <v>5</v>
      </c>
    </row>
    <row r="16" spans="2:55" x14ac:dyDescent="0.2">
      <c r="B16" s="69"/>
      <c r="C16" s="71"/>
      <c r="D16" s="71"/>
      <c r="E16" s="71"/>
      <c r="F16" s="72">
        <f>0.944+1.117</f>
        <v>2.0609999999999999</v>
      </c>
      <c r="G16" s="110" t="s">
        <v>75</v>
      </c>
      <c r="H16" s="110" t="s">
        <v>75</v>
      </c>
      <c r="I16" s="72">
        <v>0.113</v>
      </c>
      <c r="J16" s="72">
        <v>0.06</v>
      </c>
      <c r="K16" s="72">
        <v>0.874</v>
      </c>
      <c r="L16" s="72">
        <v>0.65</v>
      </c>
      <c r="M16" s="72">
        <v>0.64300000000000002</v>
      </c>
      <c r="N16" s="72">
        <v>0.11600000000000001</v>
      </c>
      <c r="O16" s="73" t="s">
        <v>75</v>
      </c>
      <c r="P16" s="73" t="s">
        <v>75</v>
      </c>
      <c r="Q16" s="110" t="s">
        <v>75</v>
      </c>
      <c r="R16" s="82">
        <f t="shared" si="0"/>
        <v>0.73569794050343251</v>
      </c>
      <c r="S16" s="82">
        <f t="shared" si="1"/>
        <v>0.74370709382151035</v>
      </c>
      <c r="T16" s="110" t="s">
        <v>75</v>
      </c>
      <c r="U16" s="72">
        <v>0.318</v>
      </c>
      <c r="V16" s="73" t="s">
        <v>75</v>
      </c>
      <c r="W16" s="72">
        <v>0.64100000000000001</v>
      </c>
      <c r="X16" s="72">
        <v>0.113</v>
      </c>
      <c r="Y16" s="72">
        <f t="shared" si="27"/>
        <v>5.6725663716814161</v>
      </c>
      <c r="Z16" s="72">
        <v>0.46700000000000003</v>
      </c>
      <c r="AA16" s="73" t="s">
        <v>75</v>
      </c>
      <c r="AB16" s="73" t="s">
        <v>75</v>
      </c>
      <c r="AC16" s="73" t="s">
        <v>75</v>
      </c>
      <c r="AD16" s="73" t="s">
        <v>75</v>
      </c>
      <c r="AE16" s="73" t="s">
        <v>75</v>
      </c>
      <c r="AF16" s="73" t="s">
        <v>75</v>
      </c>
      <c r="AG16" s="73" t="s">
        <v>75</v>
      </c>
      <c r="AH16" s="73" t="s">
        <v>75</v>
      </c>
      <c r="AI16" s="72">
        <v>9.1999999999999998E-2</v>
      </c>
      <c r="AJ16" s="72">
        <v>5.8999999999999997E-2</v>
      </c>
      <c r="AK16" s="72">
        <f t="shared" si="40"/>
        <v>1.5593220338983051</v>
      </c>
      <c r="AL16" s="73" t="s">
        <v>75</v>
      </c>
      <c r="AM16" s="72">
        <f t="shared" si="3"/>
        <v>0.79310344827586199</v>
      </c>
      <c r="AN16" s="72">
        <f t="shared" si="10"/>
        <v>0.10526315789473684</v>
      </c>
      <c r="AO16" s="72">
        <f t="shared" si="4"/>
        <v>0.5168539325842697</v>
      </c>
      <c r="AP16" s="72">
        <v>0.17799999999999999</v>
      </c>
      <c r="AQ16" s="72">
        <v>0.125</v>
      </c>
      <c r="AR16" s="72">
        <f t="shared" si="5"/>
        <v>8.6365841824357109E-2</v>
      </c>
      <c r="AS16" s="72">
        <f t="shared" si="6"/>
        <v>1.4239999999999999</v>
      </c>
      <c r="AT16" s="72">
        <f t="shared" si="7"/>
        <v>0.20366132723112126</v>
      </c>
      <c r="AU16" s="72">
        <v>8.2000000000000003E-2</v>
      </c>
      <c r="AV16" s="72">
        <v>0.14499999999999999</v>
      </c>
      <c r="AW16" s="72">
        <f t="shared" ref="AW16" si="41">AU16/AV16</f>
        <v>0.56551724137931036</v>
      </c>
      <c r="AX16" s="82">
        <f t="shared" ref="AX16" si="42">AP16/AU16</f>
        <v>2.1707317073170729</v>
      </c>
      <c r="AY16" s="134" t="s">
        <v>75</v>
      </c>
      <c r="AZ16" s="136">
        <v>9</v>
      </c>
      <c r="BA16" s="134" t="s">
        <v>75</v>
      </c>
      <c r="BB16" s="134" t="s">
        <v>75</v>
      </c>
      <c r="BC16" s="247" t="s">
        <v>75</v>
      </c>
    </row>
    <row r="17" spans="2:55" x14ac:dyDescent="0.2">
      <c r="B17" s="86">
        <v>22130</v>
      </c>
      <c r="C17" s="76" t="s">
        <v>285</v>
      </c>
      <c r="D17" s="77" t="s">
        <v>289</v>
      </c>
      <c r="E17" s="77" t="s">
        <v>210</v>
      </c>
      <c r="F17" s="78">
        <f>1.304+0.38</f>
        <v>1.6840000000000002</v>
      </c>
      <c r="G17" s="114" t="s">
        <v>75</v>
      </c>
      <c r="H17" s="114" t="s">
        <v>75</v>
      </c>
      <c r="I17" s="78">
        <v>9.6000000000000002E-2</v>
      </c>
      <c r="J17" s="78">
        <v>0.05</v>
      </c>
      <c r="K17" s="78">
        <v>0.81399999999999995</v>
      </c>
      <c r="L17" s="78">
        <v>0.65900000000000003</v>
      </c>
      <c r="M17" s="78">
        <v>0.66200000000000003</v>
      </c>
      <c r="N17" s="78">
        <v>0.106</v>
      </c>
      <c r="O17" s="79" t="s">
        <v>75</v>
      </c>
      <c r="P17" s="79" t="s">
        <v>75</v>
      </c>
      <c r="Q17" s="114" t="s">
        <v>75</v>
      </c>
      <c r="R17" s="80">
        <f t="shared" si="0"/>
        <v>0.81326781326781339</v>
      </c>
      <c r="S17" s="80">
        <f t="shared" si="1"/>
        <v>0.8095823095823097</v>
      </c>
      <c r="T17" s="114" t="s">
        <v>75</v>
      </c>
      <c r="U17" s="79" t="s">
        <v>75</v>
      </c>
      <c r="V17" s="79" t="s">
        <v>75</v>
      </c>
      <c r="W17" s="78">
        <v>0.57799999999999996</v>
      </c>
      <c r="X17" s="78">
        <v>0.126</v>
      </c>
      <c r="Y17" s="78">
        <f t="shared" si="27"/>
        <v>4.587301587301587</v>
      </c>
      <c r="Z17" s="78">
        <v>0.39</v>
      </c>
      <c r="AA17" s="78">
        <v>0.499</v>
      </c>
      <c r="AB17" s="78">
        <f t="shared" ref="AB17:AB32" si="43">AA17/F17</f>
        <v>0.29631828978622327</v>
      </c>
      <c r="AC17" s="78">
        <v>1.103</v>
      </c>
      <c r="AD17" s="78">
        <f t="shared" ref="AD17:AD32" si="44">AC17/F17</f>
        <v>0.65498812351543934</v>
      </c>
      <c r="AE17" s="78">
        <v>0.1</v>
      </c>
      <c r="AF17" s="78">
        <f t="shared" si="38"/>
        <v>0.12285012285012287</v>
      </c>
      <c r="AG17" s="79" t="s">
        <v>75</v>
      </c>
      <c r="AH17" s="78">
        <f t="shared" ref="AH17:AH27" si="45">AE17/N17</f>
        <v>0.94339622641509446</v>
      </c>
      <c r="AI17" s="78">
        <v>9.1999999999999998E-2</v>
      </c>
      <c r="AJ17" s="78">
        <v>5.8000000000000003E-2</v>
      </c>
      <c r="AK17" s="78">
        <f t="shared" si="40"/>
        <v>1.586206896551724</v>
      </c>
      <c r="AL17" s="78">
        <f t="shared" si="2"/>
        <v>0.91999999999999993</v>
      </c>
      <c r="AM17" s="78">
        <f t="shared" si="3"/>
        <v>0.86792452830188682</v>
      </c>
      <c r="AN17" s="78">
        <f t="shared" si="10"/>
        <v>0.11302211302211303</v>
      </c>
      <c r="AO17" s="78">
        <f t="shared" si="4"/>
        <v>0.5168539325842697</v>
      </c>
      <c r="AP17" s="78">
        <v>0.17799999999999999</v>
      </c>
      <c r="AQ17" s="78">
        <v>0.13</v>
      </c>
      <c r="AR17" s="78">
        <f t="shared" si="5"/>
        <v>0.10570071258907363</v>
      </c>
      <c r="AS17" s="78">
        <f t="shared" si="6"/>
        <v>1.369230769230769</v>
      </c>
      <c r="AT17" s="78">
        <f t="shared" si="7"/>
        <v>0.21867321867321868</v>
      </c>
      <c r="AU17" s="78">
        <v>0.111</v>
      </c>
      <c r="AV17" s="78">
        <v>9.5000000000000001E-2</v>
      </c>
      <c r="AW17" s="78">
        <f t="shared" si="8"/>
        <v>1.168421052631579</v>
      </c>
      <c r="AX17" s="80">
        <f t="shared" si="9"/>
        <v>1.6036036036036034</v>
      </c>
      <c r="AY17" s="137">
        <v>5</v>
      </c>
      <c r="AZ17" s="137">
        <v>7</v>
      </c>
      <c r="BA17" s="137">
        <v>9</v>
      </c>
      <c r="BB17" s="137">
        <v>6</v>
      </c>
      <c r="BC17" s="145">
        <v>6</v>
      </c>
    </row>
    <row r="18" spans="2:55" x14ac:dyDescent="0.2">
      <c r="B18" s="75"/>
      <c r="C18" s="77"/>
      <c r="D18" s="77"/>
      <c r="E18" s="77"/>
      <c r="F18" s="78">
        <f>1.304+0.38</f>
        <v>1.6840000000000002</v>
      </c>
      <c r="G18" s="80">
        <f t="shared" si="33"/>
        <v>3.7840000000000003</v>
      </c>
      <c r="H18" s="80">
        <f t="shared" si="34"/>
        <v>2.2470308788598574</v>
      </c>
      <c r="I18" s="78">
        <v>0.106</v>
      </c>
      <c r="J18" s="78">
        <v>5.2999999999999999E-2</v>
      </c>
      <c r="K18" s="78">
        <v>0.8</v>
      </c>
      <c r="L18" s="78">
        <v>0.66200000000000003</v>
      </c>
      <c r="M18" s="78">
        <v>0.60099999999999998</v>
      </c>
      <c r="N18" s="78">
        <v>0.107</v>
      </c>
      <c r="O18" s="78">
        <v>1.4550000000000001</v>
      </c>
      <c r="P18" s="78">
        <f t="shared" ref="P18:P26" si="46">N:N+O:O</f>
        <v>1.5620000000000001</v>
      </c>
      <c r="Q18" s="80">
        <f t="shared" si="35"/>
        <v>1.9524999999999999</v>
      </c>
      <c r="R18" s="80">
        <f t="shared" si="0"/>
        <v>0.75124999999999997</v>
      </c>
      <c r="S18" s="80">
        <f t="shared" si="1"/>
        <v>0.82750000000000001</v>
      </c>
      <c r="T18" s="80">
        <f t="shared" si="36"/>
        <v>13.598130841121495</v>
      </c>
      <c r="U18" s="79" t="s">
        <v>75</v>
      </c>
      <c r="V18" s="79" t="s">
        <v>75</v>
      </c>
      <c r="W18" s="78">
        <v>0.56000000000000005</v>
      </c>
      <c r="X18" s="78">
        <v>0.128</v>
      </c>
      <c r="Y18" s="78">
        <f t="shared" si="27"/>
        <v>4.375</v>
      </c>
      <c r="Z18" s="79" t="s">
        <v>75</v>
      </c>
      <c r="AA18" s="78">
        <v>0.52</v>
      </c>
      <c r="AB18" s="78">
        <f t="shared" si="43"/>
        <v>0.30878859857482183</v>
      </c>
      <c r="AC18" s="78">
        <v>1.121</v>
      </c>
      <c r="AD18" s="78">
        <f t="shared" si="44"/>
        <v>0.66567695961995244</v>
      </c>
      <c r="AE18" s="78">
        <v>9.5000000000000001E-2</v>
      </c>
      <c r="AF18" s="78">
        <f t="shared" si="38"/>
        <v>0.11874999999999999</v>
      </c>
      <c r="AG18" s="78">
        <f t="shared" ref="AG18:AG26" si="47">AE:AE/P:P</f>
        <v>6.0819462227912929E-2</v>
      </c>
      <c r="AH18" s="78">
        <f t="shared" si="45"/>
        <v>0.88785046728971961</v>
      </c>
      <c r="AI18" s="78">
        <v>9.1999999999999998E-2</v>
      </c>
      <c r="AJ18" s="78">
        <v>5.8000000000000003E-2</v>
      </c>
      <c r="AK18" s="78">
        <f t="shared" si="40"/>
        <v>1.586206896551724</v>
      </c>
      <c r="AL18" s="78">
        <f t="shared" si="2"/>
        <v>0.96842105263157896</v>
      </c>
      <c r="AM18" s="78">
        <f t="shared" si="3"/>
        <v>0.85981308411214952</v>
      </c>
      <c r="AN18" s="78">
        <f t="shared" si="10"/>
        <v>0.11499999999999999</v>
      </c>
      <c r="AO18" s="78">
        <f t="shared" si="4"/>
        <v>0.45771144278606962</v>
      </c>
      <c r="AP18" s="78">
        <v>0.20100000000000001</v>
      </c>
      <c r="AQ18" s="78">
        <v>0.108</v>
      </c>
      <c r="AR18" s="78">
        <f t="shared" si="5"/>
        <v>0.11935866983372921</v>
      </c>
      <c r="AS18" s="78">
        <f t="shared" si="6"/>
        <v>1.8611111111111112</v>
      </c>
      <c r="AT18" s="78">
        <f t="shared" si="7"/>
        <v>0.25124999999999997</v>
      </c>
      <c r="AU18" s="78">
        <v>0.111</v>
      </c>
      <c r="AV18" s="78">
        <v>9.5000000000000001E-2</v>
      </c>
      <c r="AW18" s="78">
        <f t="shared" ref="AW18" si="48">AU18/AV18</f>
        <v>1.168421052631579</v>
      </c>
      <c r="AX18" s="80">
        <f t="shared" ref="AX18" si="49">AP18/AU18</f>
        <v>1.810810810810811</v>
      </c>
      <c r="AY18" s="135" t="s">
        <v>75</v>
      </c>
      <c r="AZ18" s="137">
        <v>8</v>
      </c>
      <c r="BA18" s="135" t="s">
        <v>75</v>
      </c>
      <c r="BB18" s="135" t="s">
        <v>75</v>
      </c>
      <c r="BC18" s="242" t="s">
        <v>75</v>
      </c>
    </row>
    <row r="19" spans="2:55" x14ac:dyDescent="0.2">
      <c r="B19" s="83">
        <v>22130</v>
      </c>
      <c r="C19" s="70" t="s">
        <v>285</v>
      </c>
      <c r="D19" s="71" t="s">
        <v>289</v>
      </c>
      <c r="E19" s="71" t="s">
        <v>210</v>
      </c>
      <c r="F19" s="72">
        <v>1.579</v>
      </c>
      <c r="G19" s="82">
        <f t="shared" si="33"/>
        <v>3.7069999999999999</v>
      </c>
      <c r="H19" s="82">
        <f t="shared" si="34"/>
        <v>2.3476884103863203</v>
      </c>
      <c r="I19" s="72">
        <v>9.4E-2</v>
      </c>
      <c r="J19" s="72">
        <v>4.5999999999999999E-2</v>
      </c>
      <c r="K19" s="72">
        <v>0.80500000000000005</v>
      </c>
      <c r="L19" s="72">
        <v>0.58099999999999996</v>
      </c>
      <c r="M19" s="72">
        <v>0.59199999999999997</v>
      </c>
      <c r="N19" s="72">
        <v>0.11799999999999999</v>
      </c>
      <c r="O19" s="72">
        <v>1.4710000000000001</v>
      </c>
      <c r="P19" s="72">
        <f t="shared" si="46"/>
        <v>1.589</v>
      </c>
      <c r="Q19" s="82">
        <f t="shared" si="35"/>
        <v>1.9739130434782608</v>
      </c>
      <c r="R19" s="82">
        <f t="shared" si="0"/>
        <v>0.73540372670807441</v>
      </c>
      <c r="S19" s="82">
        <f t="shared" si="1"/>
        <v>0.72173913043478255</v>
      </c>
      <c r="T19" s="82">
        <f t="shared" si="36"/>
        <v>12.466101694915256</v>
      </c>
      <c r="U19" s="72">
        <v>0.28599999999999998</v>
      </c>
      <c r="V19" s="72">
        <f t="shared" si="37"/>
        <v>12.961538461538462</v>
      </c>
      <c r="W19" s="72">
        <v>0.54500000000000004</v>
      </c>
      <c r="X19" s="72">
        <v>0.11799999999999999</v>
      </c>
      <c r="Y19" s="72">
        <f t="shared" si="27"/>
        <v>4.6186440677966107</v>
      </c>
      <c r="Z19" s="72">
        <v>0.34399999999999997</v>
      </c>
      <c r="AA19" s="72">
        <v>0.47</v>
      </c>
      <c r="AB19" s="72">
        <f t="shared" si="43"/>
        <v>0.29765674477517418</v>
      </c>
      <c r="AC19" s="72">
        <v>1.0369999999999999</v>
      </c>
      <c r="AD19" s="72">
        <f t="shared" si="44"/>
        <v>0.65674477517416086</v>
      </c>
      <c r="AE19" s="72">
        <v>9.6000000000000002E-2</v>
      </c>
      <c r="AF19" s="72">
        <f t="shared" si="38"/>
        <v>0.11925465838509317</v>
      </c>
      <c r="AG19" s="72">
        <f t="shared" si="47"/>
        <v>6.0415355569540592E-2</v>
      </c>
      <c r="AH19" s="72">
        <f t="shared" si="45"/>
        <v>0.81355932203389836</v>
      </c>
      <c r="AI19" s="72">
        <v>9.6000000000000002E-2</v>
      </c>
      <c r="AJ19" s="72">
        <v>0.06</v>
      </c>
      <c r="AK19" s="72">
        <f t="shared" si="40"/>
        <v>1.6</v>
      </c>
      <c r="AL19" s="72">
        <f t="shared" si="2"/>
        <v>1</v>
      </c>
      <c r="AM19" s="72">
        <f t="shared" si="3"/>
        <v>0.81355932203389836</v>
      </c>
      <c r="AN19" s="72">
        <f t="shared" si="10"/>
        <v>0.11925465838509317</v>
      </c>
      <c r="AO19" s="72">
        <f t="shared" si="4"/>
        <v>0.61538461538461542</v>
      </c>
      <c r="AP19" s="72">
        <v>0.156</v>
      </c>
      <c r="AQ19" s="72">
        <v>0.10100000000000001</v>
      </c>
      <c r="AR19" s="72">
        <f t="shared" si="5"/>
        <v>9.8796706776440785E-2</v>
      </c>
      <c r="AS19" s="72">
        <f t="shared" si="6"/>
        <v>1.5445544554455444</v>
      </c>
      <c r="AT19" s="72">
        <f t="shared" si="7"/>
        <v>0.1937888198757764</v>
      </c>
      <c r="AU19" s="72">
        <v>9.5000000000000001E-2</v>
      </c>
      <c r="AV19" s="72">
        <v>0.111</v>
      </c>
      <c r="AW19" s="72">
        <f t="shared" si="8"/>
        <v>0.85585585585585588</v>
      </c>
      <c r="AX19" s="82">
        <f t="shared" si="9"/>
        <v>1.6421052631578947</v>
      </c>
      <c r="AY19" s="136">
        <v>5</v>
      </c>
      <c r="AZ19" s="136">
        <v>7</v>
      </c>
      <c r="BA19" s="134" t="s">
        <v>75</v>
      </c>
      <c r="BB19" s="136">
        <v>6</v>
      </c>
      <c r="BC19" s="143">
        <v>5</v>
      </c>
    </row>
    <row r="20" spans="2:55" x14ac:dyDescent="0.2">
      <c r="B20" s="69"/>
      <c r="C20" s="71"/>
      <c r="D20" s="71"/>
      <c r="E20" s="71"/>
      <c r="F20" s="72">
        <v>1.579</v>
      </c>
      <c r="G20" s="82">
        <f t="shared" si="33"/>
        <v>3.7839999999999998</v>
      </c>
      <c r="H20" s="82">
        <f t="shared" si="34"/>
        <v>2.3964534515516149</v>
      </c>
      <c r="I20" s="72">
        <v>9.7000000000000003E-2</v>
      </c>
      <c r="J20" s="72">
        <v>4.4999999999999998E-2</v>
      </c>
      <c r="K20" s="72">
        <v>0.83499999999999996</v>
      </c>
      <c r="L20" s="72">
        <v>0.57499999999999996</v>
      </c>
      <c r="M20" s="72">
        <v>0.60299999999999998</v>
      </c>
      <c r="N20" s="72">
        <v>0.114</v>
      </c>
      <c r="O20" s="72">
        <v>1.5149999999999999</v>
      </c>
      <c r="P20" s="72">
        <f t="shared" si="46"/>
        <v>1.629</v>
      </c>
      <c r="Q20" s="82">
        <f t="shared" si="35"/>
        <v>1.9508982035928144</v>
      </c>
      <c r="R20" s="82">
        <f t="shared" si="0"/>
        <v>0.72215568862275448</v>
      </c>
      <c r="S20" s="82">
        <f t="shared" si="1"/>
        <v>0.68862275449101795</v>
      </c>
      <c r="T20" s="82">
        <f t="shared" si="36"/>
        <v>13.289473684210526</v>
      </c>
      <c r="U20" s="72">
        <v>0.28599999999999998</v>
      </c>
      <c r="V20" s="72">
        <f t="shared" si="37"/>
        <v>13.230769230769232</v>
      </c>
      <c r="W20" s="72">
        <v>0.53100000000000003</v>
      </c>
      <c r="X20" s="72">
        <v>0.127</v>
      </c>
      <c r="Y20" s="72">
        <f t="shared" si="27"/>
        <v>4.181102362204725</v>
      </c>
      <c r="Z20" s="72">
        <v>0.35899999999999999</v>
      </c>
      <c r="AA20" s="72">
        <v>0.45800000000000002</v>
      </c>
      <c r="AB20" s="72">
        <f t="shared" si="43"/>
        <v>0.29005699810006336</v>
      </c>
      <c r="AC20" s="72">
        <v>1.03</v>
      </c>
      <c r="AD20" s="72">
        <f t="shared" si="44"/>
        <v>0.65231158961367963</v>
      </c>
      <c r="AE20" s="72">
        <v>0.10199999999999999</v>
      </c>
      <c r="AF20" s="72">
        <f t="shared" si="38"/>
        <v>0.12215568862275449</v>
      </c>
      <c r="AG20" s="72">
        <f t="shared" si="47"/>
        <v>6.2615101289134431E-2</v>
      </c>
      <c r="AH20" s="72">
        <f t="shared" si="45"/>
        <v>0.89473684210526305</v>
      </c>
      <c r="AI20" s="72">
        <v>9.6000000000000002E-2</v>
      </c>
      <c r="AJ20" s="72">
        <v>0.06</v>
      </c>
      <c r="AK20" s="72">
        <f t="shared" si="40"/>
        <v>1.6</v>
      </c>
      <c r="AL20" s="72">
        <f t="shared" si="2"/>
        <v>0.94117647058823539</v>
      </c>
      <c r="AM20" s="72">
        <f t="shared" si="3"/>
        <v>0.84210526315789469</v>
      </c>
      <c r="AN20" s="72">
        <f t="shared" si="10"/>
        <v>0.11497005988023953</v>
      </c>
      <c r="AO20" s="72">
        <f t="shared" si="4"/>
        <v>0.58181818181818179</v>
      </c>
      <c r="AP20" s="72">
        <v>0.16500000000000001</v>
      </c>
      <c r="AQ20" s="72">
        <v>0.1</v>
      </c>
      <c r="AR20" s="72">
        <f t="shared" si="5"/>
        <v>0.10449651678277391</v>
      </c>
      <c r="AS20" s="72">
        <f t="shared" si="6"/>
        <v>1.65</v>
      </c>
      <c r="AT20" s="72">
        <f t="shared" si="7"/>
        <v>0.19760479041916171</v>
      </c>
      <c r="AU20" s="72">
        <v>9.5000000000000001E-2</v>
      </c>
      <c r="AV20" s="72">
        <v>0.111</v>
      </c>
      <c r="AW20" s="72">
        <f t="shared" ref="AW20" si="50">AU20/AV20</f>
        <v>0.85585585585585588</v>
      </c>
      <c r="AX20" s="82">
        <f t="shared" ref="AX20" si="51">AP20/AU20</f>
        <v>1.736842105263158</v>
      </c>
      <c r="AY20" s="134" t="s">
        <v>75</v>
      </c>
      <c r="AZ20" s="136">
        <v>9</v>
      </c>
      <c r="BA20" s="134" t="s">
        <v>75</v>
      </c>
      <c r="BB20" s="134" t="s">
        <v>75</v>
      </c>
      <c r="BC20" s="247" t="s">
        <v>75</v>
      </c>
    </row>
    <row r="21" spans="2:55" x14ac:dyDescent="0.2">
      <c r="B21" s="179" t="s">
        <v>192</v>
      </c>
      <c r="C21" s="76" t="s">
        <v>285</v>
      </c>
      <c r="D21" s="77" t="s">
        <v>237</v>
      </c>
      <c r="E21" s="77" t="s">
        <v>211</v>
      </c>
      <c r="F21" s="78">
        <f>1.4+0.976</f>
        <v>2.3759999999999999</v>
      </c>
      <c r="G21" s="80">
        <f t="shared" si="33"/>
        <v>4.5449999999999999</v>
      </c>
      <c r="H21" s="80">
        <f t="shared" si="34"/>
        <v>1.9128787878787878</v>
      </c>
      <c r="I21" s="78">
        <v>0.11899999999999999</v>
      </c>
      <c r="J21" s="78">
        <v>4.7E-2</v>
      </c>
      <c r="K21" s="78">
        <v>1.0609999999999999</v>
      </c>
      <c r="L21" s="78">
        <v>0.87</v>
      </c>
      <c r="M21" s="78">
        <v>0.83699999999999997</v>
      </c>
      <c r="N21" s="78">
        <v>0.13</v>
      </c>
      <c r="O21" s="78">
        <v>1.4810000000000001</v>
      </c>
      <c r="P21" s="78">
        <f t="shared" si="46"/>
        <v>1.6110000000000002</v>
      </c>
      <c r="Q21" s="80">
        <f t="shared" si="35"/>
        <v>1.5183788878416591</v>
      </c>
      <c r="R21" s="80">
        <f t="shared" si="0"/>
        <v>0.78887841658812441</v>
      </c>
      <c r="S21" s="80">
        <f t="shared" si="1"/>
        <v>0.81998114985862403</v>
      </c>
      <c r="T21" s="80">
        <f t="shared" si="36"/>
        <v>11.392307692307693</v>
      </c>
      <c r="U21" s="78">
        <v>0.32800000000000001</v>
      </c>
      <c r="V21" s="78">
        <f t="shared" si="37"/>
        <v>13.85670731707317</v>
      </c>
      <c r="W21" s="78">
        <v>0.78500000000000003</v>
      </c>
      <c r="X21" s="78">
        <v>0.14199999999999999</v>
      </c>
      <c r="Y21" s="78">
        <f t="shared" si="27"/>
        <v>5.5281690140845079</v>
      </c>
      <c r="Z21" s="78">
        <v>0.50800000000000001</v>
      </c>
      <c r="AA21" s="78">
        <v>0.68700000000000006</v>
      </c>
      <c r="AB21" s="78">
        <f t="shared" si="43"/>
        <v>0.2891414141414142</v>
      </c>
      <c r="AC21" s="78">
        <v>1.464</v>
      </c>
      <c r="AD21" s="78">
        <f t="shared" si="44"/>
        <v>0.61616161616161613</v>
      </c>
      <c r="AE21" s="78">
        <v>0.108</v>
      </c>
      <c r="AF21" s="78">
        <f t="shared" si="38"/>
        <v>0.10179076343072574</v>
      </c>
      <c r="AG21" s="78">
        <f t="shared" si="47"/>
        <v>6.7039106145251381E-2</v>
      </c>
      <c r="AH21" s="78">
        <f t="shared" si="45"/>
        <v>0.8307692307692307</v>
      </c>
      <c r="AI21" s="78">
        <v>0.10100000000000001</v>
      </c>
      <c r="AJ21" s="78">
        <v>7.4999999999999997E-2</v>
      </c>
      <c r="AK21" s="78">
        <f t="shared" si="40"/>
        <v>1.3466666666666669</v>
      </c>
      <c r="AL21" s="78">
        <f t="shared" si="2"/>
        <v>0.93518518518518523</v>
      </c>
      <c r="AM21" s="78">
        <f t="shared" si="3"/>
        <v>0.77692307692307694</v>
      </c>
      <c r="AN21" s="78">
        <f t="shared" si="10"/>
        <v>9.5193213949104627E-2</v>
      </c>
      <c r="AO21" s="78">
        <f t="shared" si="4"/>
        <v>0.36462093862815886</v>
      </c>
      <c r="AP21" s="78">
        <v>0.27700000000000002</v>
      </c>
      <c r="AQ21" s="78">
        <v>0.13900000000000001</v>
      </c>
      <c r="AR21" s="78">
        <f t="shared" si="5"/>
        <v>0.11658249158249159</v>
      </c>
      <c r="AS21" s="78">
        <f t="shared" si="6"/>
        <v>1.9928057553956835</v>
      </c>
      <c r="AT21" s="78">
        <f t="shared" si="7"/>
        <v>0.26107445805843549</v>
      </c>
      <c r="AU21" s="78">
        <v>0.14000000000000001</v>
      </c>
      <c r="AV21" s="78">
        <v>0.122</v>
      </c>
      <c r="AW21" s="78">
        <f t="shared" si="8"/>
        <v>1.1475409836065575</v>
      </c>
      <c r="AX21" s="80">
        <f t="shared" si="9"/>
        <v>1.9785714285714286</v>
      </c>
      <c r="AY21" s="137">
        <v>4</v>
      </c>
      <c r="AZ21" s="137">
        <v>9</v>
      </c>
      <c r="BA21" s="135" t="s">
        <v>75</v>
      </c>
      <c r="BB21" s="137">
        <v>7</v>
      </c>
      <c r="BC21" s="145">
        <v>10</v>
      </c>
    </row>
    <row r="22" spans="2:55" x14ac:dyDescent="0.2">
      <c r="B22" s="75"/>
      <c r="C22" s="77"/>
      <c r="D22" s="77"/>
      <c r="E22" s="77"/>
      <c r="F22" s="78">
        <f>1.4+0.976</f>
        <v>2.3759999999999999</v>
      </c>
      <c r="G22" s="80">
        <f t="shared" si="33"/>
        <v>4.5709999999999997</v>
      </c>
      <c r="H22" s="80">
        <f t="shared" si="34"/>
        <v>1.9238215488215489</v>
      </c>
      <c r="I22" s="78">
        <v>0.11</v>
      </c>
      <c r="J22" s="78">
        <v>4.4999999999999998E-2</v>
      </c>
      <c r="K22" s="78">
        <v>1.081</v>
      </c>
      <c r="L22" s="78">
        <v>0.84899999999999998</v>
      </c>
      <c r="M22" s="78">
        <v>0.85299999999999998</v>
      </c>
      <c r="N22" s="78">
        <v>0.13400000000000001</v>
      </c>
      <c r="O22" s="78">
        <f>0.877+0.622</f>
        <v>1.4990000000000001</v>
      </c>
      <c r="P22" s="78">
        <f t="shared" si="46"/>
        <v>1.633</v>
      </c>
      <c r="Q22" s="80">
        <f t="shared" si="35"/>
        <v>1.5106382978723405</v>
      </c>
      <c r="R22" s="80">
        <f t="shared" si="0"/>
        <v>0.78908418131359848</v>
      </c>
      <c r="S22" s="80">
        <f t="shared" si="1"/>
        <v>0.78538390379278444</v>
      </c>
      <c r="T22" s="80">
        <f t="shared" si="36"/>
        <v>11.186567164179104</v>
      </c>
      <c r="U22" s="78">
        <v>0.32800000000000001</v>
      </c>
      <c r="V22" s="78">
        <f t="shared" si="37"/>
        <v>13.935975609756095</v>
      </c>
      <c r="W22" s="78">
        <v>0.754</v>
      </c>
      <c r="X22" s="78">
        <v>0.13800000000000001</v>
      </c>
      <c r="Y22" s="78">
        <f t="shared" si="27"/>
        <v>5.4637681159420284</v>
      </c>
      <c r="Z22" s="78">
        <v>0.504</v>
      </c>
      <c r="AA22" s="78">
        <v>0.66100000000000003</v>
      </c>
      <c r="AB22" s="78">
        <f t="shared" si="43"/>
        <v>0.27819865319865322</v>
      </c>
      <c r="AC22" s="78">
        <v>1.508</v>
      </c>
      <c r="AD22" s="78">
        <f t="shared" si="44"/>
        <v>0.63468013468013473</v>
      </c>
      <c r="AE22" s="78">
        <v>0.112</v>
      </c>
      <c r="AF22" s="78">
        <f t="shared" si="38"/>
        <v>0.10360777058279372</v>
      </c>
      <c r="AG22" s="78">
        <f t="shared" si="47"/>
        <v>6.8585425597060629E-2</v>
      </c>
      <c r="AH22" s="78">
        <f t="shared" si="45"/>
        <v>0.83582089552238803</v>
      </c>
      <c r="AI22" s="78">
        <v>0.10100000000000001</v>
      </c>
      <c r="AJ22" s="78">
        <v>7.4999999999999997E-2</v>
      </c>
      <c r="AK22" s="78">
        <f t="shared" si="40"/>
        <v>1.3466666666666669</v>
      </c>
      <c r="AL22" s="78">
        <f t="shared" si="2"/>
        <v>0.9017857142857143</v>
      </c>
      <c r="AM22" s="78">
        <f t="shared" si="3"/>
        <v>0.75373134328358204</v>
      </c>
      <c r="AN22" s="78">
        <f t="shared" si="10"/>
        <v>9.3432007400555045E-2</v>
      </c>
      <c r="AO22" s="78">
        <f t="shared" si="4"/>
        <v>0.37132352941176472</v>
      </c>
      <c r="AP22" s="78">
        <v>0.27200000000000002</v>
      </c>
      <c r="AQ22" s="78">
        <v>0.13100000000000001</v>
      </c>
      <c r="AR22" s="78">
        <f t="shared" si="5"/>
        <v>0.1144781144781145</v>
      </c>
      <c r="AS22" s="78">
        <f t="shared" si="6"/>
        <v>2.0763358778625953</v>
      </c>
      <c r="AT22" s="78">
        <f t="shared" si="7"/>
        <v>0.25161887141535616</v>
      </c>
      <c r="AU22" s="78">
        <v>0.14000000000000001</v>
      </c>
      <c r="AV22" s="78">
        <v>0.122</v>
      </c>
      <c r="AW22" s="78">
        <f t="shared" ref="AW22" si="52">AU22/AV22</f>
        <v>1.1475409836065575</v>
      </c>
      <c r="AX22" s="80">
        <f t="shared" ref="AX22" si="53">AP22/AU22</f>
        <v>1.9428571428571428</v>
      </c>
      <c r="AY22" s="135" t="s">
        <v>75</v>
      </c>
      <c r="AZ22" s="137">
        <v>10</v>
      </c>
      <c r="BA22" s="135" t="s">
        <v>75</v>
      </c>
      <c r="BB22" s="135" t="s">
        <v>75</v>
      </c>
      <c r="BC22" s="242" t="s">
        <v>75</v>
      </c>
    </row>
    <row r="23" spans="2:55" x14ac:dyDescent="0.2">
      <c r="B23" s="262" t="s">
        <v>192</v>
      </c>
      <c r="C23" s="70" t="s">
        <v>285</v>
      </c>
      <c r="D23" s="71" t="s">
        <v>237</v>
      </c>
      <c r="E23" s="71" t="s">
        <v>211</v>
      </c>
      <c r="F23" s="72">
        <f>1.315+0.994</f>
        <v>2.3090000000000002</v>
      </c>
      <c r="G23" s="82">
        <f t="shared" si="33"/>
        <v>4.51</v>
      </c>
      <c r="H23" s="82">
        <f t="shared" si="34"/>
        <v>1.9532265049805109</v>
      </c>
      <c r="I23" s="72">
        <v>0.128</v>
      </c>
      <c r="J23" s="72">
        <v>5.8000000000000003E-2</v>
      </c>
      <c r="K23" s="72">
        <v>1.056</v>
      </c>
      <c r="L23" s="72">
        <v>0.84499999999999997</v>
      </c>
      <c r="M23" s="72">
        <v>0.80300000000000005</v>
      </c>
      <c r="N23" s="72">
        <v>0.128</v>
      </c>
      <c r="O23" s="72">
        <f>0.29+0.243+0.236+0.222+0.154+0.347</f>
        <v>1.4919999999999998</v>
      </c>
      <c r="P23" s="72">
        <f t="shared" si="46"/>
        <v>1.6199999999999997</v>
      </c>
      <c r="Q23" s="82">
        <f t="shared" si="35"/>
        <v>1.5340909090909087</v>
      </c>
      <c r="R23" s="82">
        <f t="shared" si="0"/>
        <v>0.76041666666666663</v>
      </c>
      <c r="S23" s="82">
        <f t="shared" si="1"/>
        <v>0.80018939393939392</v>
      </c>
      <c r="T23" s="82">
        <f t="shared" si="36"/>
        <v>11.656249999999998</v>
      </c>
      <c r="U23" s="72">
        <v>0.33400000000000002</v>
      </c>
      <c r="V23" s="72">
        <f t="shared" si="37"/>
        <v>13.502994011976046</v>
      </c>
      <c r="W23" s="72">
        <v>0.75800000000000001</v>
      </c>
      <c r="X23" s="72">
        <v>0.13600000000000001</v>
      </c>
      <c r="Y23" s="72">
        <f t="shared" si="27"/>
        <v>5.5735294117647056</v>
      </c>
      <c r="Z23" s="72">
        <v>0.52</v>
      </c>
      <c r="AA23" s="72">
        <v>0.68400000000000005</v>
      </c>
      <c r="AB23" s="72">
        <f t="shared" si="43"/>
        <v>0.29623213512343005</v>
      </c>
      <c r="AC23" s="72">
        <v>1.4670000000000001</v>
      </c>
      <c r="AD23" s="72">
        <f t="shared" si="44"/>
        <v>0.63533997401472497</v>
      </c>
      <c r="AE23" s="72">
        <v>0.112</v>
      </c>
      <c r="AF23" s="72">
        <f t="shared" si="38"/>
        <v>0.10606060606060606</v>
      </c>
      <c r="AG23" s="72">
        <f t="shared" si="47"/>
        <v>6.9135802469135824E-2</v>
      </c>
      <c r="AH23" s="72">
        <f t="shared" si="45"/>
        <v>0.875</v>
      </c>
      <c r="AI23" s="72">
        <v>9.6000000000000002E-2</v>
      </c>
      <c r="AJ23" s="72">
        <v>5.6000000000000001E-2</v>
      </c>
      <c r="AK23" s="72">
        <f t="shared" si="40"/>
        <v>1.7142857142857142</v>
      </c>
      <c r="AL23" s="72">
        <f t="shared" si="2"/>
        <v>0.8571428571428571</v>
      </c>
      <c r="AM23" s="72">
        <f t="shared" si="3"/>
        <v>0.75</v>
      </c>
      <c r="AN23" s="72">
        <f t="shared" si="10"/>
        <v>9.0909090909090912E-2</v>
      </c>
      <c r="AO23" s="72">
        <f t="shared" si="4"/>
        <v>0.37795275590551181</v>
      </c>
      <c r="AP23" s="72">
        <v>0.254</v>
      </c>
      <c r="AQ23" s="72">
        <v>0.13300000000000001</v>
      </c>
      <c r="AR23" s="72">
        <f t="shared" si="5"/>
        <v>0.11000433087916847</v>
      </c>
      <c r="AS23" s="72">
        <f t="shared" si="6"/>
        <v>1.9097744360902256</v>
      </c>
      <c r="AT23" s="72">
        <f t="shared" si="7"/>
        <v>0.24053030303030301</v>
      </c>
      <c r="AU23" s="72">
        <v>0.123</v>
      </c>
      <c r="AV23" s="72">
        <v>0.16500000000000001</v>
      </c>
      <c r="AW23" s="72">
        <f t="shared" si="8"/>
        <v>0.74545454545454537</v>
      </c>
      <c r="AX23" s="82">
        <f t="shared" si="9"/>
        <v>2.065040650406504</v>
      </c>
      <c r="AY23" s="136">
        <v>4</v>
      </c>
      <c r="AZ23" s="136">
        <v>10</v>
      </c>
      <c r="BA23" s="136">
        <v>7</v>
      </c>
      <c r="BB23" s="136">
        <v>7</v>
      </c>
      <c r="BC23" s="143">
        <v>7</v>
      </c>
    </row>
    <row r="24" spans="2:55" x14ac:dyDescent="0.2">
      <c r="B24" s="69"/>
      <c r="C24" s="71"/>
      <c r="D24" s="71"/>
      <c r="E24" s="71"/>
      <c r="F24" s="72">
        <f>1.315+0.994</f>
        <v>2.3090000000000002</v>
      </c>
      <c r="G24" s="82">
        <f t="shared" si="33"/>
        <v>4.5470000000000006</v>
      </c>
      <c r="H24" s="82">
        <f t="shared" si="34"/>
        <v>1.9692507579038545</v>
      </c>
      <c r="I24" s="72">
        <v>0.11700000000000001</v>
      </c>
      <c r="J24" s="72">
        <v>5.5E-2</v>
      </c>
      <c r="K24" s="72">
        <v>1.0820000000000001</v>
      </c>
      <c r="L24" s="72">
        <v>0.88500000000000001</v>
      </c>
      <c r="M24" s="72">
        <v>0.80200000000000005</v>
      </c>
      <c r="N24" s="72">
        <v>0.13</v>
      </c>
      <c r="O24" s="72">
        <f>0.502+0.37+0.604</f>
        <v>1.476</v>
      </c>
      <c r="P24" s="72">
        <f t="shared" si="46"/>
        <v>1.6059999999999999</v>
      </c>
      <c r="Q24" s="82">
        <f t="shared" si="35"/>
        <v>1.4842883548983361</v>
      </c>
      <c r="R24" s="82">
        <f t="shared" si="0"/>
        <v>0.74121996303142323</v>
      </c>
      <c r="S24" s="82">
        <f t="shared" si="1"/>
        <v>0.8179297597042513</v>
      </c>
      <c r="T24" s="82">
        <f t="shared" si="36"/>
        <v>11.353846153846153</v>
      </c>
      <c r="U24" s="72">
        <v>0.33400000000000002</v>
      </c>
      <c r="V24" s="72">
        <f t="shared" si="37"/>
        <v>13.613772455089821</v>
      </c>
      <c r="W24" s="73" t="s">
        <v>75</v>
      </c>
      <c r="X24" s="73" t="s">
        <v>75</v>
      </c>
      <c r="Y24" s="73" t="s">
        <v>75</v>
      </c>
      <c r="Z24" s="73" t="s">
        <v>75</v>
      </c>
      <c r="AA24" s="72">
        <v>0.69899999999999995</v>
      </c>
      <c r="AB24" s="72">
        <f t="shared" si="43"/>
        <v>0.30272845387613684</v>
      </c>
      <c r="AC24" s="72">
        <v>1.488</v>
      </c>
      <c r="AD24" s="72">
        <f t="shared" si="44"/>
        <v>0.64443482026851451</v>
      </c>
      <c r="AE24" s="72">
        <v>0.115</v>
      </c>
      <c r="AF24" s="72">
        <f t="shared" si="38"/>
        <v>0.10628465804066543</v>
      </c>
      <c r="AG24" s="72">
        <f t="shared" si="47"/>
        <v>7.1606475716064766E-2</v>
      </c>
      <c r="AH24" s="72">
        <f t="shared" si="45"/>
        <v>0.88461538461538458</v>
      </c>
      <c r="AI24" s="72">
        <v>9.6000000000000002E-2</v>
      </c>
      <c r="AJ24" s="72">
        <v>5.6000000000000001E-2</v>
      </c>
      <c r="AK24" s="72">
        <f t="shared" si="40"/>
        <v>1.7142857142857142</v>
      </c>
      <c r="AL24" s="72">
        <f t="shared" si="2"/>
        <v>0.83478260869565213</v>
      </c>
      <c r="AM24" s="72">
        <f t="shared" si="3"/>
        <v>0.7384615384615385</v>
      </c>
      <c r="AN24" s="72">
        <f t="shared" si="10"/>
        <v>8.8724584103512014E-2</v>
      </c>
      <c r="AO24" s="72">
        <f t="shared" si="4"/>
        <v>0.36641221374045801</v>
      </c>
      <c r="AP24" s="72">
        <v>0.26200000000000001</v>
      </c>
      <c r="AQ24" s="72">
        <v>0.13700000000000001</v>
      </c>
      <c r="AR24" s="72">
        <f t="shared" si="5"/>
        <v>0.11346903421394543</v>
      </c>
      <c r="AS24" s="72">
        <f t="shared" si="6"/>
        <v>1.9124087591240875</v>
      </c>
      <c r="AT24" s="72">
        <f t="shared" si="7"/>
        <v>0.24214417744916819</v>
      </c>
      <c r="AU24" s="72">
        <v>0.123</v>
      </c>
      <c r="AV24" s="72">
        <v>0.16500000000000001</v>
      </c>
      <c r="AW24" s="72">
        <f t="shared" ref="AW24" si="54">AU24/AV24</f>
        <v>0.74545454545454537</v>
      </c>
      <c r="AX24" s="82">
        <f t="shared" ref="AX24" si="55">AP24/AU24</f>
        <v>2.1300813008130084</v>
      </c>
      <c r="AY24" s="134" t="s">
        <v>75</v>
      </c>
      <c r="AZ24" s="134" t="s">
        <v>75</v>
      </c>
      <c r="BA24" s="134" t="s">
        <v>75</v>
      </c>
      <c r="BB24" s="134" t="s">
        <v>75</v>
      </c>
      <c r="BC24" s="247" t="s">
        <v>75</v>
      </c>
    </row>
    <row r="25" spans="2:55" x14ac:dyDescent="0.2">
      <c r="B25" s="259" t="s">
        <v>192</v>
      </c>
      <c r="C25" s="76" t="s">
        <v>285</v>
      </c>
      <c r="D25" s="77" t="s">
        <v>237</v>
      </c>
      <c r="E25" s="77" t="s">
        <v>211</v>
      </c>
      <c r="F25" s="78">
        <f>1.35+0.859</f>
        <v>2.2090000000000001</v>
      </c>
      <c r="G25" s="80">
        <f t="shared" si="33"/>
        <v>3.9769999999999999</v>
      </c>
      <c r="H25" s="80">
        <f t="shared" si="34"/>
        <v>1.8003621548211859</v>
      </c>
      <c r="I25" s="78">
        <v>0.108</v>
      </c>
      <c r="J25" s="78">
        <v>5.3999999999999999E-2</v>
      </c>
      <c r="K25" s="78">
        <f>0.869+0.084</f>
        <v>0.95299999999999996</v>
      </c>
      <c r="L25" s="78">
        <v>0.70099999999999996</v>
      </c>
      <c r="M25" s="78">
        <v>0.66400000000000003</v>
      </c>
      <c r="N25" s="78">
        <v>0.109</v>
      </c>
      <c r="O25" s="78">
        <v>1.3879999999999999</v>
      </c>
      <c r="P25" s="78">
        <f t="shared" si="46"/>
        <v>1.4969999999999999</v>
      </c>
      <c r="Q25" s="80">
        <f t="shared" si="35"/>
        <v>1.570828961175236</v>
      </c>
      <c r="R25" s="80">
        <f t="shared" si="0"/>
        <v>0.69674711437565584</v>
      </c>
      <c r="S25" s="80">
        <f t="shared" si="1"/>
        <v>0.73557187827911852</v>
      </c>
      <c r="T25" s="80">
        <f t="shared" si="36"/>
        <v>12.73394495412844</v>
      </c>
      <c r="U25" s="78">
        <v>0.314</v>
      </c>
      <c r="V25" s="78">
        <f t="shared" si="37"/>
        <v>12.665605095541402</v>
      </c>
      <c r="W25" s="78">
        <v>0.68899999999999995</v>
      </c>
      <c r="X25" s="78">
        <v>0.13900000000000001</v>
      </c>
      <c r="Y25" s="78">
        <f>W:W/X:X</f>
        <v>4.9568345323741001</v>
      </c>
      <c r="Z25" s="78">
        <v>0.46700000000000003</v>
      </c>
      <c r="AA25" s="78">
        <v>0.64</v>
      </c>
      <c r="AB25" s="78">
        <f t="shared" si="43"/>
        <v>0.28972385694884562</v>
      </c>
      <c r="AC25" s="78">
        <v>1.3620000000000001</v>
      </c>
      <c r="AD25" s="78">
        <f t="shared" si="44"/>
        <v>0.6165685830692621</v>
      </c>
      <c r="AE25" s="78">
        <v>0.11600000000000001</v>
      </c>
      <c r="AF25" s="78">
        <f t="shared" si="38"/>
        <v>0.12172088142707241</v>
      </c>
      <c r="AG25" s="78">
        <f t="shared" si="47"/>
        <v>7.7488309953239826E-2</v>
      </c>
      <c r="AH25" s="78">
        <f t="shared" si="45"/>
        <v>1.0642201834862386</v>
      </c>
      <c r="AI25" s="78">
        <v>9.0999999999999998E-2</v>
      </c>
      <c r="AJ25" s="78">
        <v>7.0999999999999994E-2</v>
      </c>
      <c r="AK25" s="78">
        <f t="shared" si="40"/>
        <v>1.2816901408450705</v>
      </c>
      <c r="AL25" s="78">
        <f t="shared" si="2"/>
        <v>0.78448275862068961</v>
      </c>
      <c r="AM25" s="78">
        <f t="shared" si="3"/>
        <v>0.83486238532110091</v>
      </c>
      <c r="AN25" s="78">
        <f t="shared" si="10"/>
        <v>9.5487932843651632E-2</v>
      </c>
      <c r="AO25" s="78">
        <f t="shared" si="4"/>
        <v>0.38396624472573843</v>
      </c>
      <c r="AP25" s="78">
        <v>0.23699999999999999</v>
      </c>
      <c r="AQ25" s="78">
        <v>0.13</v>
      </c>
      <c r="AR25" s="78">
        <f t="shared" si="5"/>
        <v>0.1072883657763694</v>
      </c>
      <c r="AS25" s="78">
        <f t="shared" si="6"/>
        <v>1.8230769230769228</v>
      </c>
      <c r="AT25" s="78">
        <f t="shared" si="7"/>
        <v>0.24868835257082897</v>
      </c>
      <c r="AU25" s="78">
        <v>0.108</v>
      </c>
      <c r="AV25" s="78">
        <v>0.13200000000000001</v>
      </c>
      <c r="AW25" s="78">
        <f t="shared" si="8"/>
        <v>0.81818181818181812</v>
      </c>
      <c r="AX25" s="80">
        <f t="shared" si="9"/>
        <v>2.1944444444444442</v>
      </c>
      <c r="AY25" s="137">
        <v>4</v>
      </c>
      <c r="AZ25" s="137">
        <v>8</v>
      </c>
      <c r="BA25" s="135" t="s">
        <v>75</v>
      </c>
      <c r="BB25" s="137">
        <v>7</v>
      </c>
      <c r="BC25" s="145">
        <v>7</v>
      </c>
    </row>
    <row r="26" spans="2:55" x14ac:dyDescent="0.2">
      <c r="B26" s="75"/>
      <c r="C26" s="77"/>
      <c r="D26" s="77"/>
      <c r="E26" s="77"/>
      <c r="F26" s="78">
        <f>1.35+0.859</f>
        <v>2.2090000000000001</v>
      </c>
      <c r="G26" s="80">
        <f t="shared" si="33"/>
        <v>4.1669999999999998</v>
      </c>
      <c r="H26" s="80">
        <f t="shared" si="34"/>
        <v>1.8863739248528744</v>
      </c>
      <c r="I26" s="78">
        <v>0.107</v>
      </c>
      <c r="J26" s="78">
        <v>5.2999999999999999E-2</v>
      </c>
      <c r="K26" s="78">
        <v>0.98099999999999998</v>
      </c>
      <c r="L26" s="78">
        <v>0.86199999999999999</v>
      </c>
      <c r="M26" s="78">
        <v>0.64</v>
      </c>
      <c r="N26" s="78">
        <v>0.121</v>
      </c>
      <c r="O26" s="78">
        <v>1.403</v>
      </c>
      <c r="P26" s="78">
        <f t="shared" si="46"/>
        <v>1.524</v>
      </c>
      <c r="Q26" s="80">
        <f t="shared" si="35"/>
        <v>1.5535168195718654</v>
      </c>
      <c r="R26" s="80">
        <f t="shared" si="0"/>
        <v>0.65239551478083591</v>
      </c>
      <c r="S26" s="80">
        <f t="shared" si="1"/>
        <v>0.87869520897043829</v>
      </c>
      <c r="T26" s="80">
        <f t="shared" si="36"/>
        <v>11.595041322314049</v>
      </c>
      <c r="U26" s="78">
        <v>0.314</v>
      </c>
      <c r="V26" s="78">
        <f t="shared" si="37"/>
        <v>13.270700636942674</v>
      </c>
      <c r="W26" s="78">
        <v>0.68899999999999995</v>
      </c>
      <c r="X26" s="78">
        <v>0.14000000000000001</v>
      </c>
      <c r="Y26" s="78">
        <f>W:W/X:X</f>
        <v>4.9214285714285708</v>
      </c>
      <c r="Z26" s="78">
        <v>0.443</v>
      </c>
      <c r="AA26" s="78">
        <v>0.625</v>
      </c>
      <c r="AB26" s="78">
        <f t="shared" si="43"/>
        <v>0.28293345405160703</v>
      </c>
      <c r="AC26" s="78">
        <v>1.357</v>
      </c>
      <c r="AD26" s="78">
        <f t="shared" si="44"/>
        <v>0.61430511543684918</v>
      </c>
      <c r="AE26" s="78">
        <v>0.113</v>
      </c>
      <c r="AF26" s="78">
        <f t="shared" si="38"/>
        <v>0.11518858307849134</v>
      </c>
      <c r="AG26" s="78">
        <f t="shared" si="47"/>
        <v>7.414698162729659E-2</v>
      </c>
      <c r="AH26" s="78">
        <f t="shared" si="45"/>
        <v>0.93388429752066127</v>
      </c>
      <c r="AI26" s="78">
        <v>9.0999999999999998E-2</v>
      </c>
      <c r="AJ26" s="78">
        <v>7.0999999999999994E-2</v>
      </c>
      <c r="AK26" s="78">
        <f t="shared" si="40"/>
        <v>1.2816901408450705</v>
      </c>
      <c r="AL26" s="78">
        <f t="shared" si="2"/>
        <v>0.80530973451327426</v>
      </c>
      <c r="AM26" s="78">
        <f t="shared" si="3"/>
        <v>0.75206611570247939</v>
      </c>
      <c r="AN26" s="78">
        <f t="shared" si="10"/>
        <v>9.2762487257900095E-2</v>
      </c>
      <c r="AO26" s="78">
        <f t="shared" si="4"/>
        <v>0.38559322033898308</v>
      </c>
      <c r="AP26" s="78">
        <v>0.23599999999999999</v>
      </c>
      <c r="AQ26" s="78">
        <v>0.13100000000000001</v>
      </c>
      <c r="AR26" s="78">
        <f t="shared" si="5"/>
        <v>0.10683567224988681</v>
      </c>
      <c r="AS26" s="78">
        <f t="shared" si="6"/>
        <v>1.8015267175572518</v>
      </c>
      <c r="AT26" s="78">
        <f t="shared" si="7"/>
        <v>0.24057084607543322</v>
      </c>
      <c r="AU26" s="78">
        <v>0.108</v>
      </c>
      <c r="AV26" s="78">
        <v>0.13200000000000001</v>
      </c>
      <c r="AW26" s="78">
        <f t="shared" ref="AW26" si="56">AU26/AV26</f>
        <v>0.81818181818181812</v>
      </c>
      <c r="AX26" s="80">
        <f t="shared" ref="AX26" si="57">AP26/AU26</f>
        <v>2.1851851851851851</v>
      </c>
      <c r="AY26" s="135" t="s">
        <v>75</v>
      </c>
      <c r="AZ26" s="135" t="s">
        <v>75</v>
      </c>
      <c r="BA26" s="135" t="s">
        <v>75</v>
      </c>
      <c r="BB26" s="135" t="s">
        <v>75</v>
      </c>
      <c r="BC26" s="242" t="s">
        <v>75</v>
      </c>
    </row>
    <row r="27" spans="2:55" x14ac:dyDescent="0.2">
      <c r="B27" s="160">
        <v>22124</v>
      </c>
      <c r="C27" s="70" t="s">
        <v>285</v>
      </c>
      <c r="D27" s="71" t="s">
        <v>29</v>
      </c>
      <c r="E27" s="71" t="s">
        <v>209</v>
      </c>
      <c r="F27" s="72">
        <v>1.9610000000000001</v>
      </c>
      <c r="G27" s="110" t="s">
        <v>75</v>
      </c>
      <c r="H27" s="110" t="s">
        <v>75</v>
      </c>
      <c r="I27" s="72">
        <v>0.08</v>
      </c>
      <c r="J27" s="72">
        <v>0.05</v>
      </c>
      <c r="K27" s="72">
        <v>0.82299999999999995</v>
      </c>
      <c r="L27" s="72">
        <v>0.623</v>
      </c>
      <c r="M27" s="72">
        <v>0.65700000000000003</v>
      </c>
      <c r="N27" s="72">
        <v>0.12</v>
      </c>
      <c r="O27" s="73" t="s">
        <v>75</v>
      </c>
      <c r="P27" s="73" t="s">
        <v>75</v>
      </c>
      <c r="Q27" s="110" t="s">
        <v>75</v>
      </c>
      <c r="R27" s="82">
        <f t="shared" si="0"/>
        <v>0.79829890643985424</v>
      </c>
      <c r="S27" s="82">
        <f t="shared" si="1"/>
        <v>0.75698663426488466</v>
      </c>
      <c r="T27" s="110" t="s">
        <v>75</v>
      </c>
      <c r="U27" s="72">
        <v>0.309</v>
      </c>
      <c r="V27" s="73" t="s">
        <v>75</v>
      </c>
      <c r="W27" s="72">
        <v>0.54500000000000004</v>
      </c>
      <c r="X27" s="72">
        <v>0.128</v>
      </c>
      <c r="Y27" s="72">
        <f>W:W/X:X</f>
        <v>4.2578125</v>
      </c>
      <c r="Z27" s="72">
        <v>0.372</v>
      </c>
      <c r="AA27" s="72">
        <v>0.53</v>
      </c>
      <c r="AB27" s="72">
        <f t="shared" si="43"/>
        <v>0.27027027027027029</v>
      </c>
      <c r="AC27" s="72">
        <v>1.1759999999999999</v>
      </c>
      <c r="AD27" s="72">
        <f t="shared" si="44"/>
        <v>0.5996940336562977</v>
      </c>
      <c r="AE27" s="72">
        <v>0.11799999999999999</v>
      </c>
      <c r="AF27" s="72">
        <f t="shared" si="38"/>
        <v>0.1433778857837181</v>
      </c>
      <c r="AG27" s="73" t="s">
        <v>75</v>
      </c>
      <c r="AH27" s="72">
        <f t="shared" si="45"/>
        <v>0.98333333333333328</v>
      </c>
      <c r="AI27" s="72">
        <v>0.106</v>
      </c>
      <c r="AJ27" s="72">
        <v>6.4000000000000001E-2</v>
      </c>
      <c r="AK27" s="72">
        <f t="shared" si="40"/>
        <v>1.65625</v>
      </c>
      <c r="AL27" s="72">
        <f>AI27/AE27</f>
        <v>0.89830508474576276</v>
      </c>
      <c r="AM27" s="72">
        <f>AI27/N27</f>
        <v>0.8833333333333333</v>
      </c>
      <c r="AN27" s="72">
        <f t="shared" si="10"/>
        <v>0.12879708383961119</v>
      </c>
      <c r="AO27" s="72">
        <f t="shared" si="4"/>
        <v>0.572972972972973</v>
      </c>
      <c r="AP27" s="72">
        <v>0.185</v>
      </c>
      <c r="AQ27" s="72">
        <v>0.106</v>
      </c>
      <c r="AR27" s="72">
        <f t="shared" si="5"/>
        <v>9.4339622641509427E-2</v>
      </c>
      <c r="AS27" s="72">
        <f t="shared" si="6"/>
        <v>1.7452830188679245</v>
      </c>
      <c r="AT27" s="72">
        <f t="shared" si="7"/>
        <v>0.22478736330498178</v>
      </c>
      <c r="AU27" s="73" t="s">
        <v>75</v>
      </c>
      <c r="AV27" s="73" t="s">
        <v>75</v>
      </c>
      <c r="AW27" s="73" t="s">
        <v>75</v>
      </c>
      <c r="AX27" s="110" t="s">
        <v>75</v>
      </c>
      <c r="AY27" s="136">
        <v>5</v>
      </c>
      <c r="AZ27" s="136">
        <v>7</v>
      </c>
      <c r="BA27" s="136">
        <v>12</v>
      </c>
      <c r="BB27" s="134" t="s">
        <v>75</v>
      </c>
      <c r="BC27" s="247" t="s">
        <v>75</v>
      </c>
    </row>
    <row r="28" spans="2:55" x14ac:dyDescent="0.2">
      <c r="B28" s="69"/>
      <c r="C28" s="70"/>
      <c r="D28" s="71"/>
      <c r="E28" s="71"/>
      <c r="F28" s="72">
        <v>1.9610000000000001</v>
      </c>
      <c r="G28" s="110" t="s">
        <v>75</v>
      </c>
      <c r="H28" s="110" t="s">
        <v>75</v>
      </c>
      <c r="I28" s="72">
        <v>0.1</v>
      </c>
      <c r="J28" s="72">
        <v>0.05</v>
      </c>
      <c r="K28" s="72">
        <v>0.83699999999999997</v>
      </c>
      <c r="L28" s="72">
        <v>0.63400000000000001</v>
      </c>
      <c r="M28" s="73" t="s">
        <v>75</v>
      </c>
      <c r="N28" s="73" t="s">
        <v>75</v>
      </c>
      <c r="O28" s="73" t="s">
        <v>75</v>
      </c>
      <c r="P28" s="73" t="s">
        <v>75</v>
      </c>
      <c r="Q28" s="110" t="s">
        <v>75</v>
      </c>
      <c r="R28" s="110" t="s">
        <v>75</v>
      </c>
      <c r="S28" s="82">
        <f t="shared" si="1"/>
        <v>0.75746714456391884</v>
      </c>
      <c r="T28" s="110" t="s">
        <v>75</v>
      </c>
      <c r="U28" s="72">
        <v>0.309</v>
      </c>
      <c r="V28" s="73" t="s">
        <v>75</v>
      </c>
      <c r="W28" s="73" t="s">
        <v>75</v>
      </c>
      <c r="X28" s="73" t="s">
        <v>75</v>
      </c>
      <c r="Y28" s="73" t="s">
        <v>75</v>
      </c>
      <c r="Z28" s="72">
        <v>0.39800000000000002</v>
      </c>
      <c r="AA28" s="72">
        <v>0.53900000000000003</v>
      </c>
      <c r="AB28" s="72">
        <f t="shared" si="43"/>
        <v>0.27485976542580315</v>
      </c>
      <c r="AC28" s="72">
        <v>1.1639999999999999</v>
      </c>
      <c r="AD28" s="72">
        <f t="shared" si="44"/>
        <v>0.59357470678225388</v>
      </c>
      <c r="AE28" s="72">
        <v>0.115</v>
      </c>
      <c r="AF28" s="72">
        <f t="shared" si="38"/>
        <v>0.13739545997610514</v>
      </c>
      <c r="AG28" s="73" t="s">
        <v>75</v>
      </c>
      <c r="AH28" s="73" t="s">
        <v>75</v>
      </c>
      <c r="AI28" s="72">
        <v>0.106</v>
      </c>
      <c r="AJ28" s="72">
        <v>6.4000000000000001E-2</v>
      </c>
      <c r="AK28" s="72">
        <f t="shared" ref="AK28" si="58">AI28/AJ28</f>
        <v>1.65625</v>
      </c>
      <c r="AL28" s="72">
        <f>AI28/AE28</f>
        <v>0.92173913043478251</v>
      </c>
      <c r="AM28" s="73" t="s">
        <v>75</v>
      </c>
      <c r="AN28" s="72">
        <f t="shared" si="10"/>
        <v>0.12664277180406214</v>
      </c>
      <c r="AO28" s="73" t="s">
        <v>75</v>
      </c>
      <c r="AP28" s="72">
        <v>0.191</v>
      </c>
      <c r="AQ28" s="72">
        <v>0.11600000000000001</v>
      </c>
      <c r="AR28" s="72">
        <f t="shared" si="5"/>
        <v>9.7399286078531364E-2</v>
      </c>
      <c r="AS28" s="72">
        <f t="shared" si="6"/>
        <v>1.646551724137931</v>
      </c>
      <c r="AT28" s="72">
        <f t="shared" si="7"/>
        <v>0.22819593787335724</v>
      </c>
      <c r="AU28" s="73" t="s">
        <v>75</v>
      </c>
      <c r="AV28" s="73" t="s">
        <v>75</v>
      </c>
      <c r="AW28" s="73" t="s">
        <v>75</v>
      </c>
      <c r="AX28" s="110" t="s">
        <v>75</v>
      </c>
      <c r="AY28" s="134" t="s">
        <v>75</v>
      </c>
      <c r="AZ28" s="134" t="s">
        <v>75</v>
      </c>
      <c r="BA28" s="134" t="s">
        <v>75</v>
      </c>
      <c r="BB28" s="134" t="s">
        <v>75</v>
      </c>
      <c r="BC28" s="247" t="s">
        <v>75</v>
      </c>
    </row>
    <row r="29" spans="2:55" x14ac:dyDescent="0.2">
      <c r="B29" s="159">
        <v>22124</v>
      </c>
      <c r="C29" s="76" t="s">
        <v>285</v>
      </c>
      <c r="D29" s="77" t="s">
        <v>29</v>
      </c>
      <c r="E29" s="77" t="s">
        <v>209</v>
      </c>
      <c r="F29" s="78">
        <v>2.0499999999999998</v>
      </c>
      <c r="G29" s="80">
        <f t="shared" si="33"/>
        <v>3.9240000000000004</v>
      </c>
      <c r="H29" s="80">
        <f t="shared" si="34"/>
        <v>1.914146341463415</v>
      </c>
      <c r="I29" s="78">
        <v>0.1</v>
      </c>
      <c r="J29" s="78">
        <v>0.05</v>
      </c>
      <c r="K29" s="78">
        <v>0.84199999999999997</v>
      </c>
      <c r="L29" s="78">
        <v>0.64400000000000002</v>
      </c>
      <c r="M29" s="78">
        <v>0.69299999999999995</v>
      </c>
      <c r="N29" s="78">
        <v>0.122</v>
      </c>
      <c r="O29" s="78">
        <f>0.245+0.233+0.533+0.462</f>
        <v>1.4730000000000001</v>
      </c>
      <c r="P29" s="78">
        <f>N:N+O:O</f>
        <v>1.5950000000000002</v>
      </c>
      <c r="Q29" s="80">
        <f t="shared" si="35"/>
        <v>1.8942992874109266</v>
      </c>
      <c r="R29" s="80">
        <f t="shared" si="0"/>
        <v>0.8230403800475059</v>
      </c>
      <c r="S29" s="80">
        <f t="shared" si="1"/>
        <v>0.76484560570071258</v>
      </c>
      <c r="T29" s="80">
        <f t="shared" si="36"/>
        <v>12.07377049180328</v>
      </c>
      <c r="U29" s="78">
        <v>0.311</v>
      </c>
      <c r="V29" s="78">
        <f t="shared" si="37"/>
        <v>12.617363344051448</v>
      </c>
      <c r="W29" s="78">
        <v>0.622</v>
      </c>
      <c r="X29" s="78">
        <v>0.13300000000000001</v>
      </c>
      <c r="Y29" s="79" t="s">
        <v>75</v>
      </c>
      <c r="Z29" s="78">
        <v>0.4</v>
      </c>
      <c r="AA29" s="78">
        <v>0.55800000000000005</v>
      </c>
      <c r="AB29" s="78">
        <f t="shared" si="43"/>
        <v>0.27219512195121959</v>
      </c>
      <c r="AC29" s="78">
        <v>1.198</v>
      </c>
      <c r="AD29" s="78">
        <f t="shared" si="44"/>
        <v>0.5843902439024391</v>
      </c>
      <c r="AE29" s="78">
        <v>9.8000000000000004E-2</v>
      </c>
      <c r="AF29" s="78">
        <f t="shared" si="38"/>
        <v>0.11638954869358671</v>
      </c>
      <c r="AG29" s="78">
        <f>AE:AE/P:P</f>
        <v>6.1442006269592474E-2</v>
      </c>
      <c r="AH29" s="78">
        <f>AE29/N29</f>
        <v>0.80327868852459017</v>
      </c>
      <c r="AI29" s="78">
        <v>9.8000000000000004E-2</v>
      </c>
      <c r="AJ29" s="78">
        <v>5.8000000000000003E-2</v>
      </c>
      <c r="AK29" s="78">
        <f t="shared" si="40"/>
        <v>1.6896551724137931</v>
      </c>
      <c r="AL29" s="78">
        <f t="shared" ref="AL29:AL30" si="59">AI29/AE29</f>
        <v>1</v>
      </c>
      <c r="AM29" s="78">
        <f>AI29/N29</f>
        <v>0.80327868852459017</v>
      </c>
      <c r="AN29" s="78">
        <f t="shared" si="10"/>
        <v>0.11638954869358671</v>
      </c>
      <c r="AO29" s="78">
        <f t="shared" si="4"/>
        <v>0.46445497630331756</v>
      </c>
      <c r="AP29" s="78">
        <v>0.21099999999999999</v>
      </c>
      <c r="AQ29" s="78">
        <v>0.126</v>
      </c>
      <c r="AR29" s="78">
        <f t="shared" si="5"/>
        <v>0.10292682926829269</v>
      </c>
      <c r="AS29" s="78">
        <f t="shared" si="6"/>
        <v>1.6746031746031744</v>
      </c>
      <c r="AT29" s="78">
        <f t="shared" si="7"/>
        <v>0.25059382422802851</v>
      </c>
      <c r="AU29" s="78">
        <v>0.113</v>
      </c>
      <c r="AV29" s="78">
        <v>0.104</v>
      </c>
      <c r="AW29" s="78">
        <f t="shared" si="8"/>
        <v>1.0865384615384617</v>
      </c>
      <c r="AX29" s="80">
        <f t="shared" si="9"/>
        <v>1.8672566371681414</v>
      </c>
      <c r="AY29" s="137">
        <v>5</v>
      </c>
      <c r="AZ29" s="137">
        <v>6</v>
      </c>
      <c r="BA29" s="137">
        <v>10</v>
      </c>
      <c r="BB29" s="137">
        <v>8</v>
      </c>
      <c r="BC29" s="145">
        <v>8</v>
      </c>
    </row>
    <row r="30" spans="2:55" x14ac:dyDescent="0.2">
      <c r="B30" s="75"/>
      <c r="C30" s="76"/>
      <c r="D30" s="77"/>
      <c r="E30" s="77"/>
      <c r="F30" s="78">
        <v>2.0499999999999998</v>
      </c>
      <c r="G30" s="80">
        <f t="shared" si="33"/>
        <v>3.8980000000000001</v>
      </c>
      <c r="H30" s="80">
        <f t="shared" si="34"/>
        <v>1.9014634146341465</v>
      </c>
      <c r="I30" s="78">
        <v>0.1</v>
      </c>
      <c r="J30" s="78">
        <v>0.05</v>
      </c>
      <c r="K30" s="78">
        <v>0.84899999999999998</v>
      </c>
      <c r="L30" s="78">
        <v>0.63800000000000001</v>
      </c>
      <c r="M30" s="78">
        <v>0.69699999999999995</v>
      </c>
      <c r="N30" s="78">
        <v>0.104</v>
      </c>
      <c r="O30" s="78">
        <f>0.774+0.368+0.318</f>
        <v>1.46</v>
      </c>
      <c r="P30" s="78">
        <f>N:N+O:O</f>
        <v>1.5640000000000001</v>
      </c>
      <c r="Q30" s="80">
        <f t="shared" si="35"/>
        <v>1.8421672555948176</v>
      </c>
      <c r="R30" s="80">
        <f t="shared" si="0"/>
        <v>0.82096584216725554</v>
      </c>
      <c r="S30" s="80">
        <f t="shared" si="1"/>
        <v>0.75147232037691403</v>
      </c>
      <c r="T30" s="80">
        <f t="shared" si="36"/>
        <v>14.038461538461538</v>
      </c>
      <c r="U30" s="78">
        <v>0.311</v>
      </c>
      <c r="V30" s="78">
        <f t="shared" si="37"/>
        <v>12.533762057877814</v>
      </c>
      <c r="W30" s="78">
        <v>0.56799999999999995</v>
      </c>
      <c r="X30" s="78">
        <v>0.13300000000000001</v>
      </c>
      <c r="Y30" s="79" t="s">
        <v>75</v>
      </c>
      <c r="Z30" s="78">
        <v>0.40400000000000003</v>
      </c>
      <c r="AA30" s="78">
        <v>0.55400000000000005</v>
      </c>
      <c r="AB30" s="78">
        <f t="shared" si="43"/>
        <v>0.27024390243902446</v>
      </c>
      <c r="AC30" s="78">
        <v>1.1439999999999999</v>
      </c>
      <c r="AD30" s="78">
        <f t="shared" si="44"/>
        <v>0.55804878048780493</v>
      </c>
      <c r="AE30" s="78">
        <v>0.104</v>
      </c>
      <c r="AF30" s="78">
        <f t="shared" si="38"/>
        <v>0.12249705535924617</v>
      </c>
      <c r="AG30" s="78">
        <f>AE:AE/P:P</f>
        <v>6.6496163682864443E-2</v>
      </c>
      <c r="AH30" s="78">
        <f>AE30/N30</f>
        <v>1</v>
      </c>
      <c r="AI30" s="78">
        <v>9.8000000000000004E-2</v>
      </c>
      <c r="AJ30" s="78">
        <v>5.8000000000000003E-2</v>
      </c>
      <c r="AK30" s="78">
        <f t="shared" ref="AK30" si="60">AI30/AJ30</f>
        <v>1.6896551724137931</v>
      </c>
      <c r="AL30" s="78">
        <f t="shared" si="59"/>
        <v>0.9423076923076924</v>
      </c>
      <c r="AM30" s="78">
        <f>AI30/N30</f>
        <v>0.9423076923076924</v>
      </c>
      <c r="AN30" s="78">
        <f t="shared" si="10"/>
        <v>0.11542991755005889</v>
      </c>
      <c r="AO30" s="79" t="s">
        <v>75</v>
      </c>
      <c r="AP30" s="78">
        <v>0.20799999999999999</v>
      </c>
      <c r="AQ30" s="78">
        <v>0.128</v>
      </c>
      <c r="AR30" s="78">
        <f t="shared" si="5"/>
        <v>0.10146341463414635</v>
      </c>
      <c r="AS30" s="78">
        <f t="shared" si="6"/>
        <v>1.625</v>
      </c>
      <c r="AT30" s="78">
        <f t="shared" si="7"/>
        <v>0.24499411071849234</v>
      </c>
      <c r="AU30" s="78">
        <v>0.113</v>
      </c>
      <c r="AV30" s="78">
        <v>0.104</v>
      </c>
      <c r="AW30" s="78">
        <f t="shared" ref="AW30" si="61">AU30/AV30</f>
        <v>1.0865384615384617</v>
      </c>
      <c r="AX30" s="80">
        <f t="shared" ref="AX30" si="62">AP30/AU30</f>
        <v>1.8407079646017697</v>
      </c>
      <c r="AY30" s="135" t="s">
        <v>75</v>
      </c>
      <c r="AZ30" s="137">
        <v>8</v>
      </c>
      <c r="BA30" s="135" t="s">
        <v>75</v>
      </c>
      <c r="BB30" s="135" t="s">
        <v>75</v>
      </c>
      <c r="BC30" s="242" t="s">
        <v>75</v>
      </c>
    </row>
    <row r="31" spans="2:55" x14ac:dyDescent="0.2">
      <c r="B31" s="160">
        <v>22123</v>
      </c>
      <c r="C31" s="70" t="s">
        <v>285</v>
      </c>
      <c r="D31" s="71" t="s">
        <v>30</v>
      </c>
      <c r="E31" s="71" t="s">
        <v>291</v>
      </c>
      <c r="F31" s="72">
        <v>2.1709999999999998</v>
      </c>
      <c r="G31" s="82">
        <f t="shared" si="33"/>
        <v>4.1950000000000003</v>
      </c>
      <c r="H31" s="82">
        <f t="shared" si="34"/>
        <v>1.9322892676186092</v>
      </c>
      <c r="I31" s="72">
        <v>0.113</v>
      </c>
      <c r="J31" s="72">
        <v>0.06</v>
      </c>
      <c r="K31" s="72">
        <v>0.89100000000000001</v>
      </c>
      <c r="L31" s="72">
        <v>0.72299999999999998</v>
      </c>
      <c r="M31" s="72">
        <v>0.72599999999999998</v>
      </c>
      <c r="N31" s="72">
        <v>0.125</v>
      </c>
      <c r="O31" s="72">
        <f>0.496+1.061</f>
        <v>1.5569999999999999</v>
      </c>
      <c r="P31" s="72">
        <f>N:N+O:O</f>
        <v>1.6819999999999999</v>
      </c>
      <c r="Q31" s="82">
        <f t="shared" si="35"/>
        <v>1.8877665544332209</v>
      </c>
      <c r="R31" s="82">
        <f t="shared" si="0"/>
        <v>0.81481481481481477</v>
      </c>
      <c r="S31" s="82">
        <f t="shared" si="1"/>
        <v>0.81144781144781142</v>
      </c>
      <c r="T31" s="82">
        <f t="shared" si="36"/>
        <v>12.456</v>
      </c>
      <c r="U31" s="72">
        <v>0.315</v>
      </c>
      <c r="V31" s="72">
        <f t="shared" si="37"/>
        <v>13.317460317460318</v>
      </c>
      <c r="W31" s="72">
        <v>0.65400000000000003</v>
      </c>
      <c r="X31" s="72">
        <v>0.14399999999999999</v>
      </c>
      <c r="Y31" s="73" t="s">
        <v>75</v>
      </c>
      <c r="Z31" s="72">
        <v>0.41499999999999998</v>
      </c>
      <c r="AA31" s="72">
        <v>0.58399999999999996</v>
      </c>
      <c r="AB31" s="72">
        <f t="shared" si="43"/>
        <v>0.2690004606172271</v>
      </c>
      <c r="AC31" s="72">
        <v>1.2589999999999999</v>
      </c>
      <c r="AD31" s="72">
        <f t="shared" si="44"/>
        <v>0.57991708889912486</v>
      </c>
      <c r="AE31" s="72">
        <v>0.11</v>
      </c>
      <c r="AF31" s="72">
        <f t="shared" si="38"/>
        <v>0.12345679012345678</v>
      </c>
      <c r="AG31" s="72">
        <f>AE:AE/P:P</f>
        <v>6.5398335315101072E-2</v>
      </c>
      <c r="AH31" s="72">
        <f>AE31/N31</f>
        <v>0.88</v>
      </c>
      <c r="AI31" s="72">
        <v>9.8000000000000004E-2</v>
      </c>
      <c r="AJ31" s="72">
        <v>6.0999999999999999E-2</v>
      </c>
      <c r="AK31" s="72">
        <f t="shared" si="40"/>
        <v>1.6065573770491803</v>
      </c>
      <c r="AL31" s="72">
        <f>AI31/AE31</f>
        <v>0.89090909090909098</v>
      </c>
      <c r="AM31" s="72">
        <f>AI31/N31</f>
        <v>0.78400000000000003</v>
      </c>
      <c r="AN31" s="72">
        <f t="shared" si="10"/>
        <v>0.10998877665544332</v>
      </c>
      <c r="AO31" s="72">
        <f t="shared" si="4"/>
        <v>0.5</v>
      </c>
      <c r="AP31" s="72">
        <v>0.19600000000000001</v>
      </c>
      <c r="AQ31" s="72">
        <v>0.105</v>
      </c>
      <c r="AR31" s="72">
        <f t="shared" si="5"/>
        <v>9.0280976508521432E-2</v>
      </c>
      <c r="AS31" s="72">
        <f t="shared" si="6"/>
        <v>1.8666666666666669</v>
      </c>
      <c r="AT31" s="72">
        <f t="shared" si="7"/>
        <v>0.21997755331088664</v>
      </c>
      <c r="AU31" s="72">
        <v>0.104</v>
      </c>
      <c r="AV31" s="72">
        <v>0.13400000000000001</v>
      </c>
      <c r="AW31" s="72">
        <f t="shared" si="8"/>
        <v>0.77611940298507454</v>
      </c>
      <c r="AX31" s="82">
        <f t="shared" si="9"/>
        <v>1.8846153846153848</v>
      </c>
      <c r="AY31" s="136">
        <v>5</v>
      </c>
      <c r="AZ31" s="136">
        <v>7</v>
      </c>
      <c r="BA31" s="134" t="s">
        <v>75</v>
      </c>
      <c r="BB31" s="136">
        <v>7</v>
      </c>
      <c r="BC31" s="143">
        <v>6</v>
      </c>
    </row>
    <row r="32" spans="2:55" x14ac:dyDescent="0.2">
      <c r="B32" s="119"/>
      <c r="C32" s="203"/>
      <c r="D32" s="203"/>
      <c r="E32" s="203"/>
      <c r="F32" s="121">
        <v>2.1709999999999998</v>
      </c>
      <c r="G32" s="122">
        <f t="shared" si="33"/>
        <v>4.17</v>
      </c>
      <c r="H32" s="122">
        <f t="shared" si="34"/>
        <v>1.9207738369415017</v>
      </c>
      <c r="I32" s="121">
        <v>0.11600000000000001</v>
      </c>
      <c r="J32" s="121">
        <v>0.05</v>
      </c>
      <c r="K32" s="121">
        <v>0.89300000000000002</v>
      </c>
      <c r="L32" s="121">
        <v>0.72699999999999998</v>
      </c>
      <c r="M32" s="121">
        <v>0.70899999999999996</v>
      </c>
      <c r="N32" s="121">
        <v>0.128</v>
      </c>
      <c r="O32" s="121">
        <v>1.5469999999999999</v>
      </c>
      <c r="P32" s="121">
        <f>N:N+O:O</f>
        <v>1.6749999999999998</v>
      </c>
      <c r="Q32" s="122">
        <f t="shared" si="35"/>
        <v>1.875699888017917</v>
      </c>
      <c r="R32" s="122">
        <f t="shared" si="0"/>
        <v>0.79395296752519595</v>
      </c>
      <c r="S32" s="122">
        <f t="shared" si="1"/>
        <v>0.81410974244120937</v>
      </c>
      <c r="T32" s="122">
        <f t="shared" si="36"/>
        <v>12.0859375</v>
      </c>
      <c r="U32" s="121">
        <v>0.315</v>
      </c>
      <c r="V32" s="121">
        <f t="shared" si="37"/>
        <v>13.238095238095237</v>
      </c>
      <c r="W32" s="121">
        <v>0.64700000000000002</v>
      </c>
      <c r="X32" s="121">
        <v>0.13200000000000001</v>
      </c>
      <c r="Y32" s="228" t="s">
        <v>75</v>
      </c>
      <c r="Z32" s="121">
        <v>0.42799999999999999</v>
      </c>
      <c r="AA32" s="121">
        <v>0.59099999999999997</v>
      </c>
      <c r="AB32" s="121">
        <f t="shared" si="43"/>
        <v>0.27222478120681715</v>
      </c>
      <c r="AC32" s="121">
        <v>1.226</v>
      </c>
      <c r="AD32" s="121">
        <f t="shared" si="44"/>
        <v>0.56471672040534315</v>
      </c>
      <c r="AE32" s="121">
        <v>0.114</v>
      </c>
      <c r="AF32" s="121">
        <f t="shared" si="38"/>
        <v>0.1276595744680851</v>
      </c>
      <c r="AG32" s="121">
        <f>AE:AE/P:P</f>
        <v>6.8059701492537317E-2</v>
      </c>
      <c r="AH32" s="121">
        <f>AE32/N32</f>
        <v>0.890625</v>
      </c>
      <c r="AI32" s="121">
        <v>9.8000000000000004E-2</v>
      </c>
      <c r="AJ32" s="121">
        <v>6.0999999999999999E-2</v>
      </c>
      <c r="AK32" s="121">
        <f t="shared" ref="AK32" si="63">AI32/AJ32</f>
        <v>1.6065573770491803</v>
      </c>
      <c r="AL32" s="121">
        <f>AI32/AE32</f>
        <v>0.85964912280701755</v>
      </c>
      <c r="AM32" s="121">
        <f>AI32/N32</f>
        <v>0.765625</v>
      </c>
      <c r="AN32" s="121">
        <f t="shared" si="10"/>
        <v>0.1097424412094065</v>
      </c>
      <c r="AO32" s="228" t="s">
        <v>75</v>
      </c>
      <c r="AP32" s="121">
        <v>0.21</v>
      </c>
      <c r="AQ32" s="121">
        <v>0.13800000000000001</v>
      </c>
      <c r="AR32" s="121">
        <f t="shared" si="5"/>
        <v>9.6729617687701525E-2</v>
      </c>
      <c r="AS32" s="121">
        <f t="shared" si="6"/>
        <v>1.5217391304347825</v>
      </c>
      <c r="AT32" s="121">
        <f t="shared" si="7"/>
        <v>0.23516237402015677</v>
      </c>
      <c r="AU32" s="121">
        <v>0.104</v>
      </c>
      <c r="AV32" s="121">
        <v>0.13400000000000001</v>
      </c>
      <c r="AW32" s="121">
        <f t="shared" ref="AW32" si="64">AU32/AV32</f>
        <v>0.77611940298507454</v>
      </c>
      <c r="AX32" s="122">
        <f t="shared" ref="AX32" si="65">AP32/AU32</f>
        <v>2.0192307692307692</v>
      </c>
      <c r="AY32" s="249" t="s">
        <v>75</v>
      </c>
      <c r="AZ32" s="144">
        <v>9</v>
      </c>
      <c r="BA32" s="249" t="s">
        <v>75</v>
      </c>
      <c r="BB32" s="249" t="s">
        <v>75</v>
      </c>
      <c r="BC32" s="250" t="s">
        <v>75</v>
      </c>
    </row>
    <row r="33" spans="2:55" x14ac:dyDescent="0.2">
      <c r="B33" s="1"/>
      <c r="E33" s="2" t="s">
        <v>25</v>
      </c>
      <c r="F33" s="8">
        <f t="shared" ref="F33:AK33" si="66">MIN(F3:F32)</f>
        <v>1.579</v>
      </c>
      <c r="G33" s="8">
        <f t="shared" si="66"/>
        <v>3.6520000000000001</v>
      </c>
      <c r="H33" s="8">
        <f t="shared" si="66"/>
        <v>1.6120833333333333</v>
      </c>
      <c r="I33" s="8">
        <f t="shared" si="66"/>
        <v>0.08</v>
      </c>
      <c r="J33" s="8">
        <f t="shared" si="66"/>
        <v>4.4999999999999998E-2</v>
      </c>
      <c r="K33" s="8">
        <f t="shared" si="66"/>
        <v>0.8</v>
      </c>
      <c r="L33" s="8">
        <f t="shared" si="66"/>
        <v>0.57499999999999996</v>
      </c>
      <c r="M33" s="8">
        <f t="shared" si="66"/>
        <v>0.58199999999999996</v>
      </c>
      <c r="N33" s="8">
        <f t="shared" si="66"/>
        <v>0.104</v>
      </c>
      <c r="O33" s="8">
        <f t="shared" si="66"/>
        <v>1.0409999999999999</v>
      </c>
      <c r="P33" s="8">
        <f t="shared" si="66"/>
        <v>1.161</v>
      </c>
      <c r="Q33" s="8">
        <f t="shared" si="66"/>
        <v>1.2730263157894737</v>
      </c>
      <c r="R33" s="8">
        <f t="shared" si="66"/>
        <v>0.65239551478083591</v>
      </c>
      <c r="S33" s="8">
        <f t="shared" si="66"/>
        <v>0.68507638072855459</v>
      </c>
      <c r="T33" s="8">
        <f t="shared" si="66"/>
        <v>8.6749999999999989</v>
      </c>
      <c r="U33" s="8">
        <f t="shared" si="66"/>
        <v>0.28599999999999998</v>
      </c>
      <c r="V33" s="8">
        <f t="shared" si="66"/>
        <v>11.556962025316457</v>
      </c>
      <c r="W33" s="8">
        <f t="shared" si="66"/>
        <v>0.53100000000000003</v>
      </c>
      <c r="X33" s="8">
        <f t="shared" si="66"/>
        <v>0.111</v>
      </c>
      <c r="Y33" s="8">
        <f t="shared" si="66"/>
        <v>4.181102362204725</v>
      </c>
      <c r="Z33" s="8">
        <f t="shared" si="66"/>
        <v>0.34399999999999997</v>
      </c>
      <c r="AA33" s="8">
        <f t="shared" si="66"/>
        <v>0.45800000000000002</v>
      </c>
      <c r="AB33" s="8">
        <f t="shared" si="66"/>
        <v>0.26200204290091933</v>
      </c>
      <c r="AC33" s="8">
        <f t="shared" si="66"/>
        <v>1.03</v>
      </c>
      <c r="AD33" s="8">
        <f t="shared" si="66"/>
        <v>0.55708333333333337</v>
      </c>
      <c r="AE33" s="8">
        <f t="shared" si="66"/>
        <v>9.5000000000000001E-2</v>
      </c>
      <c r="AF33" s="8">
        <f t="shared" si="66"/>
        <v>0.10179076343072574</v>
      </c>
      <c r="AG33" s="8">
        <f t="shared" si="66"/>
        <v>6.0415355569540592E-2</v>
      </c>
      <c r="AH33" s="8">
        <f t="shared" si="66"/>
        <v>0.80327868852459017</v>
      </c>
      <c r="AI33" s="8">
        <f t="shared" si="66"/>
        <v>0.09</v>
      </c>
      <c r="AJ33" s="8">
        <f t="shared" si="66"/>
        <v>5.6000000000000001E-2</v>
      </c>
      <c r="AK33" s="8">
        <f t="shared" si="66"/>
        <v>1.2816901408450705</v>
      </c>
      <c r="AL33" s="8">
        <f t="shared" ref="AL33:BC33" si="67">MIN(AL3:AL32)</f>
        <v>0.78448275862068961</v>
      </c>
      <c r="AM33" s="8">
        <f t="shared" si="67"/>
        <v>0.7384615384615385</v>
      </c>
      <c r="AN33" s="8">
        <f t="shared" si="67"/>
        <v>8.8724584103512014E-2</v>
      </c>
      <c r="AO33" s="8">
        <f t="shared" si="67"/>
        <v>0.36462093862815886</v>
      </c>
      <c r="AP33" s="8">
        <f t="shared" si="67"/>
        <v>0.156</v>
      </c>
      <c r="AQ33" s="8">
        <f t="shared" si="67"/>
        <v>0.1</v>
      </c>
      <c r="AR33" s="8">
        <f t="shared" si="67"/>
        <v>8.6365841824357109E-2</v>
      </c>
      <c r="AS33" s="8">
        <f t="shared" si="67"/>
        <v>1.2702702702702704</v>
      </c>
      <c r="AT33" s="8">
        <f t="shared" si="67"/>
        <v>0.1937888198757764</v>
      </c>
      <c r="AU33" s="8">
        <f t="shared" si="67"/>
        <v>8.2000000000000003E-2</v>
      </c>
      <c r="AV33" s="8">
        <f t="shared" si="67"/>
        <v>9.5000000000000001E-2</v>
      </c>
      <c r="AW33" s="8">
        <f t="shared" si="67"/>
        <v>0.56551724137931036</v>
      </c>
      <c r="AX33" s="8">
        <f t="shared" si="67"/>
        <v>1.4135338345864661</v>
      </c>
      <c r="AY33" s="9">
        <f t="shared" si="67"/>
        <v>4</v>
      </c>
      <c r="AZ33" s="9">
        <f t="shared" si="67"/>
        <v>6</v>
      </c>
      <c r="BA33" s="9">
        <f t="shared" si="67"/>
        <v>5</v>
      </c>
      <c r="BB33" s="9">
        <f t="shared" si="67"/>
        <v>6</v>
      </c>
      <c r="BC33" s="9">
        <f t="shared" si="67"/>
        <v>5</v>
      </c>
    </row>
    <row r="34" spans="2:55" x14ac:dyDescent="0.2">
      <c r="B34" s="1"/>
      <c r="E34" s="2" t="s">
        <v>26</v>
      </c>
      <c r="F34" s="8">
        <f>MAX(F3:F33)</f>
        <v>2.4</v>
      </c>
      <c r="G34" s="8">
        <f t="shared" ref="G34:BC34" si="68">MAX(G3:G33)</f>
        <v>4.5709999999999997</v>
      </c>
      <c r="H34" s="8">
        <f t="shared" si="68"/>
        <v>2.3964534515516149</v>
      </c>
      <c r="I34" s="8">
        <f t="shared" si="68"/>
        <v>0.128</v>
      </c>
      <c r="J34" s="8">
        <f t="shared" si="68"/>
        <v>0.06</v>
      </c>
      <c r="K34" s="8">
        <f t="shared" si="68"/>
        <v>1.0820000000000001</v>
      </c>
      <c r="L34" s="8">
        <f t="shared" si="68"/>
        <v>0.88500000000000001</v>
      </c>
      <c r="M34" s="8">
        <f t="shared" si="68"/>
        <v>0.85299999999999998</v>
      </c>
      <c r="N34" s="8">
        <f t="shared" si="68"/>
        <v>0.13500000000000001</v>
      </c>
      <c r="O34" s="8">
        <f t="shared" si="68"/>
        <v>1.5569999999999999</v>
      </c>
      <c r="P34" s="8">
        <f t="shared" si="68"/>
        <v>1.6819999999999999</v>
      </c>
      <c r="Q34" s="8">
        <f t="shared" si="68"/>
        <v>1.9739130434782608</v>
      </c>
      <c r="R34" s="8">
        <f t="shared" si="68"/>
        <v>0.82529474812433012</v>
      </c>
      <c r="S34" s="8">
        <f t="shared" si="68"/>
        <v>0.87869520897043829</v>
      </c>
      <c r="T34" s="8">
        <f t="shared" si="68"/>
        <v>14.038461538461538</v>
      </c>
      <c r="U34" s="8">
        <f t="shared" si="68"/>
        <v>0.33400000000000002</v>
      </c>
      <c r="V34" s="8">
        <f>MAX(V3:V33)</f>
        <v>13.935975609756095</v>
      </c>
      <c r="W34" s="8">
        <f t="shared" si="68"/>
        <v>0.78500000000000003</v>
      </c>
      <c r="X34" s="8">
        <f t="shared" si="68"/>
        <v>0.15</v>
      </c>
      <c r="Y34" s="8">
        <f t="shared" si="68"/>
        <v>5.6725663716814161</v>
      </c>
      <c r="Z34" s="8">
        <f t="shared" si="68"/>
        <v>0.52</v>
      </c>
      <c r="AA34" s="8">
        <f t="shared" si="68"/>
        <v>0.69899999999999995</v>
      </c>
      <c r="AB34" s="8">
        <f t="shared" si="68"/>
        <v>0.32804232804232814</v>
      </c>
      <c r="AC34" s="8">
        <f t="shared" si="68"/>
        <v>1.508</v>
      </c>
      <c r="AD34" s="8">
        <f t="shared" si="68"/>
        <v>0.66567695961995244</v>
      </c>
      <c r="AE34" s="8">
        <f t="shared" si="68"/>
        <v>0.123</v>
      </c>
      <c r="AF34" s="8">
        <f t="shared" si="68"/>
        <v>0.1433778857837181</v>
      </c>
      <c r="AG34" s="8">
        <f t="shared" si="68"/>
        <v>9.3111279333838004E-2</v>
      </c>
      <c r="AH34" s="8">
        <f t="shared" si="68"/>
        <v>1.0642201834862386</v>
      </c>
      <c r="AI34" s="8">
        <f t="shared" si="68"/>
        <v>0.106</v>
      </c>
      <c r="AJ34" s="8">
        <f t="shared" si="68"/>
        <v>7.4999999999999997E-2</v>
      </c>
      <c r="AK34" s="8">
        <f t="shared" si="68"/>
        <v>1.7142857142857142</v>
      </c>
      <c r="AL34" s="8">
        <f t="shared" si="68"/>
        <v>1</v>
      </c>
      <c r="AM34" s="8">
        <f t="shared" si="68"/>
        <v>0.9423076923076924</v>
      </c>
      <c r="AN34" s="8">
        <f t="shared" si="68"/>
        <v>0.12879708383961119</v>
      </c>
      <c r="AO34" s="8">
        <f t="shared" si="68"/>
        <v>0.61538461538461542</v>
      </c>
      <c r="AP34" s="8">
        <f t="shared" si="68"/>
        <v>0.27700000000000002</v>
      </c>
      <c r="AQ34" s="8">
        <f t="shared" si="68"/>
        <v>0.16</v>
      </c>
      <c r="AR34" s="8">
        <f t="shared" si="68"/>
        <v>0.11935866983372921</v>
      </c>
      <c r="AS34" s="8">
        <f t="shared" si="68"/>
        <v>2.0763358778625953</v>
      </c>
      <c r="AT34" s="8">
        <f t="shared" si="68"/>
        <v>0.26107445805843549</v>
      </c>
      <c r="AU34" s="8">
        <f t="shared" si="68"/>
        <v>0.14199999999999999</v>
      </c>
      <c r="AV34" s="8">
        <f t="shared" si="68"/>
        <v>0.16500000000000001</v>
      </c>
      <c r="AW34" s="8">
        <f t="shared" si="68"/>
        <v>1.3571428571428572</v>
      </c>
      <c r="AX34" s="8">
        <f>MAX(AX3:AX33)</f>
        <v>2.349514563106796</v>
      </c>
      <c r="AY34" s="9">
        <f t="shared" si="68"/>
        <v>5</v>
      </c>
      <c r="AZ34" s="9">
        <f t="shared" si="68"/>
        <v>10</v>
      </c>
      <c r="BA34" s="9">
        <f t="shared" si="68"/>
        <v>12</v>
      </c>
      <c r="BB34" s="9">
        <f t="shared" si="68"/>
        <v>8</v>
      </c>
      <c r="BC34" s="9">
        <f t="shared" si="68"/>
        <v>10</v>
      </c>
    </row>
    <row r="38" spans="2:55" x14ac:dyDescent="0.2">
      <c r="C38" s="176"/>
      <c r="D38" s="176"/>
      <c r="E38" s="176"/>
    </row>
    <row r="40" spans="2:55" x14ac:dyDescent="0.2">
      <c r="C40" s="177"/>
      <c r="D40" s="177"/>
      <c r="E40" s="177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BC30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2" width="18.7109375" style="46" customWidth="1"/>
    <col min="3" max="4" width="18.7109375" style="1" customWidth="1"/>
    <col min="5" max="5" width="36.7109375" style="1" customWidth="1"/>
    <col min="6" max="52" width="8.7109375" style="1" customWidth="1"/>
    <col min="53" max="55" width="10.7109375" style="1" customWidth="1"/>
    <col min="56" max="16384" width="9.140625" style="1"/>
  </cols>
  <sheetData>
    <row r="1" spans="2:55" ht="12" customHeight="1" x14ac:dyDescent="0.2">
      <c r="AN1" s="96"/>
    </row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">
      <c r="B3" s="61">
        <v>20708</v>
      </c>
      <c r="C3" s="62" t="s">
        <v>283</v>
      </c>
      <c r="D3" s="63" t="s">
        <v>279</v>
      </c>
      <c r="E3" s="63" t="s">
        <v>212</v>
      </c>
      <c r="F3" s="65">
        <v>2.35</v>
      </c>
      <c r="G3" s="146" t="s">
        <v>75</v>
      </c>
      <c r="H3" s="146" t="s">
        <v>75</v>
      </c>
      <c r="I3" s="65">
        <v>6.6000000000000003E-2</v>
      </c>
      <c r="J3" s="65">
        <v>5.5E-2</v>
      </c>
      <c r="K3" s="65">
        <v>0.81499999999999995</v>
      </c>
      <c r="L3" s="65">
        <v>0.57999999999999996</v>
      </c>
      <c r="M3" s="65">
        <v>0.53</v>
      </c>
      <c r="N3" s="65">
        <v>0.12</v>
      </c>
      <c r="O3" s="146" t="s">
        <v>75</v>
      </c>
      <c r="P3" s="146" t="s">
        <v>75</v>
      </c>
      <c r="Q3" s="146" t="s">
        <v>75</v>
      </c>
      <c r="R3" s="65">
        <f t="shared" ref="R3:R25" si="0">M3/K3</f>
        <v>0.65030674846625769</v>
      </c>
      <c r="S3" s="65">
        <f t="shared" ref="S3:S25" si="1">L3/K3</f>
        <v>0.71165644171779141</v>
      </c>
      <c r="T3" s="146" t="s">
        <v>75</v>
      </c>
      <c r="U3" s="146" t="s">
        <v>75</v>
      </c>
      <c r="V3" s="146" t="s">
        <v>75</v>
      </c>
      <c r="W3" s="65">
        <v>0.52</v>
      </c>
      <c r="X3" s="65">
        <v>0.14799999999999999</v>
      </c>
      <c r="Y3" s="65">
        <f>W:W/X:X</f>
        <v>3.5135135135135136</v>
      </c>
      <c r="Z3" s="146" t="s">
        <v>75</v>
      </c>
      <c r="AA3" s="65">
        <v>0.55000000000000004</v>
      </c>
      <c r="AB3" s="194">
        <f>AA3/F3</f>
        <v>0.23404255319148937</v>
      </c>
      <c r="AC3" s="65">
        <v>0.98</v>
      </c>
      <c r="AD3" s="194">
        <f>AC3/F3</f>
        <v>0.41702127659574467</v>
      </c>
      <c r="AE3" s="65">
        <v>0.10299999999999999</v>
      </c>
      <c r="AF3" s="65">
        <f>AE3/K3</f>
        <v>0.1263803680981595</v>
      </c>
      <c r="AG3" s="146" t="s">
        <v>75</v>
      </c>
      <c r="AH3" s="194">
        <f>AE3/N3</f>
        <v>0.85833333333333328</v>
      </c>
      <c r="AI3" s="65">
        <v>7.8E-2</v>
      </c>
      <c r="AJ3" s="65">
        <v>5.8999999999999997E-2</v>
      </c>
      <c r="AK3" s="194">
        <f t="shared" ref="AK3:AK23" si="2">AI3/AJ3</f>
        <v>1.3220338983050848</v>
      </c>
      <c r="AL3" s="194">
        <f>AI3/AE3</f>
        <v>0.75728155339805825</v>
      </c>
      <c r="AM3" s="194">
        <f>AI3/N3</f>
        <v>0.65</v>
      </c>
      <c r="AN3" s="194">
        <f>AI3/K3</f>
        <v>9.5705521472392641E-2</v>
      </c>
      <c r="AO3" s="194">
        <f t="shared" ref="AO3:AO23" si="3">AI3/AP3</f>
        <v>0.47560975609756095</v>
      </c>
      <c r="AP3" s="65">
        <v>0.16400000000000001</v>
      </c>
      <c r="AQ3" s="65">
        <v>9.1999999999999998E-2</v>
      </c>
      <c r="AR3" s="194">
        <f>AP3/F3</f>
        <v>6.9787234042553187E-2</v>
      </c>
      <c r="AS3" s="194">
        <f t="shared" ref="AS3:AS25" si="4">AP3/AQ3</f>
        <v>1.7826086956521741</v>
      </c>
      <c r="AT3" s="194">
        <f>AP3/K3</f>
        <v>0.20122699386503071</v>
      </c>
      <c r="AU3" s="65">
        <v>0.13</v>
      </c>
      <c r="AV3" s="146" t="s">
        <v>75</v>
      </c>
      <c r="AW3" s="270" t="s">
        <v>75</v>
      </c>
      <c r="AX3" s="65">
        <f t="shared" ref="AX3:AX24" si="5">AP3/AU3</f>
        <v>1.2615384615384615</v>
      </c>
      <c r="AY3" s="195">
        <v>5</v>
      </c>
      <c r="AZ3" s="195">
        <v>12</v>
      </c>
      <c r="BA3" s="195">
        <v>5</v>
      </c>
      <c r="BB3" s="195">
        <v>10</v>
      </c>
      <c r="BC3" s="196">
        <v>6</v>
      </c>
    </row>
    <row r="4" spans="2:55" ht="12.75" customHeight="1" x14ac:dyDescent="0.2">
      <c r="B4" s="69"/>
      <c r="C4" s="71"/>
      <c r="D4" s="71"/>
      <c r="E4" s="71"/>
      <c r="F4" s="82">
        <v>2.35</v>
      </c>
      <c r="G4" s="110" t="s">
        <v>75</v>
      </c>
      <c r="H4" s="110" t="s">
        <v>75</v>
      </c>
      <c r="I4" s="82">
        <v>6.9000000000000006E-2</v>
      </c>
      <c r="J4" s="82">
        <v>5.1999999999999998E-2</v>
      </c>
      <c r="K4" s="82">
        <v>0.82</v>
      </c>
      <c r="L4" s="82">
        <v>0.57799999999999996</v>
      </c>
      <c r="M4" s="82">
        <v>0.52600000000000002</v>
      </c>
      <c r="N4" s="110" t="s">
        <v>75</v>
      </c>
      <c r="O4" s="110" t="s">
        <v>75</v>
      </c>
      <c r="P4" s="110" t="s">
        <v>75</v>
      </c>
      <c r="Q4" s="110" t="s">
        <v>75</v>
      </c>
      <c r="R4" s="82">
        <f t="shared" si="0"/>
        <v>0.64146341463414636</v>
      </c>
      <c r="S4" s="82">
        <f t="shared" si="1"/>
        <v>0.70487804878048776</v>
      </c>
      <c r="T4" s="110" t="s">
        <v>75</v>
      </c>
      <c r="U4" s="110" t="s">
        <v>75</v>
      </c>
      <c r="V4" s="110" t="s">
        <v>75</v>
      </c>
      <c r="W4" s="82">
        <v>0.59</v>
      </c>
      <c r="X4" s="82">
        <v>0.14399999999999999</v>
      </c>
      <c r="Y4" s="82">
        <f>W:W/X:X</f>
        <v>4.0972222222222223</v>
      </c>
      <c r="Z4" s="110" t="s">
        <v>75</v>
      </c>
      <c r="AA4" s="82">
        <v>0.54</v>
      </c>
      <c r="AB4" s="197">
        <f>AA4/F4</f>
        <v>0.22978723404255319</v>
      </c>
      <c r="AC4" s="82">
        <v>1.02</v>
      </c>
      <c r="AD4" s="197">
        <f>AC4/F4</f>
        <v>0.43404255319148938</v>
      </c>
      <c r="AE4" s="82">
        <v>0.107</v>
      </c>
      <c r="AF4" s="82">
        <f t="shared" ref="AF4:AF25" si="6">AE4/K4</f>
        <v>0.13048780487804879</v>
      </c>
      <c r="AG4" s="110" t="s">
        <v>75</v>
      </c>
      <c r="AH4" s="271" t="s">
        <v>75</v>
      </c>
      <c r="AI4" s="82">
        <v>7.8E-2</v>
      </c>
      <c r="AJ4" s="82">
        <v>5.8999999999999997E-2</v>
      </c>
      <c r="AK4" s="197">
        <f t="shared" si="2"/>
        <v>1.3220338983050848</v>
      </c>
      <c r="AL4" s="197">
        <f>AI4/AE4</f>
        <v>0.7289719626168224</v>
      </c>
      <c r="AM4" s="271" t="s">
        <v>75</v>
      </c>
      <c r="AN4" s="197">
        <f t="shared" ref="AN4:AN23" si="7">AI4/K4</f>
        <v>9.5121951219512196E-2</v>
      </c>
      <c r="AO4" s="197">
        <f t="shared" si="3"/>
        <v>0.42622950819672134</v>
      </c>
      <c r="AP4" s="82">
        <v>0.183</v>
      </c>
      <c r="AQ4" s="82">
        <v>9.0999999999999998E-2</v>
      </c>
      <c r="AR4" s="197">
        <f>AP4/F4</f>
        <v>7.7872340425531913E-2</v>
      </c>
      <c r="AS4" s="197">
        <f t="shared" si="4"/>
        <v>2.0109890109890109</v>
      </c>
      <c r="AT4" s="197">
        <f>AP4/K4</f>
        <v>0.22317073170731708</v>
      </c>
      <c r="AU4" s="82">
        <v>0.13</v>
      </c>
      <c r="AV4" s="110" t="s">
        <v>75</v>
      </c>
      <c r="AW4" s="271" t="s">
        <v>75</v>
      </c>
      <c r="AX4" s="82">
        <f>AP4/AU4</f>
        <v>1.4076923076923076</v>
      </c>
      <c r="AY4" s="139" t="s">
        <v>75</v>
      </c>
      <c r="AZ4" s="139" t="s">
        <v>75</v>
      </c>
      <c r="BA4" s="139" t="s">
        <v>75</v>
      </c>
      <c r="BB4" s="139" t="s">
        <v>75</v>
      </c>
      <c r="BC4" s="272" t="s">
        <v>75</v>
      </c>
    </row>
    <row r="5" spans="2:55" ht="12.75" customHeight="1" x14ac:dyDescent="0.2">
      <c r="B5" s="86">
        <v>20708</v>
      </c>
      <c r="C5" s="76" t="s">
        <v>283</v>
      </c>
      <c r="D5" s="77" t="s">
        <v>279</v>
      </c>
      <c r="E5" s="77" t="s">
        <v>212</v>
      </c>
      <c r="F5" s="80">
        <v>2.1429999999999998</v>
      </c>
      <c r="G5" s="80">
        <f>I5+J5+K5+L5+M5+N5+O5</f>
        <v>2.782</v>
      </c>
      <c r="H5" s="80">
        <f t="shared" ref="H5:H25" si="8">G5/F5</f>
        <v>1.2981801213252451</v>
      </c>
      <c r="I5" s="80">
        <v>9.5000000000000001E-2</v>
      </c>
      <c r="J5" s="80">
        <v>5.6000000000000001E-2</v>
      </c>
      <c r="K5" s="80">
        <v>0.747</v>
      </c>
      <c r="L5" s="80">
        <v>0.54400000000000004</v>
      </c>
      <c r="M5" s="80">
        <v>0.46700000000000003</v>
      </c>
      <c r="N5" s="80">
        <v>0.13300000000000001</v>
      </c>
      <c r="O5" s="80">
        <f>0.441+0.299</f>
        <v>0.74</v>
      </c>
      <c r="P5" s="80">
        <f>MIN(N:N+O:O)</f>
        <v>0.873</v>
      </c>
      <c r="Q5" s="80">
        <f t="shared" ref="Q5:Q25" si="9">(N5+O5)/K5</f>
        <v>1.1686746987951808</v>
      </c>
      <c r="R5" s="80">
        <f t="shared" si="0"/>
        <v>0.62516733601070951</v>
      </c>
      <c r="S5" s="80">
        <f t="shared" si="1"/>
        <v>0.72824631860776445</v>
      </c>
      <c r="T5" s="80">
        <f t="shared" ref="T5:T25" si="10">O5/N5</f>
        <v>5.5639097744360901</v>
      </c>
      <c r="U5" s="80">
        <v>0.32800000000000001</v>
      </c>
      <c r="V5" s="80">
        <f>G5/U5</f>
        <v>8.4817073170731696</v>
      </c>
      <c r="W5" s="114" t="s">
        <v>75</v>
      </c>
      <c r="X5" s="114" t="s">
        <v>75</v>
      </c>
      <c r="Y5" s="114" t="s">
        <v>75</v>
      </c>
      <c r="Z5" s="114" t="s">
        <v>75</v>
      </c>
      <c r="AA5" s="80">
        <v>0.60799999999999998</v>
      </c>
      <c r="AB5" s="187">
        <f>AA5/F5</f>
        <v>0.28371441903873079</v>
      </c>
      <c r="AC5" s="80">
        <v>0.95299999999999996</v>
      </c>
      <c r="AD5" s="187">
        <f>AC5/F5</f>
        <v>0.4447036864209053</v>
      </c>
      <c r="AE5" s="80">
        <v>0.121</v>
      </c>
      <c r="AF5" s="80">
        <f t="shared" si="6"/>
        <v>0.16198125836680052</v>
      </c>
      <c r="AG5" s="80">
        <f>AE:AE/P:P</f>
        <v>0.13860252004581902</v>
      </c>
      <c r="AH5" s="187">
        <f>AE5/N5</f>
        <v>0.90977443609022546</v>
      </c>
      <c r="AI5" s="114" t="s">
        <v>75</v>
      </c>
      <c r="AJ5" s="114" t="s">
        <v>75</v>
      </c>
      <c r="AK5" s="263" t="s">
        <v>75</v>
      </c>
      <c r="AL5" s="263" t="s">
        <v>75</v>
      </c>
      <c r="AM5" s="263" t="s">
        <v>75</v>
      </c>
      <c r="AN5" s="263" t="s">
        <v>75</v>
      </c>
      <c r="AO5" s="263" t="s">
        <v>75</v>
      </c>
      <c r="AP5" s="80">
        <v>0.17499999999999999</v>
      </c>
      <c r="AQ5" s="80">
        <v>9.69E-2</v>
      </c>
      <c r="AR5" s="187">
        <f>AP5/F5</f>
        <v>8.1661222585160995E-2</v>
      </c>
      <c r="AS5" s="187">
        <f t="shared" si="4"/>
        <v>1.805985552115583</v>
      </c>
      <c r="AT5" s="187">
        <f>AP5/K5</f>
        <v>0.23427041499330656</v>
      </c>
      <c r="AU5" s="114" t="s">
        <v>75</v>
      </c>
      <c r="AV5" s="114" t="s">
        <v>75</v>
      </c>
      <c r="AW5" s="263" t="s">
        <v>75</v>
      </c>
      <c r="AX5" s="114" t="s">
        <v>75</v>
      </c>
      <c r="AY5" s="140" t="s">
        <v>75</v>
      </c>
      <c r="AZ5" s="141">
        <v>12</v>
      </c>
      <c r="BA5" s="140" t="s">
        <v>75</v>
      </c>
      <c r="BB5" s="140" t="s">
        <v>75</v>
      </c>
      <c r="BC5" s="264" t="s">
        <v>75</v>
      </c>
    </row>
    <row r="6" spans="2:55" ht="12.75" customHeight="1" x14ac:dyDescent="0.2">
      <c r="B6" s="83">
        <v>20708</v>
      </c>
      <c r="C6" s="70" t="s">
        <v>283</v>
      </c>
      <c r="D6" s="71" t="s">
        <v>280</v>
      </c>
      <c r="E6" s="71" t="s">
        <v>212</v>
      </c>
      <c r="F6" s="82">
        <v>2.2650000000000001</v>
      </c>
      <c r="G6" s="82">
        <f>I6+J6+K6+L6+M6+N6+O6</f>
        <v>2.9860000000000002</v>
      </c>
      <c r="H6" s="82">
        <f t="shared" si="8"/>
        <v>1.3183222958057395</v>
      </c>
      <c r="I6" s="82">
        <v>9.9000000000000005E-2</v>
      </c>
      <c r="J6" s="82">
        <v>6.2E-2</v>
      </c>
      <c r="K6" s="82">
        <v>0.85</v>
      </c>
      <c r="L6" s="82">
        <v>0.61</v>
      </c>
      <c r="M6" s="82">
        <v>0.51</v>
      </c>
      <c r="N6" s="82">
        <v>0.13</v>
      </c>
      <c r="O6" s="82">
        <v>0.72499999999999998</v>
      </c>
      <c r="P6" s="82">
        <f>MIN(N:N+O:O)</f>
        <v>0.85499999999999998</v>
      </c>
      <c r="Q6" s="82">
        <f t="shared" si="9"/>
        <v>1.0058823529411764</v>
      </c>
      <c r="R6" s="82">
        <f t="shared" si="0"/>
        <v>0.6</v>
      </c>
      <c r="S6" s="82">
        <f t="shared" si="1"/>
        <v>0.71764705882352942</v>
      </c>
      <c r="T6" s="82">
        <f t="shared" si="10"/>
        <v>5.5769230769230766</v>
      </c>
      <c r="U6" s="82">
        <v>0.36</v>
      </c>
      <c r="V6" s="82">
        <f t="shared" ref="V6:V25" si="11">G6/U6</f>
        <v>8.2944444444444461</v>
      </c>
      <c r="W6" s="110" t="s">
        <v>75</v>
      </c>
      <c r="X6" s="110" t="s">
        <v>75</v>
      </c>
      <c r="Y6" s="110" t="s">
        <v>75</v>
      </c>
      <c r="Z6" s="110" t="s">
        <v>75</v>
      </c>
      <c r="AA6" s="82">
        <v>0.65</v>
      </c>
      <c r="AB6" s="197">
        <f>AA6/F6</f>
        <v>0.28697571743929357</v>
      </c>
      <c r="AC6" s="82">
        <v>1.04</v>
      </c>
      <c r="AD6" s="197">
        <f>AC6/F6</f>
        <v>0.45916114790286977</v>
      </c>
      <c r="AE6" s="110" t="s">
        <v>75</v>
      </c>
      <c r="AF6" s="110" t="s">
        <v>75</v>
      </c>
      <c r="AG6" s="110" t="s">
        <v>75</v>
      </c>
      <c r="AH6" s="271" t="s">
        <v>75</v>
      </c>
      <c r="AI6" s="110" t="s">
        <v>75</v>
      </c>
      <c r="AJ6" s="110" t="s">
        <v>75</v>
      </c>
      <c r="AK6" s="271" t="s">
        <v>75</v>
      </c>
      <c r="AL6" s="271" t="s">
        <v>75</v>
      </c>
      <c r="AM6" s="271" t="s">
        <v>75</v>
      </c>
      <c r="AN6" s="271" t="s">
        <v>75</v>
      </c>
      <c r="AO6" s="271" t="s">
        <v>75</v>
      </c>
      <c r="AP6" s="82">
        <v>0.17</v>
      </c>
      <c r="AQ6" s="82">
        <v>9.1999999999999998E-2</v>
      </c>
      <c r="AR6" s="197">
        <f>AP6/F6</f>
        <v>7.505518763796909E-2</v>
      </c>
      <c r="AS6" s="197">
        <f t="shared" si="4"/>
        <v>1.847826086956522</v>
      </c>
      <c r="AT6" s="197">
        <f>AP6/K6</f>
        <v>0.2</v>
      </c>
      <c r="AU6" s="110" t="s">
        <v>75</v>
      </c>
      <c r="AV6" s="110" t="s">
        <v>75</v>
      </c>
      <c r="AW6" s="271" t="s">
        <v>75</v>
      </c>
      <c r="AX6" s="110" t="s">
        <v>75</v>
      </c>
      <c r="AY6" s="139" t="s">
        <v>75</v>
      </c>
      <c r="AZ6" s="198">
        <v>10</v>
      </c>
      <c r="BA6" s="139" t="s">
        <v>75</v>
      </c>
      <c r="BB6" s="139" t="s">
        <v>75</v>
      </c>
      <c r="BC6" s="272" t="s">
        <v>75</v>
      </c>
    </row>
    <row r="7" spans="2:55" ht="12.75" customHeight="1" x14ac:dyDescent="0.2">
      <c r="B7" s="69"/>
      <c r="C7" s="71"/>
      <c r="D7" s="71"/>
      <c r="E7" s="71"/>
      <c r="F7" s="82">
        <v>2.2650000000000001</v>
      </c>
      <c r="G7" s="110" t="s">
        <v>75</v>
      </c>
      <c r="H7" s="110" t="s">
        <v>75</v>
      </c>
      <c r="I7" s="82">
        <v>9.1999999999999998E-2</v>
      </c>
      <c r="J7" s="82">
        <v>5.3999999999999999E-2</v>
      </c>
      <c r="K7" s="82">
        <v>0.85</v>
      </c>
      <c r="L7" s="82">
        <v>0.6</v>
      </c>
      <c r="M7" s="82">
        <v>0.52</v>
      </c>
      <c r="N7" s="82">
        <v>0.14599999999999999</v>
      </c>
      <c r="O7" s="110" t="s">
        <v>75</v>
      </c>
      <c r="P7" s="110" t="s">
        <v>75</v>
      </c>
      <c r="Q7" s="110" t="s">
        <v>75</v>
      </c>
      <c r="R7" s="82">
        <f t="shared" si="0"/>
        <v>0.61176470588235299</v>
      </c>
      <c r="S7" s="82">
        <f t="shared" si="1"/>
        <v>0.70588235294117652</v>
      </c>
      <c r="T7" s="110" t="s">
        <v>75</v>
      </c>
      <c r="U7" s="82">
        <v>0.36</v>
      </c>
      <c r="V7" s="110" t="s">
        <v>75</v>
      </c>
      <c r="W7" s="110" t="s">
        <v>75</v>
      </c>
      <c r="X7" s="110" t="s">
        <v>75</v>
      </c>
      <c r="Y7" s="110" t="s">
        <v>75</v>
      </c>
      <c r="Z7" s="110" t="s">
        <v>75</v>
      </c>
      <c r="AA7" s="110" t="s">
        <v>75</v>
      </c>
      <c r="AB7" s="271" t="s">
        <v>75</v>
      </c>
      <c r="AC7" s="110" t="s">
        <v>75</v>
      </c>
      <c r="AD7" s="271" t="s">
        <v>75</v>
      </c>
      <c r="AE7" s="110" t="s">
        <v>75</v>
      </c>
      <c r="AF7" s="110" t="s">
        <v>75</v>
      </c>
      <c r="AG7" s="110" t="s">
        <v>75</v>
      </c>
      <c r="AH7" s="271" t="s">
        <v>75</v>
      </c>
      <c r="AI7" s="110" t="s">
        <v>75</v>
      </c>
      <c r="AJ7" s="110" t="s">
        <v>75</v>
      </c>
      <c r="AK7" s="271" t="s">
        <v>75</v>
      </c>
      <c r="AL7" s="271" t="s">
        <v>75</v>
      </c>
      <c r="AM7" s="271" t="s">
        <v>75</v>
      </c>
      <c r="AN7" s="271" t="s">
        <v>75</v>
      </c>
      <c r="AO7" s="271" t="s">
        <v>75</v>
      </c>
      <c r="AP7" s="110" t="s">
        <v>75</v>
      </c>
      <c r="AQ7" s="110" t="s">
        <v>75</v>
      </c>
      <c r="AR7" s="271" t="s">
        <v>75</v>
      </c>
      <c r="AS7" s="271" t="s">
        <v>75</v>
      </c>
      <c r="AT7" s="271" t="s">
        <v>75</v>
      </c>
      <c r="AU7" s="110" t="s">
        <v>75</v>
      </c>
      <c r="AV7" s="110" t="s">
        <v>75</v>
      </c>
      <c r="AW7" s="271" t="s">
        <v>75</v>
      </c>
      <c r="AX7" s="110" t="s">
        <v>75</v>
      </c>
      <c r="AY7" s="139" t="s">
        <v>75</v>
      </c>
      <c r="AZ7" s="198">
        <v>10</v>
      </c>
      <c r="BA7" s="139" t="s">
        <v>75</v>
      </c>
      <c r="BB7" s="139" t="s">
        <v>75</v>
      </c>
      <c r="BC7" s="272" t="s">
        <v>75</v>
      </c>
    </row>
    <row r="8" spans="2:55" ht="12.75" customHeight="1" x14ac:dyDescent="0.2">
      <c r="B8" s="86">
        <v>20708</v>
      </c>
      <c r="C8" s="76" t="s">
        <v>283</v>
      </c>
      <c r="D8" s="77" t="s">
        <v>280</v>
      </c>
      <c r="E8" s="77" t="s">
        <v>212</v>
      </c>
      <c r="F8" s="80">
        <f>1.82+0.59</f>
        <v>2.41</v>
      </c>
      <c r="G8" s="80">
        <f t="shared" ref="G8:G16" si="12">I8+J8+K8+L8+M8+N8+O8</f>
        <v>2.83</v>
      </c>
      <c r="H8" s="80">
        <f t="shared" si="8"/>
        <v>1.1742738589211619</v>
      </c>
      <c r="I8" s="80">
        <v>8.8999999999999996E-2</v>
      </c>
      <c r="J8" s="80">
        <v>0.06</v>
      </c>
      <c r="K8" s="80">
        <v>0.76</v>
      </c>
      <c r="L8" s="80">
        <v>0.56000000000000005</v>
      </c>
      <c r="M8" s="80">
        <v>0.48</v>
      </c>
      <c r="N8" s="80">
        <v>0.13500000000000001</v>
      </c>
      <c r="O8" s="80">
        <f>0.366+0.38</f>
        <v>0.746</v>
      </c>
      <c r="P8" s="80">
        <f t="shared" ref="P8:P16" si="13">MIN(N:N+O:O)</f>
        <v>0.88100000000000001</v>
      </c>
      <c r="Q8" s="80">
        <f t="shared" si="9"/>
        <v>1.1592105263157895</v>
      </c>
      <c r="R8" s="80">
        <f t="shared" si="0"/>
        <v>0.63157894736842102</v>
      </c>
      <c r="S8" s="80">
        <f t="shared" si="1"/>
        <v>0.73684210526315796</v>
      </c>
      <c r="T8" s="80">
        <f t="shared" si="10"/>
        <v>5.5259259259259252</v>
      </c>
      <c r="U8" s="114" t="s">
        <v>75</v>
      </c>
      <c r="V8" s="114" t="s">
        <v>75</v>
      </c>
      <c r="W8" s="114" t="s">
        <v>75</v>
      </c>
      <c r="X8" s="114" t="s">
        <v>75</v>
      </c>
      <c r="Y8" s="114" t="s">
        <v>75</v>
      </c>
      <c r="Z8" s="114" t="s">
        <v>75</v>
      </c>
      <c r="AA8" s="80">
        <v>0.64</v>
      </c>
      <c r="AB8" s="187">
        <f>AA8/F8</f>
        <v>0.26556016597510373</v>
      </c>
      <c r="AC8" s="80">
        <v>1.0229999999999999</v>
      </c>
      <c r="AD8" s="187">
        <f>AC8/F8</f>
        <v>0.42448132780082981</v>
      </c>
      <c r="AE8" s="80">
        <v>0.12</v>
      </c>
      <c r="AF8" s="80">
        <f t="shared" si="6"/>
        <v>0.15789473684210525</v>
      </c>
      <c r="AG8" s="80">
        <f>AE:AE/P:P</f>
        <v>0.1362088535754824</v>
      </c>
      <c r="AH8" s="187">
        <f>AE8/N8</f>
        <v>0.88888888888888884</v>
      </c>
      <c r="AI8" s="80">
        <v>0.08</v>
      </c>
      <c r="AJ8" s="114" t="s">
        <v>75</v>
      </c>
      <c r="AK8" s="263" t="s">
        <v>75</v>
      </c>
      <c r="AL8" s="187">
        <f>AI8/AE8</f>
        <v>0.66666666666666674</v>
      </c>
      <c r="AM8" s="187">
        <f t="shared" ref="AM8:AM13" si="14">AI8/N8</f>
        <v>0.59259259259259256</v>
      </c>
      <c r="AN8" s="187">
        <f t="shared" si="7"/>
        <v>0.10526315789473684</v>
      </c>
      <c r="AO8" s="187">
        <f t="shared" si="3"/>
        <v>0.42105263157894735</v>
      </c>
      <c r="AP8" s="80">
        <v>0.19</v>
      </c>
      <c r="AQ8" s="80">
        <v>0.1</v>
      </c>
      <c r="AR8" s="187">
        <f>AP8/F8</f>
        <v>7.8838174273858919E-2</v>
      </c>
      <c r="AS8" s="187">
        <f t="shared" si="4"/>
        <v>1.9</v>
      </c>
      <c r="AT8" s="187">
        <f>AP8/K8</f>
        <v>0.25</v>
      </c>
      <c r="AU8" s="114" t="s">
        <v>75</v>
      </c>
      <c r="AV8" s="114" t="s">
        <v>75</v>
      </c>
      <c r="AW8" s="263" t="s">
        <v>75</v>
      </c>
      <c r="AX8" s="114" t="s">
        <v>75</v>
      </c>
      <c r="AY8" s="140" t="s">
        <v>75</v>
      </c>
      <c r="AZ8" s="141">
        <v>8</v>
      </c>
      <c r="BA8" s="141">
        <v>5</v>
      </c>
      <c r="BB8" s="140" t="s">
        <v>75</v>
      </c>
      <c r="BC8" s="264" t="s">
        <v>75</v>
      </c>
    </row>
    <row r="9" spans="2:55" ht="12.75" customHeight="1" x14ac:dyDescent="0.2">
      <c r="B9" s="75"/>
      <c r="C9" s="77"/>
      <c r="D9" s="77"/>
      <c r="E9" s="77"/>
      <c r="F9" s="80">
        <f>1.82+0.59</f>
        <v>2.41</v>
      </c>
      <c r="G9" s="80">
        <f t="shared" si="12"/>
        <v>2.9159999999999999</v>
      </c>
      <c r="H9" s="80">
        <f t="shared" si="8"/>
        <v>1.2099585062240663</v>
      </c>
      <c r="I9" s="80">
        <v>9.7000000000000003E-2</v>
      </c>
      <c r="J9" s="80">
        <v>6.2E-2</v>
      </c>
      <c r="K9" s="80">
        <v>0.80700000000000005</v>
      </c>
      <c r="L9" s="80">
        <v>0.56000000000000005</v>
      </c>
      <c r="M9" s="80">
        <v>0.49</v>
      </c>
      <c r="N9" s="80">
        <v>0.13</v>
      </c>
      <c r="O9" s="80">
        <f>0.25+0.24+0.28</f>
        <v>0.77</v>
      </c>
      <c r="P9" s="80">
        <f t="shared" si="13"/>
        <v>0.9</v>
      </c>
      <c r="Q9" s="80">
        <f t="shared" si="9"/>
        <v>1.1152416356877324</v>
      </c>
      <c r="R9" s="80">
        <f t="shared" si="0"/>
        <v>0.60718711276332094</v>
      </c>
      <c r="S9" s="80">
        <f t="shared" si="1"/>
        <v>0.69392812887236677</v>
      </c>
      <c r="T9" s="80">
        <f t="shared" si="10"/>
        <v>5.9230769230769234</v>
      </c>
      <c r="U9" s="114" t="s">
        <v>75</v>
      </c>
      <c r="V9" s="114" t="s">
        <v>75</v>
      </c>
      <c r="W9" s="114" t="s">
        <v>75</v>
      </c>
      <c r="X9" s="114" t="s">
        <v>75</v>
      </c>
      <c r="Y9" s="114" t="s">
        <v>75</v>
      </c>
      <c r="Z9" s="114" t="s">
        <v>75</v>
      </c>
      <c r="AA9" s="114" t="s">
        <v>75</v>
      </c>
      <c r="AB9" s="263" t="s">
        <v>75</v>
      </c>
      <c r="AC9" s="114" t="s">
        <v>75</v>
      </c>
      <c r="AD9" s="263" t="s">
        <v>75</v>
      </c>
      <c r="AE9" s="114" t="s">
        <v>75</v>
      </c>
      <c r="AF9" s="114" t="s">
        <v>75</v>
      </c>
      <c r="AG9" s="114" t="s">
        <v>75</v>
      </c>
      <c r="AH9" s="263" t="s">
        <v>75</v>
      </c>
      <c r="AI9" s="80">
        <v>0.08</v>
      </c>
      <c r="AJ9" s="114" t="s">
        <v>75</v>
      </c>
      <c r="AK9" s="263" t="s">
        <v>75</v>
      </c>
      <c r="AL9" s="263" t="s">
        <v>75</v>
      </c>
      <c r="AM9" s="187">
        <f t="shared" si="14"/>
        <v>0.61538461538461542</v>
      </c>
      <c r="AN9" s="187">
        <f t="shared" si="7"/>
        <v>9.9132589838909532E-2</v>
      </c>
      <c r="AO9" s="263" t="s">
        <v>75</v>
      </c>
      <c r="AP9" s="114" t="s">
        <v>75</v>
      </c>
      <c r="AQ9" s="114" t="s">
        <v>75</v>
      </c>
      <c r="AR9" s="263" t="s">
        <v>75</v>
      </c>
      <c r="AS9" s="263" t="s">
        <v>75</v>
      </c>
      <c r="AT9" s="263" t="s">
        <v>75</v>
      </c>
      <c r="AU9" s="114" t="s">
        <v>75</v>
      </c>
      <c r="AV9" s="114" t="s">
        <v>75</v>
      </c>
      <c r="AW9" s="263" t="s">
        <v>75</v>
      </c>
      <c r="AX9" s="114" t="s">
        <v>75</v>
      </c>
      <c r="AY9" s="140" t="s">
        <v>75</v>
      </c>
      <c r="AZ9" s="141">
        <v>7</v>
      </c>
      <c r="BA9" s="140" t="s">
        <v>75</v>
      </c>
      <c r="BB9" s="140" t="s">
        <v>75</v>
      </c>
      <c r="BC9" s="264" t="s">
        <v>75</v>
      </c>
    </row>
    <row r="10" spans="2:55" ht="12.75" customHeight="1" x14ac:dyDescent="0.2">
      <c r="B10" s="83">
        <v>20708</v>
      </c>
      <c r="C10" s="70" t="s">
        <v>283</v>
      </c>
      <c r="D10" s="71" t="s">
        <v>280</v>
      </c>
      <c r="E10" s="71" t="s">
        <v>212</v>
      </c>
      <c r="F10" s="197">
        <v>2.0720000000000001</v>
      </c>
      <c r="G10" s="82">
        <f t="shared" si="12"/>
        <v>2.8560000000000003</v>
      </c>
      <c r="H10" s="82">
        <f t="shared" ref="H10:H15" si="15">G10/F10</f>
        <v>1.3783783783783785</v>
      </c>
      <c r="I10" s="197">
        <v>9.6000000000000002E-2</v>
      </c>
      <c r="J10" s="197">
        <v>5.5E-2</v>
      </c>
      <c r="K10" s="197">
        <v>0.81</v>
      </c>
      <c r="L10" s="197">
        <v>0.54400000000000004</v>
      </c>
      <c r="M10" s="197">
        <v>0.47199999999999998</v>
      </c>
      <c r="N10" s="197">
        <v>0.13400000000000001</v>
      </c>
      <c r="O10" s="197">
        <v>0.745</v>
      </c>
      <c r="P10" s="82">
        <f t="shared" si="13"/>
        <v>0.879</v>
      </c>
      <c r="Q10" s="82">
        <f t="shared" ref="Q10:Q15" si="16">(N10+O10)/K10</f>
        <v>1.085185185185185</v>
      </c>
      <c r="R10" s="82">
        <f t="shared" ref="R10:R15" si="17">M10/K10</f>
        <v>0.58271604938271593</v>
      </c>
      <c r="S10" s="82">
        <f t="shared" ref="S10:S15" si="18">L10/K10</f>
        <v>0.67160493827160495</v>
      </c>
      <c r="T10" s="82">
        <f t="shared" ref="T10:T15" si="19">O10/N10</f>
        <v>5.5597014925373127</v>
      </c>
      <c r="U10" s="271" t="s">
        <v>75</v>
      </c>
      <c r="V10" s="110" t="s">
        <v>75</v>
      </c>
      <c r="W10" s="197">
        <v>0.59</v>
      </c>
      <c r="X10" s="197">
        <v>0.14399999999999999</v>
      </c>
      <c r="Y10" s="82">
        <f t="shared" ref="Y10:Y15" si="20">W:W/X:X</f>
        <v>4.0972222222222223</v>
      </c>
      <c r="Z10" s="197">
        <v>0.35</v>
      </c>
      <c r="AA10" s="197">
        <v>0.52400000000000002</v>
      </c>
      <c r="AB10" s="197">
        <f t="shared" ref="AB10:AB16" si="21">AA10/F10</f>
        <v>0.25289575289575289</v>
      </c>
      <c r="AC10" s="197">
        <v>0.97199999999999998</v>
      </c>
      <c r="AD10" s="197">
        <f t="shared" ref="AD10:AD16" si="22">AC10/F10</f>
        <v>0.46911196911196906</v>
      </c>
      <c r="AE10" s="197">
        <v>0.10299999999999999</v>
      </c>
      <c r="AF10" s="82">
        <f t="shared" ref="AF10:AF15" si="23">AE10/K10</f>
        <v>0.12716049382716049</v>
      </c>
      <c r="AG10" s="82">
        <f t="shared" ref="AG10:AG16" si="24">AE:AE/P:P</f>
        <v>0.11717861205915812</v>
      </c>
      <c r="AH10" s="197">
        <f t="shared" ref="AH10:AH16" si="25">AE10/N10</f>
        <v>0.76865671641791034</v>
      </c>
      <c r="AI10" s="197">
        <v>8.1000000000000003E-2</v>
      </c>
      <c r="AJ10" s="197">
        <v>5.8000000000000003E-2</v>
      </c>
      <c r="AK10" s="197">
        <f>AI10/AJ10</f>
        <v>1.396551724137931</v>
      </c>
      <c r="AL10" s="197">
        <f>AI10/AE10</f>
        <v>0.78640776699029136</v>
      </c>
      <c r="AM10" s="197">
        <f t="shared" si="14"/>
        <v>0.60447761194029848</v>
      </c>
      <c r="AN10" s="197">
        <f>AI10/K10</f>
        <v>9.9999999999999992E-2</v>
      </c>
      <c r="AO10" s="197">
        <f>AI10/AP10</f>
        <v>0.45251396648044695</v>
      </c>
      <c r="AP10" s="197">
        <v>0.17899999999999999</v>
      </c>
      <c r="AQ10" s="197">
        <v>0.10199999999999999</v>
      </c>
      <c r="AR10" s="197">
        <f>AP10/F10</f>
        <v>8.6389961389961384E-2</v>
      </c>
      <c r="AS10" s="197">
        <f>AP10/AQ10</f>
        <v>1.7549019607843137</v>
      </c>
      <c r="AT10" s="197">
        <f>AP10/K10</f>
        <v>0.22098765432098763</v>
      </c>
      <c r="AU10" s="271" t="s">
        <v>75</v>
      </c>
      <c r="AV10" s="271" t="s">
        <v>75</v>
      </c>
      <c r="AW10" s="271" t="s">
        <v>75</v>
      </c>
      <c r="AX10" s="110" t="s">
        <v>75</v>
      </c>
      <c r="AY10" s="200">
        <v>4</v>
      </c>
      <c r="AZ10" s="200">
        <v>11</v>
      </c>
      <c r="BA10" s="200">
        <v>4</v>
      </c>
      <c r="BB10" s="200">
        <v>10</v>
      </c>
      <c r="BC10" s="201">
        <v>9</v>
      </c>
    </row>
    <row r="11" spans="2:55" ht="12.75" customHeight="1" x14ac:dyDescent="0.2">
      <c r="B11" s="69"/>
      <c r="C11" s="71"/>
      <c r="D11" s="71"/>
      <c r="E11" s="71"/>
      <c r="F11" s="197">
        <v>2.0720000000000001</v>
      </c>
      <c r="G11" s="82">
        <f t="shared" si="12"/>
        <v>2.85</v>
      </c>
      <c r="H11" s="82">
        <f t="shared" si="15"/>
        <v>1.3754826254826256</v>
      </c>
      <c r="I11" s="197">
        <v>9.0999999999999998E-2</v>
      </c>
      <c r="J11" s="197">
        <v>5.2999999999999999E-2</v>
      </c>
      <c r="K11" s="197">
        <v>0.78700000000000003</v>
      </c>
      <c r="L11" s="197">
        <v>0.55500000000000005</v>
      </c>
      <c r="M11" s="197">
        <v>0.47699999999999998</v>
      </c>
      <c r="N11" s="197">
        <v>0.13600000000000001</v>
      </c>
      <c r="O11" s="197">
        <v>0.751</v>
      </c>
      <c r="P11" s="82">
        <f t="shared" si="13"/>
        <v>0.88700000000000001</v>
      </c>
      <c r="Q11" s="82">
        <f t="shared" si="16"/>
        <v>1.1270648030495551</v>
      </c>
      <c r="R11" s="82">
        <f t="shared" si="17"/>
        <v>0.60609911054637855</v>
      </c>
      <c r="S11" s="82">
        <f t="shared" si="18"/>
        <v>0.70520965692503179</v>
      </c>
      <c r="T11" s="82">
        <f t="shared" si="19"/>
        <v>5.5220588235294112</v>
      </c>
      <c r="U11" s="271" t="s">
        <v>75</v>
      </c>
      <c r="V11" s="110" t="s">
        <v>75</v>
      </c>
      <c r="W11" s="197">
        <v>0.58599999999999997</v>
      </c>
      <c r="X11" s="197">
        <v>0.14299999999999999</v>
      </c>
      <c r="Y11" s="82">
        <f t="shared" si="20"/>
        <v>4.0979020979020984</v>
      </c>
      <c r="Z11" s="271" t="s">
        <v>75</v>
      </c>
      <c r="AA11" s="197">
        <v>0.51100000000000001</v>
      </c>
      <c r="AB11" s="197">
        <f t="shared" si="21"/>
        <v>0.24662162162162163</v>
      </c>
      <c r="AC11" s="197">
        <v>0.996</v>
      </c>
      <c r="AD11" s="197">
        <f t="shared" si="22"/>
        <v>0.48069498069498068</v>
      </c>
      <c r="AE11" s="197">
        <v>0.109</v>
      </c>
      <c r="AF11" s="82">
        <f t="shared" si="23"/>
        <v>0.13850063532401524</v>
      </c>
      <c r="AG11" s="82">
        <f t="shared" si="24"/>
        <v>0.12288613303269448</v>
      </c>
      <c r="AH11" s="197">
        <f t="shared" si="25"/>
        <v>0.80147058823529405</v>
      </c>
      <c r="AI11" s="197">
        <v>8.1000000000000003E-2</v>
      </c>
      <c r="AJ11" s="197">
        <v>5.8000000000000003E-2</v>
      </c>
      <c r="AK11" s="197">
        <f>AI11/AJ11</f>
        <v>1.396551724137931</v>
      </c>
      <c r="AL11" s="197">
        <f>AI11/AE11</f>
        <v>0.74311926605504586</v>
      </c>
      <c r="AM11" s="197">
        <f t="shared" si="14"/>
        <v>0.59558823529411764</v>
      </c>
      <c r="AN11" s="197">
        <f>AI11/K11</f>
        <v>0.10292249047013977</v>
      </c>
      <c r="AO11" s="271" t="s">
        <v>75</v>
      </c>
      <c r="AP11" s="271" t="s">
        <v>75</v>
      </c>
      <c r="AQ11" s="271" t="s">
        <v>75</v>
      </c>
      <c r="AR11" s="271" t="s">
        <v>75</v>
      </c>
      <c r="AS11" s="271" t="s">
        <v>75</v>
      </c>
      <c r="AT11" s="271" t="s">
        <v>75</v>
      </c>
      <c r="AU11" s="271" t="s">
        <v>75</v>
      </c>
      <c r="AV11" s="271" t="s">
        <v>75</v>
      </c>
      <c r="AW11" s="271" t="s">
        <v>75</v>
      </c>
      <c r="AX11" s="110" t="s">
        <v>75</v>
      </c>
      <c r="AY11" s="273" t="s">
        <v>75</v>
      </c>
      <c r="AZ11" s="200">
        <v>12</v>
      </c>
      <c r="BA11" s="273" t="s">
        <v>75</v>
      </c>
      <c r="BB11" s="273" t="s">
        <v>75</v>
      </c>
      <c r="BC11" s="274" t="s">
        <v>75</v>
      </c>
    </row>
    <row r="12" spans="2:55" ht="12.75" customHeight="1" x14ac:dyDescent="0.2">
      <c r="B12" s="86">
        <v>20708</v>
      </c>
      <c r="C12" s="76" t="s">
        <v>283</v>
      </c>
      <c r="D12" s="77" t="s">
        <v>280</v>
      </c>
      <c r="E12" s="77" t="s">
        <v>212</v>
      </c>
      <c r="F12" s="187">
        <v>1.901</v>
      </c>
      <c r="G12" s="80">
        <f t="shared" si="12"/>
        <v>3.0680000000000005</v>
      </c>
      <c r="H12" s="80">
        <f t="shared" si="15"/>
        <v>1.6138874276696478</v>
      </c>
      <c r="I12" s="187">
        <v>8.5000000000000006E-2</v>
      </c>
      <c r="J12" s="187">
        <v>5.0999999999999997E-2</v>
      </c>
      <c r="K12" s="187">
        <v>0.79800000000000004</v>
      </c>
      <c r="L12" s="187">
        <v>0.59799999999999998</v>
      </c>
      <c r="M12" s="187">
        <v>0.58399999999999996</v>
      </c>
      <c r="N12" s="187">
        <v>0.13500000000000001</v>
      </c>
      <c r="O12" s="187">
        <v>0.81699999999999995</v>
      </c>
      <c r="P12" s="80">
        <f t="shared" si="13"/>
        <v>0.95199999999999996</v>
      </c>
      <c r="Q12" s="80">
        <f t="shared" si="16"/>
        <v>1.1929824561403508</v>
      </c>
      <c r="R12" s="80">
        <f t="shared" si="17"/>
        <v>0.73182957393483705</v>
      </c>
      <c r="S12" s="80">
        <f t="shared" si="18"/>
        <v>0.7493734335839598</v>
      </c>
      <c r="T12" s="80">
        <f t="shared" si="19"/>
        <v>6.0518518518518514</v>
      </c>
      <c r="U12" s="187">
        <v>0.313</v>
      </c>
      <c r="V12" s="80">
        <f>G12/U12</f>
        <v>9.8019169329073499</v>
      </c>
      <c r="W12" s="187">
        <v>0.58099999999999996</v>
      </c>
      <c r="X12" s="187">
        <v>0.155</v>
      </c>
      <c r="Y12" s="80">
        <f t="shared" si="20"/>
        <v>3.7483870967741932</v>
      </c>
      <c r="Z12" s="187">
        <v>0.38</v>
      </c>
      <c r="AA12" s="187">
        <v>0.51</v>
      </c>
      <c r="AB12" s="187">
        <f t="shared" si="21"/>
        <v>0.26827985270910049</v>
      </c>
      <c r="AC12" s="187">
        <v>1.006</v>
      </c>
      <c r="AD12" s="187">
        <f t="shared" si="22"/>
        <v>0.52919516044187265</v>
      </c>
      <c r="AE12" s="187">
        <v>0.11700000000000001</v>
      </c>
      <c r="AF12" s="80">
        <f t="shared" si="23"/>
        <v>0.14661654135338345</v>
      </c>
      <c r="AG12" s="80">
        <f t="shared" si="24"/>
        <v>0.12289915966386555</v>
      </c>
      <c r="AH12" s="187">
        <f t="shared" si="25"/>
        <v>0.8666666666666667</v>
      </c>
      <c r="AI12" s="187">
        <v>8.7999999999999995E-2</v>
      </c>
      <c r="AJ12" s="187">
        <v>0.06</v>
      </c>
      <c r="AK12" s="187">
        <f>AI12/AJ12</f>
        <v>1.4666666666666666</v>
      </c>
      <c r="AL12" s="187">
        <f>AI12/AE12</f>
        <v>0.75213675213675202</v>
      </c>
      <c r="AM12" s="187">
        <f t="shared" si="14"/>
        <v>0.65185185185185179</v>
      </c>
      <c r="AN12" s="187">
        <f>AI12/K12</f>
        <v>0.11027568922305764</v>
      </c>
      <c r="AO12" s="187">
        <f>AI12/AP12</f>
        <v>0.45833333333333331</v>
      </c>
      <c r="AP12" s="187">
        <v>0.192</v>
      </c>
      <c r="AQ12" s="187">
        <v>9.0999999999999998E-2</v>
      </c>
      <c r="AR12" s="187">
        <f>AP12/F12</f>
        <v>0.10099947396107312</v>
      </c>
      <c r="AS12" s="187">
        <f>AP12/AQ12</f>
        <v>2.1098901098901099</v>
      </c>
      <c r="AT12" s="187">
        <f>AP12/K12</f>
        <v>0.24060150375939848</v>
      </c>
      <c r="AU12" s="187">
        <v>0.11799999999999999</v>
      </c>
      <c r="AV12" s="187">
        <v>0.109</v>
      </c>
      <c r="AW12" s="187">
        <f>AU12/AV12</f>
        <v>1.0825688073394495</v>
      </c>
      <c r="AX12" s="80">
        <f>AP12/AU12</f>
        <v>1.6271186440677967</v>
      </c>
      <c r="AY12" s="189">
        <v>6</v>
      </c>
      <c r="AZ12" s="189">
        <v>12</v>
      </c>
      <c r="BA12" s="189">
        <v>8</v>
      </c>
      <c r="BB12" s="189">
        <v>10</v>
      </c>
      <c r="BC12" s="190">
        <v>10</v>
      </c>
    </row>
    <row r="13" spans="2:55" ht="12.75" customHeight="1" x14ac:dyDescent="0.2">
      <c r="B13" s="75"/>
      <c r="C13" s="77"/>
      <c r="D13" s="77"/>
      <c r="E13" s="77"/>
      <c r="F13" s="187">
        <v>1.901</v>
      </c>
      <c r="G13" s="80">
        <f t="shared" si="12"/>
        <v>3.024</v>
      </c>
      <c r="H13" s="80">
        <f t="shared" si="15"/>
        <v>1.5907417148869016</v>
      </c>
      <c r="I13" s="187">
        <v>8.6999999999999994E-2</v>
      </c>
      <c r="J13" s="187">
        <v>5.1999999999999998E-2</v>
      </c>
      <c r="K13" s="187">
        <v>0.78</v>
      </c>
      <c r="L13" s="187">
        <v>0.57599999999999996</v>
      </c>
      <c r="M13" s="187">
        <v>0.57299999999999995</v>
      </c>
      <c r="N13" s="187">
        <v>0.13900000000000001</v>
      </c>
      <c r="O13" s="187">
        <v>0.81699999999999995</v>
      </c>
      <c r="P13" s="80">
        <f t="shared" si="13"/>
        <v>0.95599999999999996</v>
      </c>
      <c r="Q13" s="80">
        <f t="shared" si="16"/>
        <v>1.2256410256410255</v>
      </c>
      <c r="R13" s="80">
        <f t="shared" si="17"/>
        <v>0.73461538461538456</v>
      </c>
      <c r="S13" s="80">
        <f t="shared" si="18"/>
        <v>0.73846153846153839</v>
      </c>
      <c r="T13" s="80">
        <f t="shared" si="19"/>
        <v>5.8776978417266177</v>
      </c>
      <c r="U13" s="187">
        <v>0.313</v>
      </c>
      <c r="V13" s="80">
        <f>G13/U13</f>
        <v>9.6613418530351431</v>
      </c>
      <c r="W13" s="187">
        <v>0.55800000000000005</v>
      </c>
      <c r="X13" s="187">
        <v>0.161</v>
      </c>
      <c r="Y13" s="80">
        <f t="shared" si="20"/>
        <v>3.4658385093167703</v>
      </c>
      <c r="Z13" s="263" t="s">
        <v>75</v>
      </c>
      <c r="AA13" s="187">
        <v>0.502</v>
      </c>
      <c r="AB13" s="187">
        <f t="shared" si="21"/>
        <v>0.26407154129405574</v>
      </c>
      <c r="AC13" s="187">
        <v>1.044</v>
      </c>
      <c r="AD13" s="187">
        <f t="shared" si="22"/>
        <v>0.54918463966333508</v>
      </c>
      <c r="AE13" s="187">
        <v>0.11899999999999999</v>
      </c>
      <c r="AF13" s="80">
        <f t="shared" si="23"/>
        <v>0.15256410256410255</v>
      </c>
      <c r="AG13" s="80">
        <f t="shared" si="24"/>
        <v>0.12447698744769875</v>
      </c>
      <c r="AH13" s="187">
        <f t="shared" si="25"/>
        <v>0.85611510791366896</v>
      </c>
      <c r="AI13" s="187">
        <v>8.7999999999999995E-2</v>
      </c>
      <c r="AJ13" s="187">
        <v>0.06</v>
      </c>
      <c r="AK13" s="187">
        <f>AI13/AJ13</f>
        <v>1.4666666666666666</v>
      </c>
      <c r="AL13" s="187">
        <f>AI13/AE13</f>
        <v>0.73949579831932777</v>
      </c>
      <c r="AM13" s="187">
        <f t="shared" si="14"/>
        <v>0.63309352517985606</v>
      </c>
      <c r="AN13" s="187">
        <f>AI13/K13</f>
        <v>0.11282051282051281</v>
      </c>
      <c r="AO13" s="187">
        <f>AI13/AP13</f>
        <v>0.44670050761421315</v>
      </c>
      <c r="AP13" s="187">
        <v>0.19700000000000001</v>
      </c>
      <c r="AQ13" s="187">
        <v>0.104</v>
      </c>
      <c r="AR13" s="187">
        <f>AP13/F13</f>
        <v>0.10362966859547607</v>
      </c>
      <c r="AS13" s="187">
        <f>AP13/AQ13</f>
        <v>1.8942307692307694</v>
      </c>
      <c r="AT13" s="187">
        <f>AP13/K13</f>
        <v>0.25256410256410255</v>
      </c>
      <c r="AU13" s="187">
        <v>0.11799999999999999</v>
      </c>
      <c r="AV13" s="187">
        <v>0.109</v>
      </c>
      <c r="AW13" s="187">
        <f t="shared" ref="AW13" si="26">AU13/AV13</f>
        <v>1.0825688073394495</v>
      </c>
      <c r="AX13" s="80">
        <f t="shared" ref="AX13" si="27">AP13/AU13</f>
        <v>1.669491525423729</v>
      </c>
      <c r="AY13" s="265" t="s">
        <v>75</v>
      </c>
      <c r="AZ13" s="189">
        <v>13</v>
      </c>
      <c r="BA13" s="265" t="s">
        <v>75</v>
      </c>
      <c r="BB13" s="265" t="s">
        <v>75</v>
      </c>
      <c r="BC13" s="266" t="s">
        <v>75</v>
      </c>
    </row>
    <row r="14" spans="2:55" ht="12.75" customHeight="1" x14ac:dyDescent="0.2">
      <c r="B14" s="83">
        <v>20708</v>
      </c>
      <c r="C14" s="70" t="s">
        <v>283</v>
      </c>
      <c r="D14" s="71" t="s">
        <v>280</v>
      </c>
      <c r="E14" s="71" t="s">
        <v>212</v>
      </c>
      <c r="F14" s="197">
        <v>2.04</v>
      </c>
      <c r="G14" s="82">
        <f t="shared" si="12"/>
        <v>2.8310000000000004</v>
      </c>
      <c r="H14" s="82">
        <f t="shared" si="15"/>
        <v>1.3877450980392159</v>
      </c>
      <c r="I14" s="197">
        <v>8.8999999999999996E-2</v>
      </c>
      <c r="J14" s="197">
        <v>5.2999999999999999E-2</v>
      </c>
      <c r="K14" s="197">
        <v>0.78300000000000003</v>
      </c>
      <c r="L14" s="197">
        <v>0.51300000000000001</v>
      </c>
      <c r="M14" s="197">
        <v>0.48</v>
      </c>
      <c r="N14" s="197">
        <v>0.129</v>
      </c>
      <c r="O14" s="197">
        <v>0.78400000000000003</v>
      </c>
      <c r="P14" s="82">
        <f t="shared" si="13"/>
        <v>0.91300000000000003</v>
      </c>
      <c r="Q14" s="82">
        <f t="shared" si="16"/>
        <v>1.1660280970625798</v>
      </c>
      <c r="R14" s="82">
        <f t="shared" si="17"/>
        <v>0.6130268199233716</v>
      </c>
      <c r="S14" s="82">
        <f t="shared" si="18"/>
        <v>0.65517241379310343</v>
      </c>
      <c r="T14" s="82">
        <f t="shared" si="19"/>
        <v>6.0775193798449614</v>
      </c>
      <c r="U14" s="197">
        <v>0.29599999999999999</v>
      </c>
      <c r="V14" s="82">
        <f>G14/U14</f>
        <v>9.5641891891891913</v>
      </c>
      <c r="W14" s="197">
        <v>0.53100000000000003</v>
      </c>
      <c r="X14" s="197">
        <v>0.13500000000000001</v>
      </c>
      <c r="Y14" s="82">
        <f t="shared" si="20"/>
        <v>3.9333333333333331</v>
      </c>
      <c r="Z14" s="197">
        <v>0.37</v>
      </c>
      <c r="AA14" s="197">
        <v>0.497</v>
      </c>
      <c r="AB14" s="197">
        <f t="shared" si="21"/>
        <v>0.24362745098039215</v>
      </c>
      <c r="AC14" s="197">
        <v>0.95199999999999996</v>
      </c>
      <c r="AD14" s="197">
        <f t="shared" si="22"/>
        <v>0.46666666666666662</v>
      </c>
      <c r="AE14" s="197">
        <v>0.107</v>
      </c>
      <c r="AF14" s="82">
        <f t="shared" si="23"/>
        <v>0.13665389527458494</v>
      </c>
      <c r="AG14" s="82">
        <f t="shared" si="24"/>
        <v>0.11719605695509309</v>
      </c>
      <c r="AH14" s="197">
        <f t="shared" si="25"/>
        <v>0.82945736434108519</v>
      </c>
      <c r="AI14" s="271" t="s">
        <v>75</v>
      </c>
      <c r="AJ14" s="271" t="s">
        <v>75</v>
      </c>
      <c r="AK14" s="271" t="s">
        <v>75</v>
      </c>
      <c r="AL14" s="271" t="s">
        <v>75</v>
      </c>
      <c r="AM14" s="271" t="s">
        <v>75</v>
      </c>
      <c r="AN14" s="271" t="s">
        <v>75</v>
      </c>
      <c r="AO14" s="271" t="s">
        <v>75</v>
      </c>
      <c r="AP14" s="197">
        <v>0.21</v>
      </c>
      <c r="AQ14" s="197">
        <v>0.108</v>
      </c>
      <c r="AR14" s="197">
        <f>AP14/F14</f>
        <v>0.10294117647058823</v>
      </c>
      <c r="AS14" s="197">
        <f>AP14/AQ14</f>
        <v>1.9444444444444444</v>
      </c>
      <c r="AT14" s="197">
        <f>AP14/K14</f>
        <v>0.26819923371647508</v>
      </c>
      <c r="AU14" s="197">
        <v>9.7000000000000003E-2</v>
      </c>
      <c r="AV14" s="197">
        <v>0.13</v>
      </c>
      <c r="AW14" s="197">
        <f>AU14/AV14</f>
        <v>0.74615384615384617</v>
      </c>
      <c r="AX14" s="82">
        <f>AP14/AU14</f>
        <v>2.1649484536082473</v>
      </c>
      <c r="AY14" s="200">
        <v>6</v>
      </c>
      <c r="AZ14" s="200">
        <v>10</v>
      </c>
      <c r="BA14" s="273" t="s">
        <v>75</v>
      </c>
      <c r="BB14" s="200">
        <v>8</v>
      </c>
      <c r="BC14" s="201">
        <v>7</v>
      </c>
    </row>
    <row r="15" spans="2:55" ht="12.75" customHeight="1" x14ac:dyDescent="0.2">
      <c r="B15" s="69"/>
      <c r="C15" s="71"/>
      <c r="D15" s="71"/>
      <c r="E15" s="71"/>
      <c r="F15" s="197">
        <v>2.04</v>
      </c>
      <c r="G15" s="82">
        <f t="shared" si="12"/>
        <v>2.762</v>
      </c>
      <c r="H15" s="82">
        <f t="shared" si="15"/>
        <v>1.3539215686274511</v>
      </c>
      <c r="I15" s="197">
        <v>9.4E-2</v>
      </c>
      <c r="J15" s="197">
        <v>5.2999999999999999E-2</v>
      </c>
      <c r="K15" s="197">
        <v>0.80700000000000005</v>
      </c>
      <c r="L15" s="197">
        <v>0.54200000000000004</v>
      </c>
      <c r="M15" s="197">
        <v>0.47199999999999998</v>
      </c>
      <c r="N15" s="197">
        <v>0.126</v>
      </c>
      <c r="O15" s="197">
        <v>0.66800000000000004</v>
      </c>
      <c r="P15" s="82">
        <f t="shared" si="13"/>
        <v>0.79400000000000004</v>
      </c>
      <c r="Q15" s="82">
        <f t="shared" si="16"/>
        <v>0.98389095415117722</v>
      </c>
      <c r="R15" s="82">
        <f t="shared" si="17"/>
        <v>0.58488228004956622</v>
      </c>
      <c r="S15" s="82">
        <f t="shared" si="18"/>
        <v>0.67162329615861216</v>
      </c>
      <c r="T15" s="82">
        <f t="shared" si="19"/>
        <v>5.3015873015873023</v>
      </c>
      <c r="U15" s="197">
        <v>0.29599999999999999</v>
      </c>
      <c r="V15" s="82">
        <f>G15/U15</f>
        <v>9.3310810810810807</v>
      </c>
      <c r="W15" s="197">
        <v>0.54400000000000004</v>
      </c>
      <c r="X15" s="197">
        <v>0.154</v>
      </c>
      <c r="Y15" s="82">
        <f t="shared" si="20"/>
        <v>3.5324675324675328</v>
      </c>
      <c r="Z15" s="197">
        <v>0.34100000000000003</v>
      </c>
      <c r="AA15" s="197">
        <v>0.5</v>
      </c>
      <c r="AB15" s="197">
        <f t="shared" si="21"/>
        <v>0.24509803921568626</v>
      </c>
      <c r="AC15" s="197">
        <v>0.96199999999999997</v>
      </c>
      <c r="AD15" s="197">
        <f t="shared" si="22"/>
        <v>0.47156862745098038</v>
      </c>
      <c r="AE15" s="197">
        <v>0.108</v>
      </c>
      <c r="AF15" s="82">
        <f t="shared" si="23"/>
        <v>0.13382899628252787</v>
      </c>
      <c r="AG15" s="82">
        <f t="shared" si="24"/>
        <v>0.13602015113350124</v>
      </c>
      <c r="AH15" s="197">
        <f t="shared" si="25"/>
        <v>0.8571428571428571</v>
      </c>
      <c r="AI15" s="271" t="s">
        <v>75</v>
      </c>
      <c r="AJ15" s="271" t="s">
        <v>75</v>
      </c>
      <c r="AK15" s="271" t="s">
        <v>75</v>
      </c>
      <c r="AL15" s="271" t="s">
        <v>75</v>
      </c>
      <c r="AM15" s="271" t="s">
        <v>75</v>
      </c>
      <c r="AN15" s="271" t="s">
        <v>75</v>
      </c>
      <c r="AO15" s="271" t="s">
        <v>75</v>
      </c>
      <c r="AP15" s="197">
        <v>0.183</v>
      </c>
      <c r="AQ15" s="197">
        <v>0.11700000000000001</v>
      </c>
      <c r="AR15" s="197">
        <f>AP15/F15</f>
        <v>8.9705882352941177E-2</v>
      </c>
      <c r="AS15" s="197">
        <f>AP15/AQ15</f>
        <v>1.5641025641025639</v>
      </c>
      <c r="AT15" s="197">
        <f>AP15/K15</f>
        <v>0.22676579925650556</v>
      </c>
      <c r="AU15" s="197">
        <v>9.7000000000000003E-2</v>
      </c>
      <c r="AV15" s="197">
        <v>0.13</v>
      </c>
      <c r="AW15" s="197">
        <f t="shared" ref="AW15" si="28">AU15/AV15</f>
        <v>0.74615384615384617</v>
      </c>
      <c r="AX15" s="82">
        <f t="shared" ref="AX15" si="29">AP15/AU15</f>
        <v>1.8865979381443299</v>
      </c>
      <c r="AY15" s="273" t="s">
        <v>75</v>
      </c>
      <c r="AZ15" s="200">
        <v>11</v>
      </c>
      <c r="BA15" s="273" t="s">
        <v>75</v>
      </c>
      <c r="BB15" s="273" t="s">
        <v>75</v>
      </c>
      <c r="BC15" s="274" t="s">
        <v>75</v>
      </c>
    </row>
    <row r="16" spans="2:55" ht="12.75" customHeight="1" x14ac:dyDescent="0.2">
      <c r="B16" s="86">
        <v>28011</v>
      </c>
      <c r="C16" s="76" t="s">
        <v>283</v>
      </c>
      <c r="D16" s="77" t="s">
        <v>281</v>
      </c>
      <c r="E16" s="77" t="s">
        <v>175</v>
      </c>
      <c r="F16" s="80">
        <v>2.2200000000000002</v>
      </c>
      <c r="G16" s="80">
        <f t="shared" si="12"/>
        <v>2.944</v>
      </c>
      <c r="H16" s="80">
        <f t="shared" si="8"/>
        <v>1.3261261261261259</v>
      </c>
      <c r="I16" s="80">
        <v>9.7000000000000003E-2</v>
      </c>
      <c r="J16" s="80">
        <v>5.7000000000000002E-2</v>
      </c>
      <c r="K16" s="80">
        <v>0.75</v>
      </c>
      <c r="L16" s="80">
        <v>0.56999999999999995</v>
      </c>
      <c r="M16" s="80">
        <v>0.5</v>
      </c>
      <c r="N16" s="80">
        <v>0.13</v>
      </c>
      <c r="O16" s="80">
        <v>0.84</v>
      </c>
      <c r="P16" s="80">
        <f t="shared" si="13"/>
        <v>0.97</v>
      </c>
      <c r="Q16" s="80">
        <f t="shared" si="9"/>
        <v>1.2933333333333332</v>
      </c>
      <c r="R16" s="80">
        <f t="shared" si="0"/>
        <v>0.66666666666666663</v>
      </c>
      <c r="S16" s="80">
        <f t="shared" si="1"/>
        <v>0.7599999999999999</v>
      </c>
      <c r="T16" s="114" t="s">
        <v>75</v>
      </c>
      <c r="U16" s="80">
        <v>0.35</v>
      </c>
      <c r="V16" s="80">
        <f t="shared" si="11"/>
        <v>8.411428571428571</v>
      </c>
      <c r="W16" s="114" t="s">
        <v>75</v>
      </c>
      <c r="X16" s="114" t="s">
        <v>75</v>
      </c>
      <c r="Y16" s="114" t="s">
        <v>75</v>
      </c>
      <c r="Z16" s="114" t="s">
        <v>75</v>
      </c>
      <c r="AA16" s="80">
        <v>0.62</v>
      </c>
      <c r="AB16" s="187">
        <f t="shared" si="21"/>
        <v>0.27927927927927926</v>
      </c>
      <c r="AC16" s="80">
        <v>0.98</v>
      </c>
      <c r="AD16" s="187">
        <f t="shared" si="22"/>
        <v>0.44144144144144137</v>
      </c>
      <c r="AE16" s="80">
        <v>0.11</v>
      </c>
      <c r="AF16" s="80">
        <f t="shared" si="6"/>
        <v>0.14666666666666667</v>
      </c>
      <c r="AG16" s="80">
        <f t="shared" si="24"/>
        <v>0.1134020618556701</v>
      </c>
      <c r="AH16" s="187">
        <f t="shared" si="25"/>
        <v>0.84615384615384615</v>
      </c>
      <c r="AI16" s="114" t="s">
        <v>75</v>
      </c>
      <c r="AJ16" s="114" t="s">
        <v>75</v>
      </c>
      <c r="AK16" s="263" t="s">
        <v>75</v>
      </c>
      <c r="AL16" s="263" t="s">
        <v>75</v>
      </c>
      <c r="AM16" s="263" t="s">
        <v>75</v>
      </c>
      <c r="AN16" s="263" t="s">
        <v>75</v>
      </c>
      <c r="AO16" s="263" t="s">
        <v>75</v>
      </c>
      <c r="AP16" s="80">
        <v>0.188</v>
      </c>
      <c r="AQ16" s="80">
        <v>7.5999999999999998E-2</v>
      </c>
      <c r="AR16" s="187">
        <f>AP16/F16</f>
        <v>8.468468468468468E-2</v>
      </c>
      <c r="AS16" s="187">
        <f t="shared" si="4"/>
        <v>2.4736842105263159</v>
      </c>
      <c r="AT16" s="187">
        <f>AP16/K16</f>
        <v>0.25066666666666665</v>
      </c>
      <c r="AU16" s="114" t="s">
        <v>75</v>
      </c>
      <c r="AV16" s="114" t="s">
        <v>75</v>
      </c>
      <c r="AW16" s="263" t="s">
        <v>75</v>
      </c>
      <c r="AX16" s="114" t="s">
        <v>75</v>
      </c>
      <c r="AY16" s="140" t="s">
        <v>75</v>
      </c>
      <c r="AZ16" s="141">
        <v>9</v>
      </c>
      <c r="BA16" s="140" t="s">
        <v>75</v>
      </c>
      <c r="BB16" s="140" t="s">
        <v>75</v>
      </c>
      <c r="BC16" s="264" t="s">
        <v>75</v>
      </c>
    </row>
    <row r="17" spans="2:55" ht="12.75" customHeight="1" x14ac:dyDescent="0.2">
      <c r="B17" s="75"/>
      <c r="C17" s="77"/>
      <c r="D17" s="77"/>
      <c r="E17" s="77"/>
      <c r="F17" s="80">
        <v>2.2200000000000002</v>
      </c>
      <c r="G17" s="114" t="s">
        <v>75</v>
      </c>
      <c r="H17" s="114" t="s">
        <v>75</v>
      </c>
      <c r="I17" s="80">
        <v>9.5000000000000001E-2</v>
      </c>
      <c r="J17" s="80">
        <v>5.8000000000000003E-2</v>
      </c>
      <c r="K17" s="80">
        <v>0.76</v>
      </c>
      <c r="L17" s="80">
        <v>0.56000000000000005</v>
      </c>
      <c r="M17" s="80">
        <v>0.53</v>
      </c>
      <c r="N17" s="80">
        <v>0.13</v>
      </c>
      <c r="O17" s="114" t="s">
        <v>75</v>
      </c>
      <c r="P17" s="114" t="s">
        <v>75</v>
      </c>
      <c r="Q17" s="114" t="s">
        <v>75</v>
      </c>
      <c r="R17" s="80">
        <f t="shared" si="0"/>
        <v>0.69736842105263164</v>
      </c>
      <c r="S17" s="80">
        <f t="shared" si="1"/>
        <v>0.73684210526315796</v>
      </c>
      <c r="T17" s="114" t="s">
        <v>75</v>
      </c>
      <c r="U17" s="80">
        <v>0.35</v>
      </c>
      <c r="V17" s="114" t="s">
        <v>75</v>
      </c>
      <c r="W17" s="114" t="s">
        <v>75</v>
      </c>
      <c r="X17" s="114" t="s">
        <v>75</v>
      </c>
      <c r="Y17" s="114" t="s">
        <v>75</v>
      </c>
      <c r="Z17" s="114" t="s">
        <v>75</v>
      </c>
      <c r="AA17" s="114" t="s">
        <v>75</v>
      </c>
      <c r="AB17" s="263" t="s">
        <v>75</v>
      </c>
      <c r="AC17" s="114" t="s">
        <v>75</v>
      </c>
      <c r="AD17" s="263" t="s">
        <v>75</v>
      </c>
      <c r="AE17" s="114" t="s">
        <v>75</v>
      </c>
      <c r="AF17" s="114" t="s">
        <v>75</v>
      </c>
      <c r="AG17" s="114" t="s">
        <v>75</v>
      </c>
      <c r="AH17" s="263" t="s">
        <v>75</v>
      </c>
      <c r="AI17" s="114" t="s">
        <v>75</v>
      </c>
      <c r="AJ17" s="114" t="s">
        <v>75</v>
      </c>
      <c r="AK17" s="263" t="s">
        <v>75</v>
      </c>
      <c r="AL17" s="263" t="s">
        <v>75</v>
      </c>
      <c r="AM17" s="263" t="s">
        <v>75</v>
      </c>
      <c r="AN17" s="263" t="s">
        <v>75</v>
      </c>
      <c r="AO17" s="263" t="s">
        <v>75</v>
      </c>
      <c r="AP17" s="114" t="s">
        <v>75</v>
      </c>
      <c r="AQ17" s="114" t="s">
        <v>75</v>
      </c>
      <c r="AR17" s="263" t="s">
        <v>75</v>
      </c>
      <c r="AS17" s="263" t="s">
        <v>75</v>
      </c>
      <c r="AT17" s="263" t="s">
        <v>75</v>
      </c>
      <c r="AU17" s="114" t="s">
        <v>75</v>
      </c>
      <c r="AV17" s="114" t="s">
        <v>75</v>
      </c>
      <c r="AW17" s="263" t="s">
        <v>75</v>
      </c>
      <c r="AX17" s="114" t="s">
        <v>75</v>
      </c>
      <c r="AY17" s="140" t="s">
        <v>75</v>
      </c>
      <c r="AZ17" s="141">
        <v>10</v>
      </c>
      <c r="BA17" s="140" t="s">
        <v>75</v>
      </c>
      <c r="BB17" s="140" t="s">
        <v>75</v>
      </c>
      <c r="BC17" s="264" t="s">
        <v>75</v>
      </c>
    </row>
    <row r="18" spans="2:55" ht="12.75" customHeight="1" x14ac:dyDescent="0.2">
      <c r="B18" s="83">
        <v>28011</v>
      </c>
      <c r="C18" s="70" t="s">
        <v>283</v>
      </c>
      <c r="D18" s="71" t="s">
        <v>281</v>
      </c>
      <c r="E18" s="71" t="s">
        <v>175</v>
      </c>
      <c r="F18" s="82">
        <v>2.2000000000000002</v>
      </c>
      <c r="G18" s="82">
        <f>I18+J18+K18+L18+M18+N18+O18</f>
        <v>2.9540000000000002</v>
      </c>
      <c r="H18" s="82">
        <f t="shared" si="8"/>
        <v>1.3427272727272728</v>
      </c>
      <c r="I18" s="82">
        <v>0.104</v>
      </c>
      <c r="J18" s="82">
        <v>7.0000000000000007E-2</v>
      </c>
      <c r="K18" s="82">
        <v>0.75</v>
      </c>
      <c r="L18" s="82">
        <v>0.56000000000000005</v>
      </c>
      <c r="M18" s="82">
        <v>0.5</v>
      </c>
      <c r="N18" s="82">
        <v>0.12</v>
      </c>
      <c r="O18" s="82">
        <v>0.85</v>
      </c>
      <c r="P18" s="82">
        <f>MIN(N:N+O:O)</f>
        <v>0.97</v>
      </c>
      <c r="Q18" s="82">
        <f t="shared" si="9"/>
        <v>1.2933333333333332</v>
      </c>
      <c r="R18" s="82">
        <f t="shared" si="0"/>
        <v>0.66666666666666663</v>
      </c>
      <c r="S18" s="82">
        <f t="shared" si="1"/>
        <v>0.7466666666666667</v>
      </c>
      <c r="T18" s="82">
        <f t="shared" si="10"/>
        <v>7.083333333333333</v>
      </c>
      <c r="U18" s="82">
        <v>0.34</v>
      </c>
      <c r="V18" s="82">
        <f t="shared" si="11"/>
        <v>8.6882352941176464</v>
      </c>
      <c r="W18" s="110" t="s">
        <v>75</v>
      </c>
      <c r="X18" s="110" t="s">
        <v>75</v>
      </c>
      <c r="Y18" s="110" t="s">
        <v>75</v>
      </c>
      <c r="Z18" s="110" t="s">
        <v>75</v>
      </c>
      <c r="AA18" s="82">
        <v>0.59299999999999997</v>
      </c>
      <c r="AB18" s="197">
        <f>AA18/F18</f>
        <v>0.26954545454545453</v>
      </c>
      <c r="AC18" s="82">
        <v>0.99</v>
      </c>
      <c r="AD18" s="197">
        <f>AC18/F18</f>
        <v>0.44999999999999996</v>
      </c>
      <c r="AE18" s="82">
        <v>0.113</v>
      </c>
      <c r="AF18" s="82">
        <f t="shared" si="6"/>
        <v>0.15066666666666667</v>
      </c>
      <c r="AG18" s="82">
        <f>AE:AE/P:P</f>
        <v>0.11649484536082474</v>
      </c>
      <c r="AH18" s="197">
        <f>AE18/N18</f>
        <v>0.94166666666666676</v>
      </c>
      <c r="AI18" s="110" t="s">
        <v>75</v>
      </c>
      <c r="AJ18" s="110" t="s">
        <v>75</v>
      </c>
      <c r="AK18" s="271" t="s">
        <v>75</v>
      </c>
      <c r="AL18" s="271" t="s">
        <v>75</v>
      </c>
      <c r="AM18" s="271" t="s">
        <v>75</v>
      </c>
      <c r="AN18" s="271" t="s">
        <v>75</v>
      </c>
      <c r="AO18" s="271" t="s">
        <v>75</v>
      </c>
      <c r="AP18" s="82">
        <v>0.16200000000000001</v>
      </c>
      <c r="AQ18" s="82">
        <v>7.0000000000000007E-2</v>
      </c>
      <c r="AR18" s="197">
        <f>AP18/F18</f>
        <v>7.3636363636363639E-2</v>
      </c>
      <c r="AS18" s="197">
        <f t="shared" si="4"/>
        <v>2.3142857142857141</v>
      </c>
      <c r="AT18" s="197">
        <f>AP18/K18</f>
        <v>0.216</v>
      </c>
      <c r="AU18" s="110" t="s">
        <v>75</v>
      </c>
      <c r="AV18" s="110" t="s">
        <v>75</v>
      </c>
      <c r="AW18" s="271" t="s">
        <v>75</v>
      </c>
      <c r="AX18" s="110" t="s">
        <v>75</v>
      </c>
      <c r="AY18" s="139" t="s">
        <v>75</v>
      </c>
      <c r="AZ18" s="198">
        <v>12</v>
      </c>
      <c r="BA18" s="139" t="s">
        <v>75</v>
      </c>
      <c r="BB18" s="139" t="s">
        <v>75</v>
      </c>
      <c r="BC18" s="272" t="s">
        <v>75</v>
      </c>
    </row>
    <row r="19" spans="2:55" ht="12.75" customHeight="1" x14ac:dyDescent="0.2">
      <c r="B19" s="69"/>
      <c r="C19" s="71"/>
      <c r="D19" s="71"/>
      <c r="E19" s="71"/>
      <c r="F19" s="82">
        <v>2.2000000000000002</v>
      </c>
      <c r="G19" s="110" t="s">
        <v>75</v>
      </c>
      <c r="H19" s="110" t="s">
        <v>75</v>
      </c>
      <c r="I19" s="82">
        <v>0.09</v>
      </c>
      <c r="J19" s="82">
        <v>5.5E-2</v>
      </c>
      <c r="K19" s="82">
        <v>0.76</v>
      </c>
      <c r="L19" s="82">
        <v>0.56999999999999995</v>
      </c>
      <c r="M19" s="82">
        <v>0.53</v>
      </c>
      <c r="N19" s="82">
        <v>0.13</v>
      </c>
      <c r="O19" s="110" t="s">
        <v>75</v>
      </c>
      <c r="P19" s="110" t="s">
        <v>75</v>
      </c>
      <c r="Q19" s="110" t="s">
        <v>75</v>
      </c>
      <c r="R19" s="82">
        <f t="shared" si="0"/>
        <v>0.69736842105263164</v>
      </c>
      <c r="S19" s="82">
        <f t="shared" si="1"/>
        <v>0.74999999999999989</v>
      </c>
      <c r="T19" s="110" t="s">
        <v>75</v>
      </c>
      <c r="U19" s="82">
        <v>0.34</v>
      </c>
      <c r="V19" s="110" t="s">
        <v>75</v>
      </c>
      <c r="W19" s="110" t="s">
        <v>75</v>
      </c>
      <c r="X19" s="110" t="s">
        <v>75</v>
      </c>
      <c r="Y19" s="110" t="s">
        <v>75</v>
      </c>
      <c r="Z19" s="110" t="s">
        <v>75</v>
      </c>
      <c r="AA19" s="110" t="s">
        <v>75</v>
      </c>
      <c r="AB19" s="271" t="s">
        <v>75</v>
      </c>
      <c r="AC19" s="110" t="s">
        <v>75</v>
      </c>
      <c r="AD19" s="271" t="s">
        <v>75</v>
      </c>
      <c r="AE19" s="110" t="s">
        <v>75</v>
      </c>
      <c r="AF19" s="110" t="s">
        <v>75</v>
      </c>
      <c r="AG19" s="110" t="s">
        <v>75</v>
      </c>
      <c r="AH19" s="271" t="s">
        <v>75</v>
      </c>
      <c r="AI19" s="110" t="s">
        <v>75</v>
      </c>
      <c r="AJ19" s="110" t="s">
        <v>75</v>
      </c>
      <c r="AK19" s="271" t="s">
        <v>75</v>
      </c>
      <c r="AL19" s="271" t="s">
        <v>75</v>
      </c>
      <c r="AM19" s="271" t="s">
        <v>75</v>
      </c>
      <c r="AN19" s="271" t="s">
        <v>75</v>
      </c>
      <c r="AO19" s="271" t="s">
        <v>75</v>
      </c>
      <c r="AP19" s="110" t="s">
        <v>75</v>
      </c>
      <c r="AQ19" s="110" t="s">
        <v>75</v>
      </c>
      <c r="AR19" s="271" t="s">
        <v>75</v>
      </c>
      <c r="AS19" s="271" t="s">
        <v>75</v>
      </c>
      <c r="AT19" s="271" t="s">
        <v>75</v>
      </c>
      <c r="AU19" s="110" t="s">
        <v>75</v>
      </c>
      <c r="AV19" s="110" t="s">
        <v>75</v>
      </c>
      <c r="AW19" s="271" t="s">
        <v>75</v>
      </c>
      <c r="AX19" s="110" t="s">
        <v>75</v>
      </c>
      <c r="AY19" s="139" t="s">
        <v>75</v>
      </c>
      <c r="AZ19" s="139" t="s">
        <v>75</v>
      </c>
      <c r="BA19" s="139" t="s">
        <v>75</v>
      </c>
      <c r="BB19" s="139" t="s">
        <v>75</v>
      </c>
      <c r="BC19" s="272" t="s">
        <v>75</v>
      </c>
    </row>
    <row r="20" spans="2:55" ht="12.75" customHeight="1" x14ac:dyDescent="0.2">
      <c r="B20" s="86">
        <v>20708</v>
      </c>
      <c r="C20" s="76" t="s">
        <v>283</v>
      </c>
      <c r="D20" s="77" t="s">
        <v>194</v>
      </c>
      <c r="E20" s="77" t="s">
        <v>212</v>
      </c>
      <c r="F20" s="80">
        <f>0.965+0.722</f>
        <v>1.6869999999999998</v>
      </c>
      <c r="G20" s="80">
        <f t="shared" ref="G20:G25" si="30">I20+J20+K20+L20+M20+N20+O20</f>
        <v>2.62</v>
      </c>
      <c r="H20" s="80">
        <f t="shared" si="8"/>
        <v>1.5530527563722587</v>
      </c>
      <c r="I20" s="80">
        <v>0.09</v>
      </c>
      <c r="J20" s="80">
        <v>5.8000000000000003E-2</v>
      </c>
      <c r="K20" s="80">
        <v>0.70199999999999996</v>
      </c>
      <c r="L20" s="80">
        <v>0.53</v>
      </c>
      <c r="M20" s="80">
        <v>0.51</v>
      </c>
      <c r="N20" s="80">
        <v>0.13</v>
      </c>
      <c r="O20" s="80">
        <f>0.38+0.22</f>
        <v>0.6</v>
      </c>
      <c r="P20" s="80">
        <f t="shared" ref="P20:P25" si="31">MIN(N:N+O:O)</f>
        <v>0.73</v>
      </c>
      <c r="Q20" s="80">
        <f t="shared" si="9"/>
        <v>1.0398860398860399</v>
      </c>
      <c r="R20" s="80">
        <f t="shared" si="0"/>
        <v>0.72649572649572658</v>
      </c>
      <c r="S20" s="80">
        <f t="shared" si="1"/>
        <v>0.75498575498575504</v>
      </c>
      <c r="T20" s="80">
        <f t="shared" si="10"/>
        <v>4.615384615384615</v>
      </c>
      <c r="U20" s="80">
        <v>0.31</v>
      </c>
      <c r="V20" s="80">
        <f t="shared" si="11"/>
        <v>8.4516129032258061</v>
      </c>
      <c r="W20" s="80">
        <v>0.5</v>
      </c>
      <c r="X20" s="80">
        <v>0.14799999999999999</v>
      </c>
      <c r="Y20" s="80">
        <f t="shared" ref="Y20:Y25" si="32">W:W/X:X</f>
        <v>3.3783783783783785</v>
      </c>
      <c r="Z20" s="80">
        <v>0.37</v>
      </c>
      <c r="AA20" s="80">
        <v>0.5</v>
      </c>
      <c r="AB20" s="187">
        <f t="shared" ref="AB20:AB25" si="33">AA20/F20</f>
        <v>0.29638411381149971</v>
      </c>
      <c r="AC20" s="80">
        <v>0.92</v>
      </c>
      <c r="AD20" s="187">
        <f t="shared" ref="AD20:AD25" si="34">AC20/F20</f>
        <v>0.54534676941315952</v>
      </c>
      <c r="AE20" s="80">
        <v>0.108</v>
      </c>
      <c r="AF20" s="80">
        <f t="shared" si="6"/>
        <v>0.15384615384615385</v>
      </c>
      <c r="AG20" s="80">
        <f t="shared" ref="AG20:AG25" si="35">AE:AE/P:P</f>
        <v>0.14794520547945206</v>
      </c>
      <c r="AH20" s="187">
        <f t="shared" ref="AH20:AH25" si="36">AE20/N20</f>
        <v>0.8307692307692307</v>
      </c>
      <c r="AI20" s="80">
        <v>0.08</v>
      </c>
      <c r="AJ20" s="80">
        <v>6.3E-2</v>
      </c>
      <c r="AK20" s="187">
        <f t="shared" si="2"/>
        <v>1.2698412698412698</v>
      </c>
      <c r="AL20" s="187">
        <f>AI20/AE20</f>
        <v>0.74074074074074081</v>
      </c>
      <c r="AM20" s="187">
        <f>AI20/N20</f>
        <v>0.61538461538461542</v>
      </c>
      <c r="AN20" s="187">
        <f t="shared" si="7"/>
        <v>0.11396011396011398</v>
      </c>
      <c r="AO20" s="187">
        <f t="shared" si="3"/>
        <v>0.44444444444444448</v>
      </c>
      <c r="AP20" s="80">
        <v>0.18</v>
      </c>
      <c r="AQ20" s="80">
        <v>9.4E-2</v>
      </c>
      <c r="AR20" s="187">
        <f>AP20/F20</f>
        <v>0.1066982809721399</v>
      </c>
      <c r="AS20" s="187">
        <f t="shared" si="4"/>
        <v>1.9148936170212765</v>
      </c>
      <c r="AT20" s="187">
        <f>AP20/K20</f>
        <v>0.25641025641025644</v>
      </c>
      <c r="AU20" s="80">
        <v>9.8000000000000004E-2</v>
      </c>
      <c r="AV20" s="80">
        <v>0.125</v>
      </c>
      <c r="AW20" s="187">
        <f t="shared" ref="AW20:AW24" si="37">AU20/AV20</f>
        <v>0.78400000000000003</v>
      </c>
      <c r="AX20" s="80">
        <f t="shared" si="5"/>
        <v>1.8367346938775508</v>
      </c>
      <c r="AY20" s="141">
        <v>4</v>
      </c>
      <c r="AZ20" s="141">
        <v>12</v>
      </c>
      <c r="BA20" s="141">
        <v>2</v>
      </c>
      <c r="BB20" s="140" t="s">
        <v>75</v>
      </c>
      <c r="BC20" s="264" t="s">
        <v>75</v>
      </c>
    </row>
    <row r="21" spans="2:55" ht="12.75" customHeight="1" x14ac:dyDescent="0.2">
      <c r="B21" s="75"/>
      <c r="C21" s="77"/>
      <c r="D21" s="77"/>
      <c r="E21" s="77"/>
      <c r="F21" s="80">
        <f>0.965+0.722</f>
        <v>1.6869999999999998</v>
      </c>
      <c r="G21" s="80">
        <f t="shared" si="30"/>
        <v>2.7050000000000001</v>
      </c>
      <c r="H21" s="80">
        <f t="shared" si="8"/>
        <v>1.6034380557202137</v>
      </c>
      <c r="I21" s="80">
        <v>8.8999999999999996E-2</v>
      </c>
      <c r="J21" s="80">
        <v>5.3999999999999999E-2</v>
      </c>
      <c r="K21" s="80">
        <v>0.69</v>
      </c>
      <c r="L21" s="80">
        <v>0.55000000000000004</v>
      </c>
      <c r="M21" s="80">
        <v>0.5</v>
      </c>
      <c r="N21" s="80">
        <v>0.13</v>
      </c>
      <c r="O21" s="80">
        <f>0.162+0.4+0.13</f>
        <v>0.69200000000000006</v>
      </c>
      <c r="P21" s="80">
        <f t="shared" si="31"/>
        <v>0.82200000000000006</v>
      </c>
      <c r="Q21" s="80">
        <f t="shared" si="9"/>
        <v>1.1913043478260872</v>
      </c>
      <c r="R21" s="80">
        <f t="shared" si="0"/>
        <v>0.7246376811594204</v>
      </c>
      <c r="S21" s="80">
        <f t="shared" si="1"/>
        <v>0.79710144927536242</v>
      </c>
      <c r="T21" s="80">
        <f t="shared" si="10"/>
        <v>5.3230769230769237</v>
      </c>
      <c r="U21" s="80">
        <v>0.31</v>
      </c>
      <c r="V21" s="80">
        <f t="shared" si="11"/>
        <v>8.7258064516129039</v>
      </c>
      <c r="W21" s="80">
        <v>0.51</v>
      </c>
      <c r="X21" s="80">
        <v>0.158</v>
      </c>
      <c r="Y21" s="80">
        <f t="shared" si="32"/>
        <v>3.2278481012658227</v>
      </c>
      <c r="Z21" s="80">
        <v>0.37</v>
      </c>
      <c r="AA21" s="80">
        <v>0.49</v>
      </c>
      <c r="AB21" s="187">
        <f t="shared" si="33"/>
        <v>0.29045643153526973</v>
      </c>
      <c r="AC21" s="80">
        <v>0.94</v>
      </c>
      <c r="AD21" s="187">
        <f t="shared" si="34"/>
        <v>0.55720213396561946</v>
      </c>
      <c r="AE21" s="80">
        <v>0.112</v>
      </c>
      <c r="AF21" s="80">
        <f t="shared" si="6"/>
        <v>0.16231884057971016</v>
      </c>
      <c r="AG21" s="80">
        <f t="shared" si="35"/>
        <v>0.13625304136253041</v>
      </c>
      <c r="AH21" s="187">
        <f t="shared" si="36"/>
        <v>0.86153846153846148</v>
      </c>
      <c r="AI21" s="80">
        <v>0.08</v>
      </c>
      <c r="AJ21" s="80">
        <v>6.3E-2</v>
      </c>
      <c r="AK21" s="187">
        <f t="shared" si="2"/>
        <v>1.2698412698412698</v>
      </c>
      <c r="AL21" s="187">
        <f>AI21/AE21</f>
        <v>0.7142857142857143</v>
      </c>
      <c r="AM21" s="187">
        <f>AI21/N21</f>
        <v>0.61538461538461542</v>
      </c>
      <c r="AN21" s="187">
        <f t="shared" si="7"/>
        <v>0.11594202898550726</v>
      </c>
      <c r="AO21" s="263" t="s">
        <v>75</v>
      </c>
      <c r="AP21" s="114" t="s">
        <v>75</v>
      </c>
      <c r="AQ21" s="114" t="s">
        <v>75</v>
      </c>
      <c r="AR21" s="263" t="s">
        <v>75</v>
      </c>
      <c r="AS21" s="263" t="s">
        <v>75</v>
      </c>
      <c r="AT21" s="263" t="s">
        <v>75</v>
      </c>
      <c r="AU21" s="80">
        <v>9.8000000000000004E-2</v>
      </c>
      <c r="AV21" s="80">
        <v>0.125</v>
      </c>
      <c r="AW21" s="187">
        <f t="shared" ref="AW21" si="38">AU21/AV21</f>
        <v>0.78400000000000003</v>
      </c>
      <c r="AX21" s="114" t="s">
        <v>75</v>
      </c>
      <c r="AY21" s="140" t="s">
        <v>75</v>
      </c>
      <c r="AZ21" s="141">
        <v>8</v>
      </c>
      <c r="BA21" s="140" t="s">
        <v>75</v>
      </c>
      <c r="BB21" s="140" t="s">
        <v>75</v>
      </c>
      <c r="BC21" s="264" t="s">
        <v>75</v>
      </c>
    </row>
    <row r="22" spans="2:55" ht="12.75" customHeight="1" x14ac:dyDescent="0.2">
      <c r="B22" s="83">
        <v>20708</v>
      </c>
      <c r="C22" s="70" t="s">
        <v>283</v>
      </c>
      <c r="D22" s="71" t="s">
        <v>194</v>
      </c>
      <c r="E22" s="71" t="s">
        <v>212</v>
      </c>
      <c r="F22" s="82">
        <f>1.055+1.168</f>
        <v>2.2229999999999999</v>
      </c>
      <c r="G22" s="82">
        <f t="shared" si="30"/>
        <v>2.9319999999999999</v>
      </c>
      <c r="H22" s="82">
        <f t="shared" si="8"/>
        <v>1.3189383715699505</v>
      </c>
      <c r="I22" s="82">
        <v>9.1999999999999998E-2</v>
      </c>
      <c r="J22" s="82">
        <v>0.06</v>
      </c>
      <c r="K22" s="82">
        <v>0.72</v>
      </c>
      <c r="L22" s="82">
        <v>0.56999999999999995</v>
      </c>
      <c r="M22" s="82">
        <v>0.53</v>
      </c>
      <c r="N22" s="82">
        <v>0.12</v>
      </c>
      <c r="O22" s="82">
        <v>0.84</v>
      </c>
      <c r="P22" s="82">
        <f t="shared" si="31"/>
        <v>0.96</v>
      </c>
      <c r="Q22" s="82">
        <f t="shared" si="9"/>
        <v>1.3333333333333333</v>
      </c>
      <c r="R22" s="82">
        <f t="shared" si="0"/>
        <v>0.73611111111111116</v>
      </c>
      <c r="S22" s="82">
        <f t="shared" si="1"/>
        <v>0.79166666666666663</v>
      </c>
      <c r="T22" s="82">
        <f t="shared" si="10"/>
        <v>7</v>
      </c>
      <c r="U22" s="110" t="s">
        <v>75</v>
      </c>
      <c r="V22" s="110" t="s">
        <v>75</v>
      </c>
      <c r="W22" s="82">
        <v>0.55000000000000004</v>
      </c>
      <c r="X22" s="82">
        <v>0.15</v>
      </c>
      <c r="Y22" s="82">
        <f t="shared" si="32"/>
        <v>3.666666666666667</v>
      </c>
      <c r="Z22" s="110" t="s">
        <v>75</v>
      </c>
      <c r="AA22" s="82">
        <v>0.55000000000000004</v>
      </c>
      <c r="AB22" s="197">
        <f t="shared" si="33"/>
        <v>0.24741340530814218</v>
      </c>
      <c r="AC22" s="82">
        <v>0.95</v>
      </c>
      <c r="AD22" s="197">
        <f t="shared" si="34"/>
        <v>0.42735042735042733</v>
      </c>
      <c r="AE22" s="82">
        <v>0.12</v>
      </c>
      <c r="AF22" s="82">
        <f t="shared" si="6"/>
        <v>0.16666666666666666</v>
      </c>
      <c r="AG22" s="82">
        <f t="shared" si="35"/>
        <v>0.125</v>
      </c>
      <c r="AH22" s="197">
        <f t="shared" si="36"/>
        <v>1</v>
      </c>
      <c r="AI22" s="82">
        <v>0.08</v>
      </c>
      <c r="AJ22" s="82">
        <v>6.3E-2</v>
      </c>
      <c r="AK22" s="197">
        <f t="shared" si="2"/>
        <v>1.2698412698412698</v>
      </c>
      <c r="AL22" s="197">
        <f>AI22/AE22</f>
        <v>0.66666666666666674</v>
      </c>
      <c r="AM22" s="197">
        <f>AI22/N22</f>
        <v>0.66666666666666674</v>
      </c>
      <c r="AN22" s="197">
        <f t="shared" si="7"/>
        <v>0.11111111111111112</v>
      </c>
      <c r="AO22" s="197">
        <f t="shared" si="3"/>
        <v>0.48192771084337349</v>
      </c>
      <c r="AP22" s="82">
        <v>0.16600000000000001</v>
      </c>
      <c r="AQ22" s="82">
        <v>9.7000000000000003E-2</v>
      </c>
      <c r="AR22" s="197">
        <f>AP22/F22</f>
        <v>7.4673864147548369E-2</v>
      </c>
      <c r="AS22" s="197">
        <f t="shared" si="4"/>
        <v>1.7113402061855671</v>
      </c>
      <c r="AT22" s="197">
        <f>AP22/K22</f>
        <v>0.23055555555555557</v>
      </c>
      <c r="AU22" s="82">
        <v>0.13</v>
      </c>
      <c r="AV22" s="82">
        <v>0.105</v>
      </c>
      <c r="AW22" s="197">
        <f t="shared" si="37"/>
        <v>1.2380952380952381</v>
      </c>
      <c r="AX22" s="82">
        <f t="shared" si="5"/>
        <v>1.276923076923077</v>
      </c>
      <c r="AY22" s="198">
        <v>4</v>
      </c>
      <c r="AZ22" s="139" t="s">
        <v>75</v>
      </c>
      <c r="BA22" s="198">
        <v>4</v>
      </c>
      <c r="BB22" s="139" t="s">
        <v>75</v>
      </c>
      <c r="BC22" s="272" t="s">
        <v>75</v>
      </c>
    </row>
    <row r="23" spans="2:55" ht="12.75" customHeight="1" x14ac:dyDescent="0.2">
      <c r="B23" s="69"/>
      <c r="C23" s="71"/>
      <c r="D23" s="71"/>
      <c r="E23" s="71"/>
      <c r="F23" s="82">
        <f>1.055+1.168</f>
        <v>2.2229999999999999</v>
      </c>
      <c r="G23" s="82">
        <f t="shared" si="30"/>
        <v>2.8870000000000005</v>
      </c>
      <c r="H23" s="82">
        <f t="shared" si="8"/>
        <v>1.2986954565901938</v>
      </c>
      <c r="I23" s="82">
        <v>9.6000000000000002E-2</v>
      </c>
      <c r="J23" s="82">
        <v>5.0999999999999997E-2</v>
      </c>
      <c r="K23" s="82">
        <v>0.7</v>
      </c>
      <c r="L23" s="82">
        <v>0.57999999999999996</v>
      </c>
      <c r="M23" s="82">
        <v>0.53</v>
      </c>
      <c r="N23" s="82">
        <v>0.13</v>
      </c>
      <c r="O23" s="82">
        <f>0.135+0.665</f>
        <v>0.8</v>
      </c>
      <c r="P23" s="82">
        <f t="shared" si="31"/>
        <v>0.93</v>
      </c>
      <c r="Q23" s="82">
        <f t="shared" si="9"/>
        <v>1.3285714285714287</v>
      </c>
      <c r="R23" s="82">
        <f t="shared" si="0"/>
        <v>0.75714285714285723</v>
      </c>
      <c r="S23" s="82">
        <f t="shared" si="1"/>
        <v>0.82857142857142851</v>
      </c>
      <c r="T23" s="82">
        <f t="shared" si="10"/>
        <v>6.1538461538461542</v>
      </c>
      <c r="U23" s="110" t="s">
        <v>75</v>
      </c>
      <c r="V23" s="110" t="s">
        <v>75</v>
      </c>
      <c r="W23" s="82">
        <v>0.54</v>
      </c>
      <c r="X23" s="82">
        <v>0.17</v>
      </c>
      <c r="Y23" s="82">
        <f t="shared" si="32"/>
        <v>3.1764705882352939</v>
      </c>
      <c r="Z23" s="110" t="s">
        <v>75</v>
      </c>
      <c r="AA23" s="82">
        <v>0.53</v>
      </c>
      <c r="AB23" s="197">
        <f t="shared" si="33"/>
        <v>0.23841655420602792</v>
      </c>
      <c r="AC23" s="82">
        <v>0.93</v>
      </c>
      <c r="AD23" s="197">
        <f t="shared" si="34"/>
        <v>0.41835357624831315</v>
      </c>
      <c r="AE23" s="82">
        <v>0.10299999999999999</v>
      </c>
      <c r="AF23" s="82">
        <f t="shared" si="6"/>
        <v>0.14714285714285713</v>
      </c>
      <c r="AG23" s="82">
        <f t="shared" si="35"/>
        <v>0.11075268817204299</v>
      </c>
      <c r="AH23" s="197">
        <f t="shared" si="36"/>
        <v>0.79230769230769227</v>
      </c>
      <c r="AI23" s="82">
        <v>0.08</v>
      </c>
      <c r="AJ23" s="82">
        <v>6.3E-2</v>
      </c>
      <c r="AK23" s="197">
        <f t="shared" si="2"/>
        <v>1.2698412698412698</v>
      </c>
      <c r="AL23" s="197">
        <f>AI23/AE23</f>
        <v>0.77669902912621369</v>
      </c>
      <c r="AM23" s="197">
        <f>AI23/N23</f>
        <v>0.61538461538461542</v>
      </c>
      <c r="AN23" s="197">
        <f t="shared" si="7"/>
        <v>0.1142857142857143</v>
      </c>
      <c r="AO23" s="197">
        <f t="shared" si="3"/>
        <v>0.47619047619047616</v>
      </c>
      <c r="AP23" s="82">
        <v>0.16800000000000001</v>
      </c>
      <c r="AQ23" s="82">
        <v>0.10199999999999999</v>
      </c>
      <c r="AR23" s="197">
        <f>AP23/F23</f>
        <v>7.5573549257759789E-2</v>
      </c>
      <c r="AS23" s="197">
        <f t="shared" si="4"/>
        <v>1.6470588235294119</v>
      </c>
      <c r="AT23" s="197">
        <f>AP23/K23</f>
        <v>0.24000000000000002</v>
      </c>
      <c r="AU23" s="82">
        <v>0.13</v>
      </c>
      <c r="AV23" s="82">
        <v>0.105</v>
      </c>
      <c r="AW23" s="197">
        <f t="shared" ref="AW23" si="39">AU23/AV23</f>
        <v>1.2380952380952381</v>
      </c>
      <c r="AX23" s="82">
        <f t="shared" ref="AX23" si="40">AP23/AU23</f>
        <v>1.2923076923076924</v>
      </c>
      <c r="AY23" s="139" t="s">
        <v>75</v>
      </c>
      <c r="AZ23" s="139" t="s">
        <v>75</v>
      </c>
      <c r="BA23" s="139" t="s">
        <v>75</v>
      </c>
      <c r="BB23" s="139" t="s">
        <v>75</v>
      </c>
      <c r="BC23" s="272" t="s">
        <v>75</v>
      </c>
    </row>
    <row r="24" spans="2:55" ht="12.75" customHeight="1" x14ac:dyDescent="0.2">
      <c r="B24" s="75" t="s">
        <v>24</v>
      </c>
      <c r="C24" s="76" t="s">
        <v>283</v>
      </c>
      <c r="D24" s="77" t="s">
        <v>282</v>
      </c>
      <c r="E24" s="77" t="s">
        <v>213</v>
      </c>
      <c r="F24" s="187">
        <f>1.085+1.225</f>
        <v>2.31</v>
      </c>
      <c r="G24" s="80">
        <f t="shared" si="30"/>
        <v>2.8489999999999998</v>
      </c>
      <c r="H24" s="80">
        <f t="shared" si="8"/>
        <v>1.2333333333333332</v>
      </c>
      <c r="I24" s="187">
        <v>0.1</v>
      </c>
      <c r="J24" s="187">
        <v>6.0999999999999999E-2</v>
      </c>
      <c r="K24" s="187">
        <v>0.72199999999999998</v>
      </c>
      <c r="L24" s="187">
        <v>0.57099999999999995</v>
      </c>
      <c r="M24" s="187">
        <v>0.48299999999999998</v>
      </c>
      <c r="N24" s="187">
        <v>0.13300000000000001</v>
      </c>
      <c r="O24" s="187">
        <v>0.77900000000000003</v>
      </c>
      <c r="P24" s="80">
        <f t="shared" si="31"/>
        <v>0.91200000000000003</v>
      </c>
      <c r="Q24" s="80">
        <f t="shared" si="9"/>
        <v>1.2631578947368423</v>
      </c>
      <c r="R24" s="80">
        <f t="shared" si="0"/>
        <v>0.66897506925207761</v>
      </c>
      <c r="S24" s="80">
        <f t="shared" si="1"/>
        <v>0.79085872576177285</v>
      </c>
      <c r="T24" s="80">
        <f t="shared" si="10"/>
        <v>5.8571428571428568</v>
      </c>
      <c r="U24" s="187">
        <v>0.30099999999999999</v>
      </c>
      <c r="V24" s="80">
        <f t="shared" si="11"/>
        <v>9.4651162790697665</v>
      </c>
      <c r="W24" s="187">
        <v>0.58799999999999997</v>
      </c>
      <c r="X24" s="187">
        <v>0.14399999999999999</v>
      </c>
      <c r="Y24" s="80">
        <f t="shared" si="32"/>
        <v>4.083333333333333</v>
      </c>
      <c r="Z24" s="187">
        <v>0.39900000000000002</v>
      </c>
      <c r="AA24" s="187">
        <v>0.52200000000000002</v>
      </c>
      <c r="AB24" s="187">
        <f t="shared" si="33"/>
        <v>0.22597402597402597</v>
      </c>
      <c r="AC24" s="187">
        <v>0.999</v>
      </c>
      <c r="AD24" s="187">
        <f t="shared" si="34"/>
        <v>0.43246753246753245</v>
      </c>
      <c r="AE24" s="187">
        <v>0.11700000000000001</v>
      </c>
      <c r="AF24" s="80">
        <f t="shared" si="6"/>
        <v>0.16204986149584488</v>
      </c>
      <c r="AG24" s="80">
        <f t="shared" si="35"/>
        <v>0.12828947368421054</v>
      </c>
      <c r="AH24" s="187">
        <f t="shared" si="36"/>
        <v>0.87969924812030076</v>
      </c>
      <c r="AI24" s="263" t="s">
        <v>75</v>
      </c>
      <c r="AJ24" s="263" t="s">
        <v>75</v>
      </c>
      <c r="AK24" s="263" t="s">
        <v>75</v>
      </c>
      <c r="AL24" s="263" t="s">
        <v>75</v>
      </c>
      <c r="AM24" s="263" t="s">
        <v>75</v>
      </c>
      <c r="AN24" s="263" t="s">
        <v>75</v>
      </c>
      <c r="AO24" s="263" t="s">
        <v>75</v>
      </c>
      <c r="AP24" s="187">
        <v>0.185</v>
      </c>
      <c r="AQ24" s="187">
        <v>7.2999999999999995E-2</v>
      </c>
      <c r="AR24" s="187">
        <f>AP24/F24</f>
        <v>8.0086580086580081E-2</v>
      </c>
      <c r="AS24" s="187">
        <f t="shared" si="4"/>
        <v>2.5342465753424657</v>
      </c>
      <c r="AT24" s="187">
        <f>AP24/K24</f>
        <v>0.25623268698060941</v>
      </c>
      <c r="AU24" s="187">
        <v>0.11600000000000001</v>
      </c>
      <c r="AV24" s="187">
        <v>0.17299999999999999</v>
      </c>
      <c r="AW24" s="187">
        <f t="shared" si="37"/>
        <v>0.67052023121387294</v>
      </c>
      <c r="AX24" s="80">
        <f t="shared" si="5"/>
        <v>1.5948275862068964</v>
      </c>
      <c r="AY24" s="189">
        <v>5</v>
      </c>
      <c r="AZ24" s="189">
        <v>11</v>
      </c>
      <c r="BA24" s="265" t="s">
        <v>75</v>
      </c>
      <c r="BB24" s="189">
        <v>7</v>
      </c>
      <c r="BC24" s="190">
        <v>7</v>
      </c>
    </row>
    <row r="25" spans="2:55" ht="12.75" customHeight="1" x14ac:dyDescent="0.2">
      <c r="B25" s="153"/>
      <c r="C25" s="91"/>
      <c r="D25" s="91"/>
      <c r="E25" s="91"/>
      <c r="F25" s="192">
        <f>1.085+1.225</f>
        <v>2.31</v>
      </c>
      <c r="G25" s="94">
        <f t="shared" si="30"/>
        <v>2.891</v>
      </c>
      <c r="H25" s="94">
        <f t="shared" si="8"/>
        <v>1.2515151515151515</v>
      </c>
      <c r="I25" s="192">
        <v>0.11</v>
      </c>
      <c r="J25" s="192">
        <v>0.06</v>
      </c>
      <c r="K25" s="192">
        <v>0.74</v>
      </c>
      <c r="L25" s="192">
        <v>0.58699999999999997</v>
      </c>
      <c r="M25" s="192">
        <v>0.443</v>
      </c>
      <c r="N25" s="192">
        <v>0.14000000000000001</v>
      </c>
      <c r="O25" s="192">
        <f>0.52+0.291</f>
        <v>0.81099999999999994</v>
      </c>
      <c r="P25" s="94">
        <f t="shared" si="31"/>
        <v>0.95099999999999996</v>
      </c>
      <c r="Q25" s="94">
        <f t="shared" si="9"/>
        <v>1.285135135135135</v>
      </c>
      <c r="R25" s="94">
        <f t="shared" si="0"/>
        <v>0.59864864864864864</v>
      </c>
      <c r="S25" s="94">
        <f t="shared" si="1"/>
        <v>0.79324324324324325</v>
      </c>
      <c r="T25" s="94">
        <f t="shared" si="10"/>
        <v>5.7928571428571418</v>
      </c>
      <c r="U25" s="192">
        <v>0.30099999999999999</v>
      </c>
      <c r="V25" s="94">
        <f t="shared" si="11"/>
        <v>9.6046511627906987</v>
      </c>
      <c r="W25" s="192">
        <v>0.58599999999999997</v>
      </c>
      <c r="X25" s="192">
        <v>0.13800000000000001</v>
      </c>
      <c r="Y25" s="94">
        <f t="shared" si="32"/>
        <v>4.2463768115942022</v>
      </c>
      <c r="Z25" s="192">
        <v>0.38700000000000001</v>
      </c>
      <c r="AA25" s="192">
        <v>0.54600000000000004</v>
      </c>
      <c r="AB25" s="192">
        <f t="shared" si="33"/>
        <v>0.23636363636363639</v>
      </c>
      <c r="AC25" s="192">
        <v>0.996</v>
      </c>
      <c r="AD25" s="192">
        <f t="shared" si="34"/>
        <v>0.43116883116883115</v>
      </c>
      <c r="AE25" s="192">
        <v>0.114</v>
      </c>
      <c r="AF25" s="94">
        <f t="shared" si="6"/>
        <v>0.15405405405405406</v>
      </c>
      <c r="AG25" s="94">
        <f t="shared" si="35"/>
        <v>0.11987381703470032</v>
      </c>
      <c r="AH25" s="192">
        <f t="shared" si="36"/>
        <v>0.81428571428571428</v>
      </c>
      <c r="AI25" s="267" t="s">
        <v>75</v>
      </c>
      <c r="AJ25" s="267" t="s">
        <v>75</v>
      </c>
      <c r="AK25" s="267" t="s">
        <v>75</v>
      </c>
      <c r="AL25" s="267" t="s">
        <v>75</v>
      </c>
      <c r="AM25" s="267" t="s">
        <v>75</v>
      </c>
      <c r="AN25" s="267" t="s">
        <v>75</v>
      </c>
      <c r="AO25" s="267" t="s">
        <v>75</v>
      </c>
      <c r="AP25" s="192">
        <v>0.184</v>
      </c>
      <c r="AQ25" s="192">
        <v>7.5999999999999998E-2</v>
      </c>
      <c r="AR25" s="192">
        <f>AP25/F25</f>
        <v>7.9653679653679657E-2</v>
      </c>
      <c r="AS25" s="192">
        <f t="shared" si="4"/>
        <v>2.4210526315789473</v>
      </c>
      <c r="AT25" s="192">
        <f>AP25/K25</f>
        <v>0.24864864864864863</v>
      </c>
      <c r="AU25" s="192">
        <v>0.11600000000000001</v>
      </c>
      <c r="AV25" s="192">
        <v>0.17299999999999999</v>
      </c>
      <c r="AW25" s="192">
        <f t="shared" ref="AW25" si="41">AU25/AV25</f>
        <v>0.67052023121387294</v>
      </c>
      <c r="AX25" s="94">
        <f t="shared" ref="AX25" si="42">AP25/AU25</f>
        <v>1.586206896551724</v>
      </c>
      <c r="AY25" s="268" t="s">
        <v>75</v>
      </c>
      <c r="AZ25" s="193">
        <v>13</v>
      </c>
      <c r="BA25" s="268" t="s">
        <v>75</v>
      </c>
      <c r="BB25" s="268" t="s">
        <v>75</v>
      </c>
      <c r="BC25" s="269" t="s">
        <v>75</v>
      </c>
    </row>
    <row r="26" spans="2:55" ht="12.75" customHeight="1" x14ac:dyDescent="0.2">
      <c r="E26" s="2" t="s">
        <v>25</v>
      </c>
      <c r="F26" s="171">
        <f>MIN(F3:F25)</f>
        <v>1.6869999999999998</v>
      </c>
      <c r="G26" s="171">
        <f t="shared" ref="G26:AX26" si="43">MIN(G3:G25)</f>
        <v>2.62</v>
      </c>
      <c r="H26" s="171">
        <f t="shared" si="43"/>
        <v>1.1742738589211619</v>
      </c>
      <c r="I26" s="171">
        <f t="shared" si="43"/>
        <v>6.6000000000000003E-2</v>
      </c>
      <c r="J26" s="171">
        <f t="shared" si="43"/>
        <v>5.0999999999999997E-2</v>
      </c>
      <c r="K26" s="171">
        <f t="shared" si="43"/>
        <v>0.69</v>
      </c>
      <c r="L26" s="171">
        <f t="shared" si="43"/>
        <v>0.51300000000000001</v>
      </c>
      <c r="M26" s="171">
        <f t="shared" si="43"/>
        <v>0.443</v>
      </c>
      <c r="N26" s="171">
        <f t="shared" si="43"/>
        <v>0.12</v>
      </c>
      <c r="O26" s="171">
        <f t="shared" si="43"/>
        <v>0.6</v>
      </c>
      <c r="P26" s="171">
        <f t="shared" si="43"/>
        <v>0.73</v>
      </c>
      <c r="Q26" s="171">
        <f t="shared" si="43"/>
        <v>0.98389095415117722</v>
      </c>
      <c r="R26" s="171">
        <f t="shared" si="43"/>
        <v>0.58271604938271593</v>
      </c>
      <c r="S26" s="171">
        <f t="shared" si="43"/>
        <v>0.65517241379310343</v>
      </c>
      <c r="T26" s="171">
        <f t="shared" si="43"/>
        <v>4.615384615384615</v>
      </c>
      <c r="U26" s="171">
        <f t="shared" si="43"/>
        <v>0.29599999999999999</v>
      </c>
      <c r="V26" s="171">
        <f t="shared" si="43"/>
        <v>8.2944444444444461</v>
      </c>
      <c r="W26" s="171">
        <f t="shared" si="43"/>
        <v>0.5</v>
      </c>
      <c r="X26" s="171">
        <f t="shared" si="43"/>
        <v>0.13500000000000001</v>
      </c>
      <c r="Y26" s="171">
        <f t="shared" si="43"/>
        <v>3.1764705882352939</v>
      </c>
      <c r="Z26" s="171">
        <f t="shared" si="43"/>
        <v>0.34100000000000003</v>
      </c>
      <c r="AA26" s="171">
        <f t="shared" si="43"/>
        <v>0.49</v>
      </c>
      <c r="AB26" s="171">
        <f t="shared" si="43"/>
        <v>0.22597402597402597</v>
      </c>
      <c r="AC26" s="171">
        <f t="shared" si="43"/>
        <v>0.92</v>
      </c>
      <c r="AD26" s="171">
        <f t="shared" si="43"/>
        <v>0.41702127659574467</v>
      </c>
      <c r="AE26" s="171">
        <f t="shared" si="43"/>
        <v>0.10299999999999999</v>
      </c>
      <c r="AF26" s="171">
        <f t="shared" si="43"/>
        <v>0.1263803680981595</v>
      </c>
      <c r="AG26" s="171">
        <f t="shared" si="43"/>
        <v>0.11075268817204299</v>
      </c>
      <c r="AH26" s="171">
        <f t="shared" si="43"/>
        <v>0.76865671641791034</v>
      </c>
      <c r="AI26" s="171">
        <f t="shared" si="43"/>
        <v>7.8E-2</v>
      </c>
      <c r="AJ26" s="171">
        <f t="shared" si="43"/>
        <v>5.8000000000000003E-2</v>
      </c>
      <c r="AK26" s="171">
        <f t="shared" si="43"/>
        <v>1.2698412698412698</v>
      </c>
      <c r="AL26" s="171">
        <f t="shared" si="43"/>
        <v>0.66666666666666674</v>
      </c>
      <c r="AM26" s="171">
        <f t="shared" si="43"/>
        <v>0.59259259259259256</v>
      </c>
      <c r="AN26" s="171">
        <f t="shared" si="43"/>
        <v>9.5121951219512196E-2</v>
      </c>
      <c r="AO26" s="171">
        <f t="shared" si="43"/>
        <v>0.42105263157894735</v>
      </c>
      <c r="AP26" s="171">
        <f t="shared" si="43"/>
        <v>0.16200000000000001</v>
      </c>
      <c r="AQ26" s="171">
        <f t="shared" si="43"/>
        <v>7.0000000000000007E-2</v>
      </c>
      <c r="AR26" s="171">
        <f t="shared" si="43"/>
        <v>6.9787234042553187E-2</v>
      </c>
      <c r="AS26" s="171">
        <f t="shared" si="43"/>
        <v>1.5641025641025639</v>
      </c>
      <c r="AT26" s="171">
        <f t="shared" si="43"/>
        <v>0.2</v>
      </c>
      <c r="AU26" s="171">
        <f t="shared" si="43"/>
        <v>9.7000000000000003E-2</v>
      </c>
      <c r="AV26" s="171">
        <f t="shared" si="43"/>
        <v>0.105</v>
      </c>
      <c r="AW26" s="171">
        <f t="shared" si="43"/>
        <v>0.67052023121387294</v>
      </c>
      <c r="AX26" s="171">
        <f t="shared" si="43"/>
        <v>1.2615384615384615</v>
      </c>
      <c r="AY26" s="173">
        <f>MIN(AY3:AY14)</f>
        <v>4</v>
      </c>
      <c r="AZ26" s="173">
        <v>7</v>
      </c>
      <c r="BA26" s="173">
        <f>MIN(BA3:BA12)</f>
        <v>4</v>
      </c>
      <c r="BB26" s="173">
        <f>MIN(BB3:BB14)</f>
        <v>8</v>
      </c>
      <c r="BC26" s="173">
        <f>MIN(BC3:BC14)</f>
        <v>6</v>
      </c>
    </row>
    <row r="27" spans="2:55" ht="12.75" customHeight="1" x14ac:dyDescent="0.2">
      <c r="E27" s="2" t="s">
        <v>26</v>
      </c>
      <c r="F27" s="171">
        <f>MAX(F3:F25)</f>
        <v>2.41</v>
      </c>
      <c r="G27" s="171">
        <f t="shared" ref="G27:AX27" si="44">MAX(G3:G25)</f>
        <v>3.0680000000000005</v>
      </c>
      <c r="H27" s="171">
        <f t="shared" si="44"/>
        <v>1.6138874276696478</v>
      </c>
      <c r="I27" s="171">
        <f t="shared" si="44"/>
        <v>0.11</v>
      </c>
      <c r="J27" s="171">
        <f t="shared" si="44"/>
        <v>7.0000000000000007E-2</v>
      </c>
      <c r="K27" s="171">
        <f t="shared" si="44"/>
        <v>0.85</v>
      </c>
      <c r="L27" s="171">
        <f t="shared" si="44"/>
        <v>0.61</v>
      </c>
      <c r="M27" s="171">
        <f t="shared" si="44"/>
        <v>0.58399999999999996</v>
      </c>
      <c r="N27" s="171">
        <f t="shared" si="44"/>
        <v>0.14599999999999999</v>
      </c>
      <c r="O27" s="171">
        <f t="shared" si="44"/>
        <v>0.85</v>
      </c>
      <c r="P27" s="171">
        <f t="shared" si="44"/>
        <v>0.97</v>
      </c>
      <c r="Q27" s="171">
        <f t="shared" si="44"/>
        <v>1.3333333333333333</v>
      </c>
      <c r="R27" s="171">
        <f t="shared" si="44"/>
        <v>0.75714285714285723</v>
      </c>
      <c r="S27" s="171">
        <f t="shared" si="44"/>
        <v>0.82857142857142851</v>
      </c>
      <c r="T27" s="171">
        <f t="shared" si="44"/>
        <v>7.083333333333333</v>
      </c>
      <c r="U27" s="171">
        <f t="shared" si="44"/>
        <v>0.36</v>
      </c>
      <c r="V27" s="171">
        <f t="shared" si="44"/>
        <v>9.8019169329073499</v>
      </c>
      <c r="W27" s="171">
        <f t="shared" si="44"/>
        <v>0.59</v>
      </c>
      <c r="X27" s="171">
        <f t="shared" si="44"/>
        <v>0.17</v>
      </c>
      <c r="Y27" s="171">
        <f t="shared" si="44"/>
        <v>4.2463768115942022</v>
      </c>
      <c r="Z27" s="171">
        <f t="shared" si="44"/>
        <v>0.39900000000000002</v>
      </c>
      <c r="AA27" s="171">
        <f t="shared" si="44"/>
        <v>0.65</v>
      </c>
      <c r="AB27" s="171">
        <f t="shared" si="44"/>
        <v>0.29638411381149971</v>
      </c>
      <c r="AC27" s="171">
        <f t="shared" si="44"/>
        <v>1.044</v>
      </c>
      <c r="AD27" s="171">
        <f t="shared" si="44"/>
        <v>0.55720213396561946</v>
      </c>
      <c r="AE27" s="171">
        <f t="shared" si="44"/>
        <v>0.121</v>
      </c>
      <c r="AF27" s="171">
        <f t="shared" si="44"/>
        <v>0.16666666666666666</v>
      </c>
      <c r="AG27" s="171">
        <f t="shared" si="44"/>
        <v>0.14794520547945206</v>
      </c>
      <c r="AH27" s="171">
        <f t="shared" si="44"/>
        <v>1</v>
      </c>
      <c r="AI27" s="171">
        <f t="shared" si="44"/>
        <v>8.7999999999999995E-2</v>
      </c>
      <c r="AJ27" s="171">
        <f t="shared" si="44"/>
        <v>6.3E-2</v>
      </c>
      <c r="AK27" s="171">
        <f t="shared" si="44"/>
        <v>1.4666666666666666</v>
      </c>
      <c r="AL27" s="171">
        <f t="shared" si="44"/>
        <v>0.78640776699029136</v>
      </c>
      <c r="AM27" s="171">
        <f t="shared" si="44"/>
        <v>0.66666666666666674</v>
      </c>
      <c r="AN27" s="171">
        <f t="shared" si="44"/>
        <v>0.11594202898550726</v>
      </c>
      <c r="AO27" s="171">
        <f t="shared" si="44"/>
        <v>0.48192771084337349</v>
      </c>
      <c r="AP27" s="171">
        <f t="shared" si="44"/>
        <v>0.21</v>
      </c>
      <c r="AQ27" s="171">
        <f t="shared" si="44"/>
        <v>0.11700000000000001</v>
      </c>
      <c r="AR27" s="171">
        <f t="shared" si="44"/>
        <v>0.1066982809721399</v>
      </c>
      <c r="AS27" s="171">
        <f t="shared" si="44"/>
        <v>2.5342465753424657</v>
      </c>
      <c r="AT27" s="171">
        <f t="shared" si="44"/>
        <v>0.26819923371647508</v>
      </c>
      <c r="AU27" s="171">
        <f t="shared" si="44"/>
        <v>0.13</v>
      </c>
      <c r="AV27" s="171">
        <f t="shared" si="44"/>
        <v>0.17299999999999999</v>
      </c>
      <c r="AW27" s="171">
        <f t="shared" si="44"/>
        <v>1.2380952380952381</v>
      </c>
      <c r="AX27" s="171">
        <f t="shared" si="44"/>
        <v>2.1649484536082473</v>
      </c>
      <c r="AY27" s="173">
        <f>MAX(AY3:AY14)</f>
        <v>6</v>
      </c>
      <c r="AZ27" s="173">
        <v>13</v>
      </c>
      <c r="BA27" s="173">
        <f>MAX(BA3:BA12)</f>
        <v>8</v>
      </c>
      <c r="BB27" s="173">
        <f>MAX(BB3:BB14)</f>
        <v>10</v>
      </c>
      <c r="BC27" s="173">
        <f>MAX(BC3:BC14)</f>
        <v>10</v>
      </c>
    </row>
    <row r="28" spans="2:55" ht="12.75" customHeight="1" x14ac:dyDescent="0.2"/>
    <row r="29" spans="2:55" ht="12.75" customHeight="1" x14ac:dyDescent="0.2"/>
    <row r="30" spans="2:55" ht="12.75" customHeight="1" x14ac:dyDescent="0.2"/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BC46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2" width="18.7109375" style="46" customWidth="1"/>
    <col min="3" max="4" width="18.7109375" style="1" customWidth="1"/>
    <col min="5" max="5" width="36.7109375" style="1" customWidth="1"/>
    <col min="6" max="52" width="8.7109375" style="1" customWidth="1"/>
    <col min="53" max="55" width="10.7109375" style="1" customWidth="1"/>
    <col min="56" max="16384" width="9.140625" style="1"/>
  </cols>
  <sheetData>
    <row r="1" spans="2:55" ht="12" customHeight="1" x14ac:dyDescent="0.2"/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">
      <c r="B3" s="61">
        <v>15159</v>
      </c>
      <c r="C3" s="62" t="s">
        <v>299</v>
      </c>
      <c r="D3" s="63" t="s">
        <v>142</v>
      </c>
      <c r="E3" s="63" t="s">
        <v>214</v>
      </c>
      <c r="F3" s="64">
        <v>2.5099999999999998</v>
      </c>
      <c r="G3" s="65">
        <f t="shared" ref="G3:G40" si="0">I3+J3+K3+L3+M3+N3+O3</f>
        <v>5.1009999999999991</v>
      </c>
      <c r="H3" s="65">
        <f t="shared" ref="H3:H40" si="1">G3/F3</f>
        <v>2.0322709163346611</v>
      </c>
      <c r="I3" s="64">
        <v>0.128</v>
      </c>
      <c r="J3" s="64">
        <v>6.4000000000000001E-2</v>
      </c>
      <c r="K3" s="64">
        <v>1.07</v>
      </c>
      <c r="L3" s="64">
        <v>0.9</v>
      </c>
      <c r="M3" s="64">
        <v>0.93799999999999994</v>
      </c>
      <c r="N3" s="64">
        <v>0.155</v>
      </c>
      <c r="O3" s="64">
        <v>1.8460000000000001</v>
      </c>
      <c r="P3" s="64">
        <f>N:N+O:O</f>
        <v>2.0009999999999999</v>
      </c>
      <c r="Q3" s="65">
        <f t="shared" ref="Q3:Q40" si="2">(N3+O3)/K3</f>
        <v>1.870093457943925</v>
      </c>
      <c r="R3" s="65">
        <f t="shared" ref="R3:R40" si="3">M3/K3</f>
        <v>0.87663551401869144</v>
      </c>
      <c r="S3" s="65">
        <f t="shared" ref="S3:S40" si="4">L3/K3</f>
        <v>0.84112149532710279</v>
      </c>
      <c r="T3" s="65">
        <f t="shared" ref="T3:T40" si="5">O3/N3</f>
        <v>11.909677419354839</v>
      </c>
      <c r="U3" s="64">
        <v>0.31900000000000001</v>
      </c>
      <c r="V3" s="64">
        <f>G3/U3</f>
        <v>15.990595611285263</v>
      </c>
      <c r="W3" s="66" t="s">
        <v>75</v>
      </c>
      <c r="X3" s="66" t="s">
        <v>75</v>
      </c>
      <c r="Y3" s="66" t="s">
        <v>75</v>
      </c>
      <c r="Z3" s="66" t="s">
        <v>75</v>
      </c>
      <c r="AA3" s="64">
        <v>0.77100000000000002</v>
      </c>
      <c r="AB3" s="64">
        <f>AA3/F3</f>
        <v>0.30717131474103587</v>
      </c>
      <c r="AC3" s="64">
        <v>1.5669999999999999</v>
      </c>
      <c r="AD3" s="64">
        <f>AC3/F3</f>
        <v>0.62430278884462154</v>
      </c>
      <c r="AE3" s="64">
        <v>9.7000000000000003E-2</v>
      </c>
      <c r="AF3" s="64">
        <f>AE:AE/K:K</f>
        <v>9.0654205607476626E-2</v>
      </c>
      <c r="AG3" s="64">
        <f>AE:AE/P:P</f>
        <v>4.8475762118940537E-2</v>
      </c>
      <c r="AH3" s="64">
        <f>AE3/N3</f>
        <v>0.62580645161290327</v>
      </c>
      <c r="AI3" s="66" t="s">
        <v>75</v>
      </c>
      <c r="AJ3" s="66" t="s">
        <v>75</v>
      </c>
      <c r="AK3" s="66" t="s">
        <v>75</v>
      </c>
      <c r="AL3" s="66" t="s">
        <v>75</v>
      </c>
      <c r="AM3" s="66" t="s">
        <v>75</v>
      </c>
      <c r="AN3" s="66" t="s">
        <v>75</v>
      </c>
      <c r="AO3" s="66" t="s">
        <v>75</v>
      </c>
      <c r="AP3" s="64">
        <v>0.33</v>
      </c>
      <c r="AQ3" s="64">
        <v>0.12</v>
      </c>
      <c r="AR3" s="64">
        <f t="shared" ref="AR3:AR40" si="6">AP3/F3</f>
        <v>0.13147410358565739</v>
      </c>
      <c r="AS3" s="64">
        <f t="shared" ref="AS3:AS40" si="7">AP3/AQ3</f>
        <v>2.7500000000000004</v>
      </c>
      <c r="AT3" s="64">
        <f t="shared" ref="AT3:AT19" si="8">AP3/K3</f>
        <v>0.30841121495327101</v>
      </c>
      <c r="AU3" s="64">
        <v>0.13700000000000001</v>
      </c>
      <c r="AV3" s="64">
        <v>0.14499999999999999</v>
      </c>
      <c r="AW3" s="64">
        <f>AU3/AV3</f>
        <v>0.94482758620689666</v>
      </c>
      <c r="AX3" s="65">
        <f>AP3/AU3</f>
        <v>2.4087591240875912</v>
      </c>
      <c r="AY3" s="221" t="s">
        <v>75</v>
      </c>
      <c r="AZ3" s="67">
        <v>14</v>
      </c>
      <c r="BA3" s="254" t="s">
        <v>75</v>
      </c>
      <c r="BB3" s="254" t="s">
        <v>75</v>
      </c>
      <c r="BC3" s="255" t="s">
        <v>75</v>
      </c>
    </row>
    <row r="4" spans="2:55" ht="12.75" customHeight="1" x14ac:dyDescent="0.2">
      <c r="B4" s="69"/>
      <c r="C4" s="71"/>
      <c r="D4" s="71"/>
      <c r="E4" s="71"/>
      <c r="F4" s="72">
        <v>2.5099999999999998</v>
      </c>
      <c r="G4" s="82">
        <f t="shared" si="0"/>
        <v>4.9979999999999993</v>
      </c>
      <c r="H4" s="82">
        <f t="shared" si="1"/>
        <v>1.991235059760956</v>
      </c>
      <c r="I4" s="72">
        <v>0.13800000000000001</v>
      </c>
      <c r="J4" s="72">
        <v>6.3E-2</v>
      </c>
      <c r="K4" s="72">
        <v>1.075</v>
      </c>
      <c r="L4" s="72">
        <v>0.89800000000000002</v>
      </c>
      <c r="M4" s="72">
        <v>0.92800000000000005</v>
      </c>
      <c r="N4" s="72">
        <v>0.13</v>
      </c>
      <c r="O4" s="72">
        <v>1.766</v>
      </c>
      <c r="P4" s="72">
        <f>N:N+O:O</f>
        <v>1.8959999999999999</v>
      </c>
      <c r="Q4" s="82">
        <f t="shared" si="2"/>
        <v>1.763720930232558</v>
      </c>
      <c r="R4" s="82">
        <f t="shared" si="3"/>
        <v>0.86325581395348849</v>
      </c>
      <c r="S4" s="82">
        <f t="shared" si="4"/>
        <v>0.83534883720930242</v>
      </c>
      <c r="T4" s="82">
        <f t="shared" si="5"/>
        <v>13.584615384615384</v>
      </c>
      <c r="U4" s="72">
        <v>0.31900000000000001</v>
      </c>
      <c r="V4" s="72">
        <f t="shared" ref="V4:V40" si="9">G4/U4</f>
        <v>15.667711598746079</v>
      </c>
      <c r="W4" s="73" t="s">
        <v>75</v>
      </c>
      <c r="X4" s="73" t="s">
        <v>75</v>
      </c>
      <c r="Y4" s="73" t="s">
        <v>75</v>
      </c>
      <c r="Z4" s="73" t="s">
        <v>75</v>
      </c>
      <c r="AA4" s="73" t="s">
        <v>75</v>
      </c>
      <c r="AB4" s="73" t="s">
        <v>75</v>
      </c>
      <c r="AC4" s="73" t="s">
        <v>75</v>
      </c>
      <c r="AD4" s="73" t="s">
        <v>75</v>
      </c>
      <c r="AE4" s="73" t="s">
        <v>75</v>
      </c>
      <c r="AF4" s="73" t="s">
        <v>75</v>
      </c>
      <c r="AG4" s="73" t="s">
        <v>75</v>
      </c>
      <c r="AH4" s="73" t="s">
        <v>75</v>
      </c>
      <c r="AI4" s="73" t="s">
        <v>75</v>
      </c>
      <c r="AJ4" s="73" t="s">
        <v>75</v>
      </c>
      <c r="AK4" s="73" t="s">
        <v>75</v>
      </c>
      <c r="AL4" s="73" t="s">
        <v>75</v>
      </c>
      <c r="AM4" s="73" t="s">
        <v>75</v>
      </c>
      <c r="AN4" s="73" t="s">
        <v>75</v>
      </c>
      <c r="AO4" s="73" t="s">
        <v>75</v>
      </c>
      <c r="AP4" s="72">
        <v>0.318</v>
      </c>
      <c r="AQ4" s="72">
        <v>0.113</v>
      </c>
      <c r="AR4" s="72">
        <f t="shared" si="6"/>
        <v>0.12669322709163347</v>
      </c>
      <c r="AS4" s="72">
        <f t="shared" si="7"/>
        <v>2.8141592920353982</v>
      </c>
      <c r="AT4" s="72">
        <f t="shared" si="8"/>
        <v>0.29581395348837208</v>
      </c>
      <c r="AU4" s="72">
        <v>0.13700000000000001</v>
      </c>
      <c r="AV4" s="72">
        <v>0.14499999999999999</v>
      </c>
      <c r="AW4" s="72">
        <f>AU4/AV4</f>
        <v>0.94482758620689666</v>
      </c>
      <c r="AX4" s="82">
        <f>AP4/AU4</f>
        <v>2.3211678832116789</v>
      </c>
      <c r="AY4" s="224" t="s">
        <v>75</v>
      </c>
      <c r="AZ4" s="84">
        <v>15</v>
      </c>
      <c r="BA4" s="251" t="s">
        <v>75</v>
      </c>
      <c r="BB4" s="251" t="s">
        <v>75</v>
      </c>
      <c r="BC4" s="256" t="s">
        <v>75</v>
      </c>
    </row>
    <row r="5" spans="2:55" ht="12.75" customHeight="1" x14ac:dyDescent="0.2">
      <c r="B5" s="86">
        <v>15159</v>
      </c>
      <c r="C5" s="76" t="s">
        <v>299</v>
      </c>
      <c r="D5" s="77" t="s">
        <v>142</v>
      </c>
      <c r="E5" s="77" t="s">
        <v>214</v>
      </c>
      <c r="F5" s="78">
        <v>2.7109999999999999</v>
      </c>
      <c r="G5" s="114" t="s">
        <v>75</v>
      </c>
      <c r="H5" s="114" t="s">
        <v>75</v>
      </c>
      <c r="I5" s="78">
        <v>0.13900000000000001</v>
      </c>
      <c r="J5" s="78">
        <v>5.8000000000000003E-2</v>
      </c>
      <c r="K5" s="78">
        <v>1.145</v>
      </c>
      <c r="L5" s="78">
        <v>0.81399999999999995</v>
      </c>
      <c r="M5" s="78">
        <v>0.82799999999999996</v>
      </c>
      <c r="N5" s="78">
        <v>0.121</v>
      </c>
      <c r="O5" s="79" t="s">
        <v>75</v>
      </c>
      <c r="P5" s="79" t="s">
        <v>75</v>
      </c>
      <c r="Q5" s="114" t="s">
        <v>75</v>
      </c>
      <c r="R5" s="80">
        <f t="shared" si="3"/>
        <v>0.72314410480349345</v>
      </c>
      <c r="S5" s="80">
        <f t="shared" si="4"/>
        <v>0.71091703056768552</v>
      </c>
      <c r="T5" s="114" t="s">
        <v>75</v>
      </c>
      <c r="U5" s="79" t="s">
        <v>75</v>
      </c>
      <c r="V5" s="79" t="s">
        <v>75</v>
      </c>
      <c r="W5" s="79" t="s">
        <v>75</v>
      </c>
      <c r="X5" s="79" t="s">
        <v>75</v>
      </c>
      <c r="Y5" s="79" t="s">
        <v>75</v>
      </c>
      <c r="Z5" s="79" t="s">
        <v>75</v>
      </c>
      <c r="AA5" s="79" t="s">
        <v>75</v>
      </c>
      <c r="AB5" s="79" t="s">
        <v>75</v>
      </c>
      <c r="AC5" s="79" t="s">
        <v>75</v>
      </c>
      <c r="AD5" s="79" t="s">
        <v>75</v>
      </c>
      <c r="AE5" s="79" t="s">
        <v>75</v>
      </c>
      <c r="AF5" s="79" t="s">
        <v>75</v>
      </c>
      <c r="AG5" s="79" t="s">
        <v>75</v>
      </c>
      <c r="AH5" s="79" t="s">
        <v>75</v>
      </c>
      <c r="AI5" s="79" t="s">
        <v>75</v>
      </c>
      <c r="AJ5" s="79" t="s">
        <v>75</v>
      </c>
      <c r="AK5" s="79" t="s">
        <v>75</v>
      </c>
      <c r="AL5" s="79" t="s">
        <v>75</v>
      </c>
      <c r="AM5" s="79" t="s">
        <v>75</v>
      </c>
      <c r="AN5" s="79" t="s">
        <v>75</v>
      </c>
      <c r="AO5" s="79" t="s">
        <v>75</v>
      </c>
      <c r="AP5" s="78">
        <v>0.32200000000000001</v>
      </c>
      <c r="AQ5" s="78">
        <v>0.13200000000000001</v>
      </c>
      <c r="AR5" s="78">
        <f t="shared" si="6"/>
        <v>0.11877535964588713</v>
      </c>
      <c r="AS5" s="78">
        <f t="shared" si="7"/>
        <v>2.4393939393939394</v>
      </c>
      <c r="AT5" s="78">
        <f t="shared" si="8"/>
        <v>0.2812227074235808</v>
      </c>
      <c r="AU5" s="79" t="s">
        <v>75</v>
      </c>
      <c r="AV5" s="79" t="s">
        <v>75</v>
      </c>
      <c r="AW5" s="79" t="s">
        <v>75</v>
      </c>
      <c r="AX5" s="114" t="s">
        <v>75</v>
      </c>
      <c r="AY5" s="215" t="s">
        <v>75</v>
      </c>
      <c r="AZ5" s="216" t="s">
        <v>75</v>
      </c>
      <c r="BA5" s="252" t="s">
        <v>75</v>
      </c>
      <c r="BB5" s="252" t="s">
        <v>75</v>
      </c>
      <c r="BC5" s="257" t="s">
        <v>75</v>
      </c>
    </row>
    <row r="6" spans="2:55" ht="12.75" customHeight="1" x14ac:dyDescent="0.2">
      <c r="B6" s="75"/>
      <c r="C6" s="77"/>
      <c r="D6" s="77"/>
      <c r="E6" s="77"/>
      <c r="F6" s="78">
        <v>2.7109999999999999</v>
      </c>
      <c r="G6" s="114" t="s">
        <v>75</v>
      </c>
      <c r="H6" s="114" t="s">
        <v>75</v>
      </c>
      <c r="I6" s="78">
        <v>0.14399999999999999</v>
      </c>
      <c r="J6" s="78">
        <v>3.5999999999999997E-2</v>
      </c>
      <c r="K6" s="78">
        <v>1.1839999999999999</v>
      </c>
      <c r="L6" s="79" t="s">
        <v>75</v>
      </c>
      <c r="M6" s="79" t="s">
        <v>75</v>
      </c>
      <c r="N6" s="79" t="s">
        <v>75</v>
      </c>
      <c r="O6" s="79" t="s">
        <v>75</v>
      </c>
      <c r="P6" s="79" t="s">
        <v>75</v>
      </c>
      <c r="Q6" s="114" t="s">
        <v>75</v>
      </c>
      <c r="R6" s="114" t="s">
        <v>75</v>
      </c>
      <c r="S6" s="114" t="s">
        <v>75</v>
      </c>
      <c r="T6" s="114" t="s">
        <v>75</v>
      </c>
      <c r="U6" s="79" t="s">
        <v>75</v>
      </c>
      <c r="V6" s="79" t="s">
        <v>75</v>
      </c>
      <c r="W6" s="79" t="s">
        <v>75</v>
      </c>
      <c r="X6" s="79" t="s">
        <v>75</v>
      </c>
      <c r="Y6" s="79" t="s">
        <v>75</v>
      </c>
      <c r="Z6" s="79" t="s">
        <v>75</v>
      </c>
      <c r="AA6" s="79" t="s">
        <v>75</v>
      </c>
      <c r="AB6" s="79" t="s">
        <v>75</v>
      </c>
      <c r="AC6" s="79" t="s">
        <v>75</v>
      </c>
      <c r="AD6" s="79" t="s">
        <v>75</v>
      </c>
      <c r="AE6" s="79" t="s">
        <v>75</v>
      </c>
      <c r="AF6" s="79" t="s">
        <v>75</v>
      </c>
      <c r="AG6" s="79" t="s">
        <v>75</v>
      </c>
      <c r="AH6" s="79" t="s">
        <v>75</v>
      </c>
      <c r="AI6" s="79" t="s">
        <v>75</v>
      </c>
      <c r="AJ6" s="79" t="s">
        <v>75</v>
      </c>
      <c r="AK6" s="79" t="s">
        <v>75</v>
      </c>
      <c r="AL6" s="79" t="s">
        <v>75</v>
      </c>
      <c r="AM6" s="79" t="s">
        <v>75</v>
      </c>
      <c r="AN6" s="79" t="s">
        <v>75</v>
      </c>
      <c r="AO6" s="79" t="s">
        <v>75</v>
      </c>
      <c r="AP6" s="78">
        <v>0.30399999999999999</v>
      </c>
      <c r="AQ6" s="78">
        <v>0.13800000000000001</v>
      </c>
      <c r="AR6" s="78">
        <f t="shared" si="6"/>
        <v>0.11213574326816673</v>
      </c>
      <c r="AS6" s="78">
        <f t="shared" si="7"/>
        <v>2.2028985507246372</v>
      </c>
      <c r="AT6" s="78">
        <f t="shared" si="8"/>
        <v>0.25675675675675674</v>
      </c>
      <c r="AU6" s="79" t="s">
        <v>75</v>
      </c>
      <c r="AV6" s="79" t="s">
        <v>75</v>
      </c>
      <c r="AW6" s="79" t="s">
        <v>75</v>
      </c>
      <c r="AX6" s="114" t="s">
        <v>75</v>
      </c>
      <c r="AY6" s="215" t="s">
        <v>75</v>
      </c>
      <c r="AZ6" s="216" t="s">
        <v>75</v>
      </c>
      <c r="BA6" s="252" t="s">
        <v>75</v>
      </c>
      <c r="BB6" s="252" t="s">
        <v>75</v>
      </c>
      <c r="BC6" s="257" t="s">
        <v>75</v>
      </c>
    </row>
    <row r="7" spans="2:55" ht="12.75" customHeight="1" x14ac:dyDescent="0.2">
      <c r="B7" s="83">
        <v>30149</v>
      </c>
      <c r="C7" s="70" t="s">
        <v>299</v>
      </c>
      <c r="D7" s="71" t="s">
        <v>297</v>
      </c>
      <c r="E7" s="71" t="s">
        <v>292</v>
      </c>
      <c r="F7" s="72">
        <f>1.101+1.064+0.34</f>
        <v>2.5049999999999999</v>
      </c>
      <c r="G7" s="82">
        <f t="shared" si="0"/>
        <v>5.4559999999999995</v>
      </c>
      <c r="H7" s="82">
        <f t="shared" si="1"/>
        <v>2.1780439121756485</v>
      </c>
      <c r="I7" s="72">
        <v>0.121</v>
      </c>
      <c r="J7" s="72">
        <v>6.7000000000000004E-2</v>
      </c>
      <c r="K7" s="72">
        <v>1.175</v>
      </c>
      <c r="L7" s="72">
        <v>0.94599999999999995</v>
      </c>
      <c r="M7" s="72">
        <v>0.93300000000000005</v>
      </c>
      <c r="N7" s="72">
        <v>0.152</v>
      </c>
      <c r="O7" s="72">
        <f>1.011+1.051</f>
        <v>2.0619999999999998</v>
      </c>
      <c r="P7" s="72">
        <f>N:N+O:O</f>
        <v>2.214</v>
      </c>
      <c r="Q7" s="82">
        <f t="shared" si="2"/>
        <v>1.8842553191489362</v>
      </c>
      <c r="R7" s="82">
        <f t="shared" si="3"/>
        <v>0.79404255319148942</v>
      </c>
      <c r="S7" s="82">
        <f t="shared" si="4"/>
        <v>0.80510638297872328</v>
      </c>
      <c r="T7" s="82">
        <f t="shared" si="5"/>
        <v>13.565789473684211</v>
      </c>
      <c r="U7" s="72">
        <v>0.376</v>
      </c>
      <c r="V7" s="72">
        <f t="shared" si="9"/>
        <v>14.510638297872338</v>
      </c>
      <c r="W7" s="72">
        <v>0.89600000000000002</v>
      </c>
      <c r="X7" s="72">
        <v>0.14099999999999999</v>
      </c>
      <c r="Y7" s="72">
        <f t="shared" ref="Y7:Y23" si="10">W:W/X:X</f>
        <v>6.3546099290780154</v>
      </c>
      <c r="Z7" s="72">
        <v>0.55100000000000005</v>
      </c>
      <c r="AA7" s="72">
        <v>0.76700000000000002</v>
      </c>
      <c r="AB7" s="72">
        <f t="shared" ref="AB7:AB40" si="11">AA7/F7</f>
        <v>0.30618762475049904</v>
      </c>
      <c r="AC7" s="72">
        <f>0.487+1.124</f>
        <v>1.6110000000000002</v>
      </c>
      <c r="AD7" s="72">
        <f t="shared" ref="AD7:AD40" si="12">AC7/F7</f>
        <v>0.64311377245508994</v>
      </c>
      <c r="AE7" s="72">
        <v>0.12</v>
      </c>
      <c r="AF7" s="72">
        <f t="shared" ref="AF7:AF12" si="13">AE:AE/K:K</f>
        <v>0.10212765957446808</v>
      </c>
      <c r="AG7" s="72">
        <f>AE:AE/P:P</f>
        <v>5.4200542005420051E-2</v>
      </c>
      <c r="AH7" s="72">
        <f>AE7/N7</f>
        <v>0.78947368421052633</v>
      </c>
      <c r="AI7" s="72">
        <v>0.11</v>
      </c>
      <c r="AJ7" s="72">
        <v>6.6000000000000003E-2</v>
      </c>
      <c r="AK7" s="72">
        <f t="shared" ref="AK7:AK22" si="14">AI7/AJ7</f>
        <v>1.6666666666666665</v>
      </c>
      <c r="AL7" s="72">
        <f t="shared" ref="AL7:AL12" si="15">AI7/AE7</f>
        <v>0.91666666666666674</v>
      </c>
      <c r="AM7" s="72">
        <f>AI7/N7</f>
        <v>0.72368421052631582</v>
      </c>
      <c r="AN7" s="72">
        <f t="shared" ref="AN7:AN15" si="16">AI:AI/K:K</f>
        <v>9.3617021276595741E-2</v>
      </c>
      <c r="AO7" s="72">
        <f t="shared" ref="AO7:AO22" si="17">AI7/AP7</f>
        <v>0.36303630363036304</v>
      </c>
      <c r="AP7" s="72">
        <v>0.30299999999999999</v>
      </c>
      <c r="AQ7" s="72">
        <v>0.13800000000000001</v>
      </c>
      <c r="AR7" s="72">
        <f t="shared" si="6"/>
        <v>0.12095808383233533</v>
      </c>
      <c r="AS7" s="72">
        <f t="shared" si="7"/>
        <v>2.195652173913043</v>
      </c>
      <c r="AT7" s="72">
        <f t="shared" si="8"/>
        <v>0.25787234042553192</v>
      </c>
      <c r="AU7" s="73" t="s">
        <v>75</v>
      </c>
      <c r="AV7" s="72">
        <v>0.14699999999999999</v>
      </c>
      <c r="AW7" s="73" t="s">
        <v>75</v>
      </c>
      <c r="AX7" s="110" t="s">
        <v>75</v>
      </c>
      <c r="AY7" s="224" t="s">
        <v>75</v>
      </c>
      <c r="AZ7" s="84">
        <v>13</v>
      </c>
      <c r="BA7" s="251" t="s">
        <v>75</v>
      </c>
      <c r="BB7" s="251" t="s">
        <v>75</v>
      </c>
      <c r="BC7" s="256" t="s">
        <v>75</v>
      </c>
    </row>
    <row r="8" spans="2:55" ht="12.75" customHeight="1" x14ac:dyDescent="0.2">
      <c r="B8" s="69"/>
      <c r="C8" s="71"/>
      <c r="D8" s="71"/>
      <c r="E8" s="71"/>
      <c r="F8" s="72">
        <f>1.101+1.064+0.34</f>
        <v>2.5049999999999999</v>
      </c>
      <c r="G8" s="82">
        <f t="shared" si="0"/>
        <v>5.415</v>
      </c>
      <c r="H8" s="82">
        <f t="shared" si="1"/>
        <v>2.1616766467065869</v>
      </c>
      <c r="I8" s="72">
        <v>0.11799999999999999</v>
      </c>
      <c r="J8" s="72">
        <v>6.2E-2</v>
      </c>
      <c r="K8" s="72">
        <v>1.1539999999999999</v>
      </c>
      <c r="L8" s="72">
        <v>0.94</v>
      </c>
      <c r="M8" s="72">
        <v>0.92700000000000005</v>
      </c>
      <c r="N8" s="72">
        <v>0.158</v>
      </c>
      <c r="O8" s="72">
        <f>0.706+0.814+0.536</f>
        <v>2.056</v>
      </c>
      <c r="P8" s="72">
        <f>N:N+O:O</f>
        <v>2.214</v>
      </c>
      <c r="Q8" s="82">
        <f t="shared" si="2"/>
        <v>1.9185441941074524</v>
      </c>
      <c r="R8" s="82">
        <f t="shared" si="3"/>
        <v>0.80329289428076267</v>
      </c>
      <c r="S8" s="82">
        <f t="shared" si="4"/>
        <v>0.81455805892547661</v>
      </c>
      <c r="T8" s="82">
        <f t="shared" si="5"/>
        <v>13.012658227848101</v>
      </c>
      <c r="U8" s="72">
        <v>0.376</v>
      </c>
      <c r="V8" s="72">
        <f t="shared" si="9"/>
        <v>14.401595744680851</v>
      </c>
      <c r="W8" s="72">
        <v>0.89900000000000002</v>
      </c>
      <c r="X8" s="72">
        <v>0.13100000000000001</v>
      </c>
      <c r="Y8" s="72">
        <f t="shared" si="10"/>
        <v>6.8625954198473282</v>
      </c>
      <c r="Z8" s="72">
        <v>0.54100000000000004</v>
      </c>
      <c r="AA8" s="72">
        <v>0.76500000000000001</v>
      </c>
      <c r="AB8" s="72">
        <f t="shared" si="11"/>
        <v>0.30538922155688625</v>
      </c>
      <c r="AC8" s="72">
        <f>0.538+1.082</f>
        <v>1.62</v>
      </c>
      <c r="AD8" s="72">
        <f t="shared" si="12"/>
        <v>0.64670658682634741</v>
      </c>
      <c r="AE8" s="72">
        <v>0.125</v>
      </c>
      <c r="AF8" s="72">
        <f t="shared" si="13"/>
        <v>0.10831889081455806</v>
      </c>
      <c r="AG8" s="72">
        <f>AE:AE/P:P</f>
        <v>5.6458897922312561E-2</v>
      </c>
      <c r="AH8" s="72">
        <f>AE8/N8</f>
        <v>0.79113924050632911</v>
      </c>
      <c r="AI8" s="72">
        <v>0.11</v>
      </c>
      <c r="AJ8" s="72">
        <v>6.6000000000000003E-2</v>
      </c>
      <c r="AK8" s="72">
        <f t="shared" si="14"/>
        <v>1.6666666666666665</v>
      </c>
      <c r="AL8" s="72">
        <f t="shared" si="15"/>
        <v>0.88</v>
      </c>
      <c r="AM8" s="72">
        <f>AI8/N8</f>
        <v>0.69620253164556967</v>
      </c>
      <c r="AN8" s="72">
        <f t="shared" si="16"/>
        <v>9.5320623916811092E-2</v>
      </c>
      <c r="AO8" s="72">
        <f t="shared" si="17"/>
        <v>0.35947712418300654</v>
      </c>
      <c r="AP8" s="72">
        <v>0.30599999999999999</v>
      </c>
      <c r="AQ8" s="72">
        <v>0.14299999999999999</v>
      </c>
      <c r="AR8" s="72">
        <f t="shared" si="6"/>
        <v>0.1221556886227545</v>
      </c>
      <c r="AS8" s="72">
        <f t="shared" si="7"/>
        <v>2.13986013986014</v>
      </c>
      <c r="AT8" s="72">
        <f t="shared" si="8"/>
        <v>0.26516464471403817</v>
      </c>
      <c r="AU8" s="73" t="s">
        <v>75</v>
      </c>
      <c r="AV8" s="72">
        <v>0.14699999999999999</v>
      </c>
      <c r="AW8" s="73" t="s">
        <v>75</v>
      </c>
      <c r="AX8" s="110" t="s">
        <v>75</v>
      </c>
      <c r="AY8" s="224" t="s">
        <v>75</v>
      </c>
      <c r="AZ8" s="84">
        <v>15</v>
      </c>
      <c r="BA8" s="251" t="s">
        <v>75</v>
      </c>
      <c r="BB8" s="251" t="s">
        <v>75</v>
      </c>
      <c r="BC8" s="256" t="s">
        <v>75</v>
      </c>
    </row>
    <row r="9" spans="2:55" ht="12.75" customHeight="1" x14ac:dyDescent="0.2">
      <c r="B9" s="86">
        <v>30149</v>
      </c>
      <c r="C9" s="76" t="s">
        <v>299</v>
      </c>
      <c r="D9" s="77" t="s">
        <v>297</v>
      </c>
      <c r="E9" s="77" t="s">
        <v>292</v>
      </c>
      <c r="F9" s="78">
        <f>1.251+1.636</f>
        <v>2.8869999999999996</v>
      </c>
      <c r="G9" s="80">
        <f t="shared" si="0"/>
        <v>5.7649999999999997</v>
      </c>
      <c r="H9" s="80">
        <f t="shared" si="1"/>
        <v>1.9968825770696226</v>
      </c>
      <c r="I9" s="78">
        <v>0.129</v>
      </c>
      <c r="J9" s="78">
        <v>7.3999999999999996E-2</v>
      </c>
      <c r="K9" s="78">
        <v>1.3069999999999999</v>
      </c>
      <c r="L9" s="78">
        <v>1.0169999999999999</v>
      </c>
      <c r="M9" s="78">
        <v>0.99199999999999999</v>
      </c>
      <c r="N9" s="78">
        <v>0.17499999999999999</v>
      </c>
      <c r="O9" s="78">
        <f>1.281+0.79</f>
        <v>2.0709999999999997</v>
      </c>
      <c r="P9" s="78">
        <f>N:N+O:O</f>
        <v>2.2459999999999996</v>
      </c>
      <c r="Q9" s="80">
        <f t="shared" si="2"/>
        <v>1.7184391736801834</v>
      </c>
      <c r="R9" s="80">
        <f t="shared" si="3"/>
        <v>0.75899005355776594</v>
      </c>
      <c r="S9" s="80">
        <f t="shared" si="4"/>
        <v>0.77811782708492727</v>
      </c>
      <c r="T9" s="80">
        <f t="shared" si="5"/>
        <v>11.834285714285713</v>
      </c>
      <c r="U9" s="78">
        <v>0.41199999999999998</v>
      </c>
      <c r="V9" s="78">
        <f t="shared" si="9"/>
        <v>13.992718446601941</v>
      </c>
      <c r="W9" s="78">
        <v>0.95199999999999996</v>
      </c>
      <c r="X9" s="78">
        <v>0.13800000000000001</v>
      </c>
      <c r="Y9" s="78">
        <f t="shared" si="10"/>
        <v>6.8985507246376807</v>
      </c>
      <c r="Z9" s="78">
        <v>0.65200000000000002</v>
      </c>
      <c r="AA9" s="78">
        <v>0.86</v>
      </c>
      <c r="AB9" s="78">
        <f t="shared" si="11"/>
        <v>0.29788708001385528</v>
      </c>
      <c r="AC9" s="78">
        <f>1.352+0.41</f>
        <v>1.762</v>
      </c>
      <c r="AD9" s="78">
        <f t="shared" si="12"/>
        <v>0.61032213370280575</v>
      </c>
      <c r="AE9" s="78">
        <v>0.11600000000000001</v>
      </c>
      <c r="AF9" s="78">
        <f t="shared" si="13"/>
        <v>8.8752869166029077E-2</v>
      </c>
      <c r="AG9" s="78">
        <f>AE:AE/P:P</f>
        <v>5.164737310774712E-2</v>
      </c>
      <c r="AH9" s="78">
        <f>AE9/N9</f>
        <v>0.66285714285714292</v>
      </c>
      <c r="AI9" s="78">
        <v>0.108</v>
      </c>
      <c r="AJ9" s="78">
        <v>0.06</v>
      </c>
      <c r="AK9" s="78">
        <f t="shared" si="14"/>
        <v>1.8</v>
      </c>
      <c r="AL9" s="78">
        <f t="shared" si="15"/>
        <v>0.93103448275862066</v>
      </c>
      <c r="AM9" s="78">
        <f>AI9/N9</f>
        <v>0.61714285714285722</v>
      </c>
      <c r="AN9" s="78">
        <f t="shared" si="16"/>
        <v>8.2631981637337412E-2</v>
      </c>
      <c r="AO9" s="78">
        <f t="shared" si="17"/>
        <v>0.27551020408163263</v>
      </c>
      <c r="AP9" s="78">
        <v>0.39200000000000002</v>
      </c>
      <c r="AQ9" s="78">
        <v>0.14899999999999999</v>
      </c>
      <c r="AR9" s="78">
        <f t="shared" si="6"/>
        <v>0.13578108763422239</v>
      </c>
      <c r="AS9" s="78">
        <f t="shared" si="7"/>
        <v>2.6308724832214767</v>
      </c>
      <c r="AT9" s="78">
        <f t="shared" si="8"/>
        <v>0.29992348890589138</v>
      </c>
      <c r="AU9" s="78">
        <v>0.153</v>
      </c>
      <c r="AV9" s="78">
        <v>0.158</v>
      </c>
      <c r="AW9" s="78">
        <f t="shared" ref="AW9:AW32" si="18">AU9/AV9</f>
        <v>0.96835443037974678</v>
      </c>
      <c r="AX9" s="80">
        <f t="shared" ref="AX9:AX32" si="19">AP9/AU9</f>
        <v>2.5620915032679741</v>
      </c>
      <c r="AY9" s="215" t="s">
        <v>75</v>
      </c>
      <c r="AZ9" s="87">
        <v>11</v>
      </c>
      <c r="BA9" s="252" t="s">
        <v>75</v>
      </c>
      <c r="BB9" s="252" t="s">
        <v>75</v>
      </c>
      <c r="BC9" s="257" t="s">
        <v>75</v>
      </c>
    </row>
    <row r="10" spans="2:55" ht="12.75" customHeight="1" x14ac:dyDescent="0.2">
      <c r="B10" s="75"/>
      <c r="C10" s="77"/>
      <c r="D10" s="77"/>
      <c r="E10" s="77"/>
      <c r="F10" s="78">
        <f>1.251+1.636</f>
        <v>2.8869999999999996</v>
      </c>
      <c r="G10" s="114" t="s">
        <v>75</v>
      </c>
      <c r="H10" s="114" t="s">
        <v>75</v>
      </c>
      <c r="I10" s="78">
        <v>0.125</v>
      </c>
      <c r="J10" s="78">
        <v>7.1999999999999995E-2</v>
      </c>
      <c r="K10" s="78">
        <v>1.32</v>
      </c>
      <c r="L10" s="78">
        <v>0.995</v>
      </c>
      <c r="M10" s="78">
        <v>0.78400000000000003</v>
      </c>
      <c r="N10" s="79" t="s">
        <v>75</v>
      </c>
      <c r="O10" s="79" t="s">
        <v>75</v>
      </c>
      <c r="P10" s="79" t="s">
        <v>75</v>
      </c>
      <c r="Q10" s="114" t="s">
        <v>75</v>
      </c>
      <c r="R10" s="80">
        <f t="shared" si="3"/>
        <v>0.59393939393939399</v>
      </c>
      <c r="S10" s="80">
        <f t="shared" si="4"/>
        <v>0.75378787878787878</v>
      </c>
      <c r="T10" s="114" t="s">
        <v>75</v>
      </c>
      <c r="U10" s="78">
        <v>0.41199999999999998</v>
      </c>
      <c r="V10" s="79" t="s">
        <v>75</v>
      </c>
      <c r="W10" s="78">
        <v>0.94199999999999995</v>
      </c>
      <c r="X10" s="78">
        <v>0.13200000000000001</v>
      </c>
      <c r="Y10" s="78">
        <f t="shared" si="10"/>
        <v>7.1363636363636358</v>
      </c>
      <c r="Z10" s="78">
        <v>0.61199999999999999</v>
      </c>
      <c r="AA10" s="78">
        <v>0.86099999999999999</v>
      </c>
      <c r="AB10" s="78">
        <f t="shared" si="11"/>
        <v>0.29823346033945275</v>
      </c>
      <c r="AC10" s="78">
        <v>1.7529999999999999</v>
      </c>
      <c r="AD10" s="78">
        <f t="shared" si="12"/>
        <v>0.60720471077242821</v>
      </c>
      <c r="AE10" s="78">
        <v>0.121</v>
      </c>
      <c r="AF10" s="78">
        <f t="shared" si="13"/>
        <v>9.166666666666666E-2</v>
      </c>
      <c r="AG10" s="79" t="s">
        <v>75</v>
      </c>
      <c r="AH10" s="79" t="s">
        <v>75</v>
      </c>
      <c r="AI10" s="78">
        <v>0.108</v>
      </c>
      <c r="AJ10" s="78">
        <v>0.06</v>
      </c>
      <c r="AK10" s="78">
        <f t="shared" si="14"/>
        <v>1.8</v>
      </c>
      <c r="AL10" s="78">
        <f t="shared" si="15"/>
        <v>0.8925619834710744</v>
      </c>
      <c r="AM10" s="79" t="s">
        <v>75</v>
      </c>
      <c r="AN10" s="78">
        <f t="shared" si="16"/>
        <v>8.1818181818181818E-2</v>
      </c>
      <c r="AO10" s="78">
        <f t="shared" si="17"/>
        <v>0.2805194805194805</v>
      </c>
      <c r="AP10" s="78">
        <v>0.38500000000000001</v>
      </c>
      <c r="AQ10" s="78">
        <v>0.157</v>
      </c>
      <c r="AR10" s="78">
        <f t="shared" si="6"/>
        <v>0.13335642535503986</v>
      </c>
      <c r="AS10" s="78">
        <f t="shared" si="7"/>
        <v>2.4522292993630574</v>
      </c>
      <c r="AT10" s="78">
        <f t="shared" si="8"/>
        <v>0.29166666666666669</v>
      </c>
      <c r="AU10" s="78">
        <v>0.153</v>
      </c>
      <c r="AV10" s="78">
        <v>0.158</v>
      </c>
      <c r="AW10" s="78">
        <f t="shared" si="18"/>
        <v>0.96835443037974678</v>
      </c>
      <c r="AX10" s="80">
        <f t="shared" si="19"/>
        <v>2.5163398692810457</v>
      </c>
      <c r="AY10" s="215" t="s">
        <v>75</v>
      </c>
      <c r="AZ10" s="87">
        <v>13</v>
      </c>
      <c r="BA10" s="252" t="s">
        <v>75</v>
      </c>
      <c r="BB10" s="252" t="s">
        <v>75</v>
      </c>
      <c r="BC10" s="257" t="s">
        <v>75</v>
      </c>
    </row>
    <row r="11" spans="2:55" ht="12.75" customHeight="1" x14ac:dyDescent="0.2">
      <c r="B11" s="83">
        <v>26155</v>
      </c>
      <c r="C11" s="70" t="s">
        <v>299</v>
      </c>
      <c r="D11" s="71" t="s">
        <v>298</v>
      </c>
      <c r="E11" s="71" t="s">
        <v>293</v>
      </c>
      <c r="F11" s="72">
        <f>1.279+1.135</f>
        <v>2.4139999999999997</v>
      </c>
      <c r="G11" s="82">
        <f t="shared" si="0"/>
        <v>5.08</v>
      </c>
      <c r="H11" s="82">
        <f t="shared" si="1"/>
        <v>2.1043910521955262</v>
      </c>
      <c r="I11" s="72">
        <v>0.127</v>
      </c>
      <c r="J11" s="72">
        <v>6.6000000000000003E-2</v>
      </c>
      <c r="K11" s="72">
        <v>1.1619999999999999</v>
      </c>
      <c r="L11" s="72">
        <v>0.98099999999999998</v>
      </c>
      <c r="M11" s="72">
        <v>0.94699999999999995</v>
      </c>
      <c r="N11" s="72">
        <v>0.15</v>
      </c>
      <c r="O11" s="72">
        <f>1.07+0.577</f>
        <v>1.647</v>
      </c>
      <c r="P11" s="72">
        <f>N:N+O:O</f>
        <v>1.7969999999999999</v>
      </c>
      <c r="Q11" s="82">
        <f t="shared" si="2"/>
        <v>1.5464716006884682</v>
      </c>
      <c r="R11" s="82">
        <f t="shared" si="3"/>
        <v>0.81497418244406195</v>
      </c>
      <c r="S11" s="82">
        <f t="shared" si="4"/>
        <v>0.8442340791738383</v>
      </c>
      <c r="T11" s="82">
        <f t="shared" si="5"/>
        <v>10.98</v>
      </c>
      <c r="U11" s="72">
        <v>0.36299999999999999</v>
      </c>
      <c r="V11" s="72">
        <f t="shared" si="9"/>
        <v>13.994490358126722</v>
      </c>
      <c r="W11" s="72">
        <v>0.90200000000000002</v>
      </c>
      <c r="X11" s="72">
        <v>0.157</v>
      </c>
      <c r="Y11" s="72">
        <f t="shared" si="10"/>
        <v>5.7452229299363058</v>
      </c>
      <c r="Z11" s="72">
        <v>0.58699999999999997</v>
      </c>
      <c r="AA11" s="72">
        <v>0.80800000000000005</v>
      </c>
      <c r="AB11" s="72">
        <f t="shared" si="11"/>
        <v>0.33471416735708376</v>
      </c>
      <c r="AC11" s="72">
        <v>1.641</v>
      </c>
      <c r="AD11" s="72">
        <f t="shared" si="12"/>
        <v>0.67978458989229507</v>
      </c>
      <c r="AE11" s="72">
        <v>0.11799999999999999</v>
      </c>
      <c r="AF11" s="72">
        <f t="shared" si="13"/>
        <v>0.10154905335628227</v>
      </c>
      <c r="AG11" s="72">
        <f>AE:AE/P:P</f>
        <v>6.566499721758487E-2</v>
      </c>
      <c r="AH11" s="72">
        <f>AE11/N11</f>
        <v>0.78666666666666663</v>
      </c>
      <c r="AI11" s="72">
        <v>0.109</v>
      </c>
      <c r="AJ11" s="72">
        <v>8.3000000000000004E-2</v>
      </c>
      <c r="AK11" s="72">
        <f t="shared" si="14"/>
        <v>1.3132530120481927</v>
      </c>
      <c r="AL11" s="72">
        <f t="shared" si="15"/>
        <v>0.92372881355932213</v>
      </c>
      <c r="AM11" s="72">
        <f>AI11/N11</f>
        <v>0.72666666666666668</v>
      </c>
      <c r="AN11" s="72">
        <f t="shared" si="16"/>
        <v>9.3803786574870915E-2</v>
      </c>
      <c r="AO11" s="72">
        <f t="shared" si="17"/>
        <v>0.25647058823529412</v>
      </c>
      <c r="AP11" s="72">
        <v>0.42499999999999999</v>
      </c>
      <c r="AQ11" s="72">
        <v>0.17499999999999999</v>
      </c>
      <c r="AR11" s="72">
        <f t="shared" si="6"/>
        <v>0.17605633802816903</v>
      </c>
      <c r="AS11" s="72">
        <f t="shared" si="7"/>
        <v>2.4285714285714288</v>
      </c>
      <c r="AT11" s="72">
        <f t="shared" si="8"/>
        <v>0.36574870912220309</v>
      </c>
      <c r="AU11" s="72">
        <v>0.151</v>
      </c>
      <c r="AV11" s="72">
        <v>0.14000000000000001</v>
      </c>
      <c r="AW11" s="72">
        <f t="shared" si="18"/>
        <v>1.0785714285714285</v>
      </c>
      <c r="AX11" s="82">
        <f t="shared" si="19"/>
        <v>2.814569536423841</v>
      </c>
      <c r="AY11" s="224" t="s">
        <v>75</v>
      </c>
      <c r="AZ11" s="84">
        <v>10</v>
      </c>
      <c r="BA11" s="251" t="s">
        <v>75</v>
      </c>
      <c r="BB11" s="251" t="s">
        <v>75</v>
      </c>
      <c r="BC11" s="256" t="s">
        <v>75</v>
      </c>
    </row>
    <row r="12" spans="2:55" ht="12.75" customHeight="1" x14ac:dyDescent="0.2">
      <c r="B12" s="69"/>
      <c r="C12" s="71"/>
      <c r="D12" s="71"/>
      <c r="E12" s="71"/>
      <c r="F12" s="72">
        <f>1.279+1.135</f>
        <v>2.4139999999999997</v>
      </c>
      <c r="G12" s="82">
        <f t="shared" si="0"/>
        <v>5.4179999999999993</v>
      </c>
      <c r="H12" s="82">
        <f t="shared" si="1"/>
        <v>2.244407622203811</v>
      </c>
      <c r="I12" s="72">
        <v>0.126</v>
      </c>
      <c r="J12" s="72">
        <v>6.3E-2</v>
      </c>
      <c r="K12" s="72">
        <v>1.1879999999999999</v>
      </c>
      <c r="L12" s="72">
        <v>0.99</v>
      </c>
      <c r="M12" s="72">
        <v>0.94499999999999995</v>
      </c>
      <c r="N12" s="72">
        <v>0.185</v>
      </c>
      <c r="O12" s="72">
        <f>1.164+0.757</f>
        <v>1.9209999999999998</v>
      </c>
      <c r="P12" s="72">
        <f>N:N+O:O</f>
        <v>2.1059999999999999</v>
      </c>
      <c r="Q12" s="82">
        <f t="shared" si="2"/>
        <v>1.7727272727272727</v>
      </c>
      <c r="R12" s="82">
        <f t="shared" si="3"/>
        <v>0.79545454545454541</v>
      </c>
      <c r="S12" s="82">
        <f t="shared" si="4"/>
        <v>0.83333333333333337</v>
      </c>
      <c r="T12" s="82">
        <f t="shared" si="5"/>
        <v>10.383783783783782</v>
      </c>
      <c r="U12" s="72">
        <v>0.36299999999999999</v>
      </c>
      <c r="V12" s="72">
        <f t="shared" si="9"/>
        <v>14.925619834710742</v>
      </c>
      <c r="W12" s="72">
        <v>0.94399999999999995</v>
      </c>
      <c r="X12" s="72">
        <v>0.14799999999999999</v>
      </c>
      <c r="Y12" s="72">
        <f t="shared" si="10"/>
        <v>6.3783783783783781</v>
      </c>
      <c r="Z12" s="72">
        <v>0.58099999999999996</v>
      </c>
      <c r="AA12" s="72">
        <v>0.81599999999999995</v>
      </c>
      <c r="AB12" s="72">
        <f t="shared" si="11"/>
        <v>0.3380281690140845</v>
      </c>
      <c r="AC12" s="72">
        <f>0.723+0.941</f>
        <v>1.6639999999999999</v>
      </c>
      <c r="AD12" s="72">
        <f t="shared" si="12"/>
        <v>0.68931234465617242</v>
      </c>
      <c r="AE12" s="72">
        <v>0.11700000000000001</v>
      </c>
      <c r="AF12" s="72">
        <f t="shared" si="13"/>
        <v>9.8484848484848495E-2</v>
      </c>
      <c r="AG12" s="72">
        <f>AE:AE/P:P</f>
        <v>5.5555555555555559E-2</v>
      </c>
      <c r="AH12" s="72">
        <f>AE12/N12</f>
        <v>0.63243243243243252</v>
      </c>
      <c r="AI12" s="72">
        <v>0.109</v>
      </c>
      <c r="AJ12" s="72">
        <v>8.3000000000000004E-2</v>
      </c>
      <c r="AK12" s="72">
        <f t="shared" si="14"/>
        <v>1.3132530120481927</v>
      </c>
      <c r="AL12" s="72">
        <f t="shared" si="15"/>
        <v>0.93162393162393153</v>
      </c>
      <c r="AM12" s="72">
        <f>AI12/N12</f>
        <v>0.58918918918918917</v>
      </c>
      <c r="AN12" s="72">
        <f t="shared" si="16"/>
        <v>9.175084175084175E-2</v>
      </c>
      <c r="AO12" s="72">
        <f t="shared" si="17"/>
        <v>0.28912466843501328</v>
      </c>
      <c r="AP12" s="72">
        <v>0.377</v>
      </c>
      <c r="AQ12" s="72">
        <v>0.219</v>
      </c>
      <c r="AR12" s="72">
        <f t="shared" si="6"/>
        <v>0.15617232808616408</v>
      </c>
      <c r="AS12" s="72">
        <f t="shared" si="7"/>
        <v>1.7214611872146119</v>
      </c>
      <c r="AT12" s="72">
        <f t="shared" si="8"/>
        <v>0.31734006734006737</v>
      </c>
      <c r="AU12" s="72">
        <v>0.151</v>
      </c>
      <c r="AV12" s="72">
        <v>0.14000000000000001</v>
      </c>
      <c r="AW12" s="72">
        <f t="shared" si="18"/>
        <v>1.0785714285714285</v>
      </c>
      <c r="AX12" s="82">
        <f t="shared" si="19"/>
        <v>2.4966887417218544</v>
      </c>
      <c r="AY12" s="224" t="s">
        <v>75</v>
      </c>
      <c r="AZ12" s="84">
        <v>11</v>
      </c>
      <c r="BA12" s="251" t="s">
        <v>75</v>
      </c>
      <c r="BB12" s="251" t="s">
        <v>75</v>
      </c>
      <c r="BC12" s="256" t="s">
        <v>75</v>
      </c>
    </row>
    <row r="13" spans="2:55" ht="12.75" customHeight="1" x14ac:dyDescent="0.2">
      <c r="B13" s="86">
        <v>27583</v>
      </c>
      <c r="C13" s="76" t="s">
        <v>299</v>
      </c>
      <c r="D13" s="77" t="s">
        <v>296</v>
      </c>
      <c r="E13" s="77" t="s">
        <v>294</v>
      </c>
      <c r="F13" s="78">
        <f>1.096+1.208</f>
        <v>2.3040000000000003</v>
      </c>
      <c r="G13" s="80">
        <f t="shared" si="0"/>
        <v>5.1470000000000002</v>
      </c>
      <c r="H13" s="80">
        <f t="shared" si="1"/>
        <v>2.2339409722222219</v>
      </c>
      <c r="I13" s="78">
        <v>0.125</v>
      </c>
      <c r="J13" s="78">
        <v>5.0999999999999997E-2</v>
      </c>
      <c r="K13" s="78">
        <v>1.1240000000000001</v>
      </c>
      <c r="L13" s="78">
        <v>0.85499999999999998</v>
      </c>
      <c r="M13" s="78">
        <v>0.78400000000000003</v>
      </c>
      <c r="N13" s="78">
        <v>0.14799999999999999</v>
      </c>
      <c r="O13" s="78">
        <f>1.286+0.774</f>
        <v>2.06</v>
      </c>
      <c r="P13" s="78">
        <f>N:N+O:O</f>
        <v>2.2080000000000002</v>
      </c>
      <c r="Q13" s="80">
        <f t="shared" si="2"/>
        <v>1.9644128113879002</v>
      </c>
      <c r="R13" s="80">
        <f t="shared" si="3"/>
        <v>0.697508896797153</v>
      </c>
      <c r="S13" s="80">
        <f t="shared" si="4"/>
        <v>0.76067615658362975</v>
      </c>
      <c r="T13" s="80">
        <f t="shared" si="5"/>
        <v>13.918918918918919</v>
      </c>
      <c r="U13" s="78">
        <v>0.36099999999999999</v>
      </c>
      <c r="V13" s="78">
        <f t="shared" si="9"/>
        <v>14.257617728531857</v>
      </c>
      <c r="W13" s="78">
        <v>0.77200000000000002</v>
      </c>
      <c r="X13" s="78">
        <v>0.14000000000000001</v>
      </c>
      <c r="Y13" s="78">
        <f t="shared" si="10"/>
        <v>5.5142857142857142</v>
      </c>
      <c r="Z13" s="78">
        <v>0.496</v>
      </c>
      <c r="AA13" s="78">
        <v>0.67600000000000005</v>
      </c>
      <c r="AB13" s="78">
        <f t="shared" si="11"/>
        <v>0.29340277777777779</v>
      </c>
      <c r="AC13" s="78">
        <v>1.45</v>
      </c>
      <c r="AD13" s="78">
        <f t="shared" si="12"/>
        <v>0.62934027777777768</v>
      </c>
      <c r="AE13" s="79" t="s">
        <v>75</v>
      </c>
      <c r="AF13" s="79" t="s">
        <v>75</v>
      </c>
      <c r="AG13" s="79" t="s">
        <v>75</v>
      </c>
      <c r="AH13" s="79" t="s">
        <v>75</v>
      </c>
      <c r="AI13" s="78">
        <v>9.8000000000000004E-2</v>
      </c>
      <c r="AJ13" s="78">
        <v>5.6000000000000001E-2</v>
      </c>
      <c r="AK13" s="78">
        <f t="shared" si="14"/>
        <v>1.75</v>
      </c>
      <c r="AL13" s="79" t="s">
        <v>75</v>
      </c>
      <c r="AM13" s="78">
        <f>AI13/N13</f>
        <v>0.66216216216216217</v>
      </c>
      <c r="AN13" s="78">
        <f t="shared" si="16"/>
        <v>8.7188612099644125E-2</v>
      </c>
      <c r="AO13" s="78">
        <f t="shared" si="17"/>
        <v>0.40663900414937765</v>
      </c>
      <c r="AP13" s="78">
        <v>0.24099999999999999</v>
      </c>
      <c r="AQ13" s="78">
        <v>0.157</v>
      </c>
      <c r="AR13" s="78">
        <f t="shared" si="6"/>
        <v>0.10460069444444443</v>
      </c>
      <c r="AS13" s="78">
        <f t="shared" si="7"/>
        <v>1.5350318471337578</v>
      </c>
      <c r="AT13" s="78">
        <f t="shared" si="8"/>
        <v>0.21441281138790033</v>
      </c>
      <c r="AU13" s="78">
        <v>0.129</v>
      </c>
      <c r="AV13" s="78">
        <v>0.13</v>
      </c>
      <c r="AW13" s="78">
        <f t="shared" si="18"/>
        <v>0.99230769230769234</v>
      </c>
      <c r="AX13" s="80">
        <f t="shared" si="19"/>
        <v>1.8682170542635659</v>
      </c>
      <c r="AY13" s="215" t="s">
        <v>75</v>
      </c>
      <c r="AZ13" s="87">
        <v>9</v>
      </c>
      <c r="BA13" s="252" t="s">
        <v>75</v>
      </c>
      <c r="BB13" s="252" t="s">
        <v>75</v>
      </c>
      <c r="BC13" s="257" t="s">
        <v>75</v>
      </c>
    </row>
    <row r="14" spans="2:55" ht="12.75" customHeight="1" x14ac:dyDescent="0.2">
      <c r="B14" s="75"/>
      <c r="C14" s="77"/>
      <c r="D14" s="77"/>
      <c r="E14" s="77"/>
      <c r="F14" s="78">
        <f>1.096+1.208</f>
        <v>2.3040000000000003</v>
      </c>
      <c r="G14" s="114" t="s">
        <v>75</v>
      </c>
      <c r="H14" s="114" t="s">
        <v>75</v>
      </c>
      <c r="I14" s="78">
        <v>0.114</v>
      </c>
      <c r="J14" s="78">
        <v>5.7000000000000002E-2</v>
      </c>
      <c r="K14" s="78">
        <v>1.1120000000000001</v>
      </c>
      <c r="L14" s="79" t="s">
        <v>75</v>
      </c>
      <c r="M14" s="79" t="s">
        <v>75</v>
      </c>
      <c r="N14" s="79" t="s">
        <v>75</v>
      </c>
      <c r="O14" s="79" t="s">
        <v>75</v>
      </c>
      <c r="P14" s="79" t="s">
        <v>75</v>
      </c>
      <c r="Q14" s="114" t="s">
        <v>75</v>
      </c>
      <c r="R14" s="114" t="s">
        <v>75</v>
      </c>
      <c r="S14" s="114" t="s">
        <v>75</v>
      </c>
      <c r="T14" s="114" t="s">
        <v>75</v>
      </c>
      <c r="U14" s="78">
        <v>0.36099999999999999</v>
      </c>
      <c r="V14" s="79" t="s">
        <v>75</v>
      </c>
      <c r="W14" s="78">
        <v>0.78200000000000003</v>
      </c>
      <c r="X14" s="78">
        <v>0.13600000000000001</v>
      </c>
      <c r="Y14" s="78">
        <f t="shared" si="10"/>
        <v>5.75</v>
      </c>
      <c r="Z14" s="78">
        <v>0.498</v>
      </c>
      <c r="AA14" s="78">
        <v>0.68200000000000005</v>
      </c>
      <c r="AB14" s="78">
        <f t="shared" si="11"/>
        <v>0.29600694444444442</v>
      </c>
      <c r="AC14" s="78">
        <v>1.44</v>
      </c>
      <c r="AD14" s="78">
        <f t="shared" si="12"/>
        <v>0.62499999999999989</v>
      </c>
      <c r="AE14" s="78">
        <v>0.113</v>
      </c>
      <c r="AF14" s="78">
        <f>AE:AE/K:K</f>
        <v>0.10161870503597122</v>
      </c>
      <c r="AG14" s="79" t="s">
        <v>75</v>
      </c>
      <c r="AH14" s="79" t="s">
        <v>75</v>
      </c>
      <c r="AI14" s="78">
        <v>9.8000000000000004E-2</v>
      </c>
      <c r="AJ14" s="78">
        <v>5.6000000000000001E-2</v>
      </c>
      <c r="AK14" s="78">
        <f t="shared" si="14"/>
        <v>1.75</v>
      </c>
      <c r="AL14" s="78">
        <f t="shared" ref="AL14:AL22" si="20">AI14/AE14</f>
        <v>0.86725663716814161</v>
      </c>
      <c r="AM14" s="79" t="s">
        <v>75</v>
      </c>
      <c r="AN14" s="78">
        <f t="shared" si="16"/>
        <v>8.8129496402877691E-2</v>
      </c>
      <c r="AO14" s="78">
        <f t="shared" si="17"/>
        <v>0.38132295719844361</v>
      </c>
      <c r="AP14" s="78">
        <v>0.25700000000000001</v>
      </c>
      <c r="AQ14" s="78">
        <v>0.11</v>
      </c>
      <c r="AR14" s="78">
        <f t="shared" si="6"/>
        <v>0.11154513888888888</v>
      </c>
      <c r="AS14" s="78">
        <f t="shared" si="7"/>
        <v>2.3363636363636364</v>
      </c>
      <c r="AT14" s="78">
        <f t="shared" si="8"/>
        <v>0.23111510791366904</v>
      </c>
      <c r="AU14" s="78">
        <v>0.129</v>
      </c>
      <c r="AV14" s="78">
        <v>0.13</v>
      </c>
      <c r="AW14" s="78">
        <f t="shared" si="18"/>
        <v>0.99230769230769234</v>
      </c>
      <c r="AX14" s="80">
        <f t="shared" si="19"/>
        <v>1.9922480620155039</v>
      </c>
      <c r="AY14" s="215" t="s">
        <v>75</v>
      </c>
      <c r="AZ14" s="87">
        <v>10</v>
      </c>
      <c r="BA14" s="252" t="s">
        <v>75</v>
      </c>
      <c r="BB14" s="252" t="s">
        <v>75</v>
      </c>
      <c r="BC14" s="257" t="s">
        <v>75</v>
      </c>
    </row>
    <row r="15" spans="2:55" ht="12.75" customHeight="1" x14ac:dyDescent="0.2">
      <c r="B15" s="83">
        <v>27583</v>
      </c>
      <c r="C15" s="70" t="s">
        <v>299</v>
      </c>
      <c r="D15" s="71" t="s">
        <v>296</v>
      </c>
      <c r="E15" s="71" t="s">
        <v>294</v>
      </c>
      <c r="F15" s="72">
        <f>1.108+1.144</f>
        <v>2.2519999999999998</v>
      </c>
      <c r="G15" s="82">
        <f>I15+J15+K15+L15+M15+N15+O15</f>
        <v>5.0779999999999994</v>
      </c>
      <c r="H15" s="82">
        <f>G15/F15</f>
        <v>2.2548845470692718</v>
      </c>
      <c r="I15" s="72">
        <v>0.13400000000000001</v>
      </c>
      <c r="J15" s="72">
        <v>5.8000000000000003E-2</v>
      </c>
      <c r="K15" s="72">
        <v>1.18</v>
      </c>
      <c r="L15" s="72">
        <v>0.82299999999999995</v>
      </c>
      <c r="M15" s="72">
        <v>0.78900000000000003</v>
      </c>
      <c r="N15" s="72">
        <v>0.13400000000000001</v>
      </c>
      <c r="O15" s="72">
        <v>1.96</v>
      </c>
      <c r="P15" s="72">
        <f>N:N+O:O</f>
        <v>2.0939999999999999</v>
      </c>
      <c r="Q15" s="82">
        <f>(N15+O15)/K15</f>
        <v>1.7745762711864406</v>
      </c>
      <c r="R15" s="82">
        <f>M15/K15</f>
        <v>0.66864406779661023</v>
      </c>
      <c r="S15" s="82">
        <f>L15/K15</f>
        <v>0.69745762711864412</v>
      </c>
      <c r="T15" s="82">
        <f>O15/N15</f>
        <v>14.62686567164179</v>
      </c>
      <c r="U15" s="72">
        <v>0.35799999999999998</v>
      </c>
      <c r="V15" s="72">
        <f>G15/U15</f>
        <v>14.184357541899439</v>
      </c>
      <c r="W15" s="72">
        <v>0.79400000000000004</v>
      </c>
      <c r="X15" s="72">
        <v>0.14199999999999999</v>
      </c>
      <c r="Y15" s="72">
        <f t="shared" si="10"/>
        <v>5.5915492957746489</v>
      </c>
      <c r="Z15" s="72">
        <v>0.49399999999999999</v>
      </c>
      <c r="AA15" s="72">
        <v>0.68200000000000005</v>
      </c>
      <c r="AB15" s="72">
        <f>AA15/F15</f>
        <v>0.30284191829484908</v>
      </c>
      <c r="AC15" s="72">
        <v>1.482</v>
      </c>
      <c r="AD15" s="72">
        <f>AC15/F15</f>
        <v>0.65808170515097697</v>
      </c>
      <c r="AE15" s="72">
        <v>0.111</v>
      </c>
      <c r="AF15" s="72">
        <f>AE:AE/K:K</f>
        <v>9.4067796610169493E-2</v>
      </c>
      <c r="AG15" s="72">
        <f>AE:AE/P:P</f>
        <v>5.3008595988538687E-2</v>
      </c>
      <c r="AH15" s="72">
        <f>AE15/N15</f>
        <v>0.82835820895522383</v>
      </c>
      <c r="AI15" s="72">
        <v>0.107</v>
      </c>
      <c r="AJ15" s="72">
        <v>6.2E-2</v>
      </c>
      <c r="AK15" s="72">
        <f>AI15/AJ15</f>
        <v>1.7258064516129032</v>
      </c>
      <c r="AL15" s="72">
        <f>AI15/AE15</f>
        <v>0.96396396396396389</v>
      </c>
      <c r="AM15" s="72">
        <f>AI15/N15</f>
        <v>0.79850746268656714</v>
      </c>
      <c r="AN15" s="72">
        <f t="shared" si="16"/>
        <v>9.0677966101694915E-2</v>
      </c>
      <c r="AO15" s="72">
        <f>AI15/AP15</f>
        <v>0.34967320261437906</v>
      </c>
      <c r="AP15" s="72">
        <v>0.30599999999999999</v>
      </c>
      <c r="AQ15" s="72">
        <v>0.153</v>
      </c>
      <c r="AR15" s="72">
        <f>AP15/F15</f>
        <v>0.13587921847246892</v>
      </c>
      <c r="AS15" s="72">
        <f>AP15/AQ15</f>
        <v>2</v>
      </c>
      <c r="AT15" s="72">
        <f>AP15/K15</f>
        <v>0.2593220338983051</v>
      </c>
      <c r="AU15" s="72">
        <v>0.104</v>
      </c>
      <c r="AV15" s="72">
        <v>0.155</v>
      </c>
      <c r="AW15" s="72">
        <f>AU15/AV15</f>
        <v>0.67096774193548381</v>
      </c>
      <c r="AX15" s="82">
        <f>AP15/AU15</f>
        <v>2.9423076923076925</v>
      </c>
      <c r="AY15" s="224" t="s">
        <v>75</v>
      </c>
      <c r="AZ15" s="84">
        <v>10</v>
      </c>
      <c r="BA15" s="251" t="s">
        <v>75</v>
      </c>
      <c r="BB15" s="251" t="s">
        <v>75</v>
      </c>
      <c r="BC15" s="256" t="s">
        <v>75</v>
      </c>
    </row>
    <row r="16" spans="2:55" ht="12.75" customHeight="1" x14ac:dyDescent="0.2">
      <c r="B16" s="69"/>
      <c r="C16" s="71"/>
      <c r="D16" s="71"/>
      <c r="E16" s="71"/>
      <c r="F16" s="72">
        <f>1.108+1.144</f>
        <v>2.2519999999999998</v>
      </c>
      <c r="G16" s="110" t="s">
        <v>75</v>
      </c>
      <c r="H16" s="110" t="s">
        <v>75</v>
      </c>
      <c r="I16" s="72">
        <v>0.127</v>
      </c>
      <c r="J16" s="72">
        <v>5.5E-2</v>
      </c>
      <c r="K16" s="73" t="s">
        <v>75</v>
      </c>
      <c r="L16" s="73" t="s">
        <v>75</v>
      </c>
      <c r="M16" s="73" t="s">
        <v>75</v>
      </c>
      <c r="N16" s="73" t="s">
        <v>75</v>
      </c>
      <c r="O16" s="73" t="s">
        <v>75</v>
      </c>
      <c r="P16" s="73" t="s">
        <v>75</v>
      </c>
      <c r="Q16" s="110" t="s">
        <v>75</v>
      </c>
      <c r="R16" s="110" t="s">
        <v>75</v>
      </c>
      <c r="S16" s="110" t="s">
        <v>75</v>
      </c>
      <c r="T16" s="110" t="s">
        <v>75</v>
      </c>
      <c r="U16" s="72">
        <v>0.35799999999999998</v>
      </c>
      <c r="V16" s="73" t="s">
        <v>75</v>
      </c>
      <c r="W16" s="72">
        <v>0.79200000000000004</v>
      </c>
      <c r="X16" s="72">
        <v>0.14499999999999999</v>
      </c>
      <c r="Y16" s="72">
        <f t="shared" si="10"/>
        <v>5.4620689655172416</v>
      </c>
      <c r="Z16" s="72">
        <v>0.49299999999999999</v>
      </c>
      <c r="AA16" s="72">
        <v>0.67600000000000005</v>
      </c>
      <c r="AB16" s="72">
        <f>AA16/F16</f>
        <v>0.30017761989342812</v>
      </c>
      <c r="AC16" s="72">
        <v>1.464</v>
      </c>
      <c r="AD16" s="72">
        <f>AC16/F16</f>
        <v>0.65008880994671403</v>
      </c>
      <c r="AE16" s="72">
        <v>0.109</v>
      </c>
      <c r="AF16" s="73" t="s">
        <v>75</v>
      </c>
      <c r="AG16" s="73" t="s">
        <v>75</v>
      </c>
      <c r="AH16" s="73" t="s">
        <v>75</v>
      </c>
      <c r="AI16" s="72">
        <v>0.107</v>
      </c>
      <c r="AJ16" s="72">
        <v>6.2E-2</v>
      </c>
      <c r="AK16" s="72">
        <f>AI16/AJ16</f>
        <v>1.7258064516129032</v>
      </c>
      <c r="AL16" s="72">
        <f>AI16/AE16</f>
        <v>0.98165137614678899</v>
      </c>
      <c r="AM16" s="73" t="s">
        <v>75</v>
      </c>
      <c r="AN16" s="73" t="s">
        <v>75</v>
      </c>
      <c r="AO16" s="72">
        <f>AI16/AP16</f>
        <v>0.33229813664596269</v>
      </c>
      <c r="AP16" s="72">
        <v>0.32200000000000001</v>
      </c>
      <c r="AQ16" s="72">
        <v>0.154</v>
      </c>
      <c r="AR16" s="72">
        <f>AP16/F16</f>
        <v>0.1429840142095915</v>
      </c>
      <c r="AS16" s="72">
        <f>AP16/AQ16</f>
        <v>2.0909090909090908</v>
      </c>
      <c r="AT16" s="73" t="s">
        <v>75</v>
      </c>
      <c r="AU16" s="72">
        <v>0.104</v>
      </c>
      <c r="AV16" s="72">
        <v>0.155</v>
      </c>
      <c r="AW16" s="72">
        <f>AU16/AV16</f>
        <v>0.67096774193548381</v>
      </c>
      <c r="AX16" s="82">
        <f>AP16/AU16</f>
        <v>3.0961538461538463</v>
      </c>
      <c r="AY16" s="224" t="s">
        <v>75</v>
      </c>
      <c r="AZ16" s="225" t="s">
        <v>75</v>
      </c>
      <c r="BA16" s="251" t="s">
        <v>75</v>
      </c>
      <c r="BB16" s="251" t="s">
        <v>75</v>
      </c>
      <c r="BC16" s="256" t="s">
        <v>75</v>
      </c>
    </row>
    <row r="17" spans="2:55" ht="12.75" customHeight="1" x14ac:dyDescent="0.2">
      <c r="B17" s="86">
        <v>27583</v>
      </c>
      <c r="C17" s="76" t="s">
        <v>299</v>
      </c>
      <c r="D17" s="77" t="s">
        <v>295</v>
      </c>
      <c r="E17" s="77" t="s">
        <v>294</v>
      </c>
      <c r="F17" s="78">
        <f>1.058+1.292</f>
        <v>2.35</v>
      </c>
      <c r="G17" s="114" t="s">
        <v>75</v>
      </c>
      <c r="H17" s="114" t="s">
        <v>75</v>
      </c>
      <c r="I17" s="78">
        <v>0.11899999999999999</v>
      </c>
      <c r="J17" s="78">
        <v>5.8000000000000003E-2</v>
      </c>
      <c r="K17" s="78">
        <v>1.089</v>
      </c>
      <c r="L17" s="78">
        <v>0.878</v>
      </c>
      <c r="M17" s="78">
        <v>0.77800000000000002</v>
      </c>
      <c r="N17" s="78">
        <v>0.161</v>
      </c>
      <c r="O17" s="79" t="s">
        <v>75</v>
      </c>
      <c r="P17" s="79" t="s">
        <v>75</v>
      </c>
      <c r="Q17" s="114" t="s">
        <v>75</v>
      </c>
      <c r="R17" s="80">
        <f t="shared" si="3"/>
        <v>0.71441689623507809</v>
      </c>
      <c r="S17" s="80">
        <f t="shared" si="4"/>
        <v>0.80624426078971534</v>
      </c>
      <c r="T17" s="114" t="s">
        <v>75</v>
      </c>
      <c r="U17" s="78">
        <v>0.37</v>
      </c>
      <c r="V17" s="79" t="s">
        <v>75</v>
      </c>
      <c r="W17" s="78">
        <v>0.79600000000000004</v>
      </c>
      <c r="X17" s="78">
        <v>0.11899999999999999</v>
      </c>
      <c r="Y17" s="78">
        <f t="shared" si="10"/>
        <v>6.6890756302521011</v>
      </c>
      <c r="Z17" s="78">
        <v>0.47199999999999998</v>
      </c>
      <c r="AA17" s="78">
        <v>0.68600000000000005</v>
      </c>
      <c r="AB17" s="78">
        <f t="shared" si="11"/>
        <v>0.29191489361702128</v>
      </c>
      <c r="AC17" s="78">
        <v>1.4219999999999999</v>
      </c>
      <c r="AD17" s="78">
        <f t="shared" si="12"/>
        <v>0.60510638297872332</v>
      </c>
      <c r="AE17" s="78">
        <v>0.115</v>
      </c>
      <c r="AF17" s="78">
        <f>AE:AE/K:K</f>
        <v>0.10560146923783288</v>
      </c>
      <c r="AG17" s="79" t="s">
        <v>75</v>
      </c>
      <c r="AH17" s="78">
        <f>AE17/N17</f>
        <v>0.7142857142857143</v>
      </c>
      <c r="AI17" s="78">
        <v>0.104</v>
      </c>
      <c r="AJ17" s="78">
        <v>6.5000000000000002E-2</v>
      </c>
      <c r="AK17" s="78">
        <f t="shared" si="14"/>
        <v>1.5999999999999999</v>
      </c>
      <c r="AL17" s="78">
        <f t="shared" si="20"/>
        <v>0.90434782608695641</v>
      </c>
      <c r="AM17" s="78">
        <f>AI17/N17</f>
        <v>0.64596273291925466</v>
      </c>
      <c r="AN17" s="78">
        <f>AI:AI/K:K</f>
        <v>9.5500459136822771E-2</v>
      </c>
      <c r="AO17" s="78">
        <f t="shared" si="17"/>
        <v>0.36879432624113478</v>
      </c>
      <c r="AP17" s="78">
        <v>0.28199999999999997</v>
      </c>
      <c r="AQ17" s="78">
        <v>0.109</v>
      </c>
      <c r="AR17" s="78">
        <f t="shared" si="6"/>
        <v>0.11999999999999998</v>
      </c>
      <c r="AS17" s="78">
        <f t="shared" si="7"/>
        <v>2.5871559633027519</v>
      </c>
      <c r="AT17" s="78">
        <f t="shared" si="8"/>
        <v>0.25895316804407714</v>
      </c>
      <c r="AU17" s="78">
        <v>0.127</v>
      </c>
      <c r="AV17" s="78">
        <v>0.13900000000000001</v>
      </c>
      <c r="AW17" s="78">
        <f t="shared" si="18"/>
        <v>0.91366906474820142</v>
      </c>
      <c r="AX17" s="80">
        <f t="shared" si="19"/>
        <v>2.2204724409448815</v>
      </c>
      <c r="AY17" s="215" t="s">
        <v>75</v>
      </c>
      <c r="AZ17" s="87">
        <v>11</v>
      </c>
      <c r="BA17" s="252" t="s">
        <v>75</v>
      </c>
      <c r="BB17" s="252" t="s">
        <v>75</v>
      </c>
      <c r="BC17" s="257" t="s">
        <v>75</v>
      </c>
    </row>
    <row r="18" spans="2:55" ht="12.75" customHeight="1" x14ac:dyDescent="0.2">
      <c r="B18" s="75"/>
      <c r="C18" s="77"/>
      <c r="D18" s="77"/>
      <c r="E18" s="77"/>
      <c r="F18" s="78">
        <f>1.058+1.292</f>
        <v>2.35</v>
      </c>
      <c r="G18" s="114" t="s">
        <v>75</v>
      </c>
      <c r="H18" s="114" t="s">
        <v>75</v>
      </c>
      <c r="I18" s="78">
        <v>0.12</v>
      </c>
      <c r="J18" s="78">
        <v>5.8999999999999997E-2</v>
      </c>
      <c r="K18" s="78">
        <v>1.0549999999999999</v>
      </c>
      <c r="L18" s="79" t="s">
        <v>75</v>
      </c>
      <c r="M18" s="79" t="s">
        <v>75</v>
      </c>
      <c r="N18" s="79" t="s">
        <v>75</v>
      </c>
      <c r="O18" s="79" t="s">
        <v>75</v>
      </c>
      <c r="P18" s="79" t="s">
        <v>75</v>
      </c>
      <c r="Q18" s="114" t="s">
        <v>75</v>
      </c>
      <c r="R18" s="114" t="s">
        <v>75</v>
      </c>
      <c r="S18" s="114" t="s">
        <v>75</v>
      </c>
      <c r="T18" s="114" t="s">
        <v>75</v>
      </c>
      <c r="U18" s="78">
        <v>0.37</v>
      </c>
      <c r="V18" s="79" t="s">
        <v>75</v>
      </c>
      <c r="W18" s="78">
        <v>0.747</v>
      </c>
      <c r="X18" s="78">
        <v>0.1</v>
      </c>
      <c r="Y18" s="78">
        <f t="shared" si="10"/>
        <v>7.47</v>
      </c>
      <c r="Z18" s="78">
        <v>0.45</v>
      </c>
      <c r="AA18" s="78">
        <v>0.65</v>
      </c>
      <c r="AB18" s="78">
        <f t="shared" si="11"/>
        <v>0.27659574468085107</v>
      </c>
      <c r="AC18" s="78">
        <v>1.4</v>
      </c>
      <c r="AD18" s="78">
        <f t="shared" si="12"/>
        <v>0.5957446808510638</v>
      </c>
      <c r="AE18" s="78">
        <v>0.112</v>
      </c>
      <c r="AF18" s="78">
        <f>AE:AE/K:K</f>
        <v>0.10616113744075831</v>
      </c>
      <c r="AG18" s="79" t="s">
        <v>75</v>
      </c>
      <c r="AH18" s="79" t="s">
        <v>75</v>
      </c>
      <c r="AI18" s="78">
        <v>0.104</v>
      </c>
      <c r="AJ18" s="78">
        <v>6.5000000000000002E-2</v>
      </c>
      <c r="AK18" s="78">
        <f t="shared" si="14"/>
        <v>1.5999999999999999</v>
      </c>
      <c r="AL18" s="78">
        <f t="shared" si="20"/>
        <v>0.92857142857142849</v>
      </c>
      <c r="AM18" s="79" t="s">
        <v>75</v>
      </c>
      <c r="AN18" s="78">
        <f>AI:AI/K:K</f>
        <v>9.8578199052132706E-2</v>
      </c>
      <c r="AO18" s="78">
        <f t="shared" si="17"/>
        <v>0.33766233766233766</v>
      </c>
      <c r="AP18" s="78">
        <v>0.308</v>
      </c>
      <c r="AQ18" s="78">
        <v>0.114</v>
      </c>
      <c r="AR18" s="78">
        <f t="shared" si="6"/>
        <v>0.13106382978723405</v>
      </c>
      <c r="AS18" s="78">
        <f t="shared" si="7"/>
        <v>2.7017543859649122</v>
      </c>
      <c r="AT18" s="78">
        <f t="shared" si="8"/>
        <v>0.29194312796208532</v>
      </c>
      <c r="AU18" s="78">
        <v>0.127</v>
      </c>
      <c r="AV18" s="78">
        <v>0.13900000000000001</v>
      </c>
      <c r="AW18" s="78">
        <f t="shared" si="18"/>
        <v>0.91366906474820142</v>
      </c>
      <c r="AX18" s="80">
        <f t="shared" si="19"/>
        <v>2.4251968503937009</v>
      </c>
      <c r="AY18" s="215" t="s">
        <v>75</v>
      </c>
      <c r="AZ18" s="216" t="s">
        <v>75</v>
      </c>
      <c r="BA18" s="252" t="s">
        <v>75</v>
      </c>
      <c r="BB18" s="252" t="s">
        <v>75</v>
      </c>
      <c r="BC18" s="257" t="s">
        <v>75</v>
      </c>
    </row>
    <row r="19" spans="2:55" ht="12.75" customHeight="1" x14ac:dyDescent="0.2">
      <c r="B19" s="83">
        <v>27583</v>
      </c>
      <c r="C19" s="70" t="s">
        <v>299</v>
      </c>
      <c r="D19" s="71" t="s">
        <v>295</v>
      </c>
      <c r="E19" s="71" t="s">
        <v>294</v>
      </c>
      <c r="F19" s="72">
        <f>1.01+1.106</f>
        <v>2.1160000000000001</v>
      </c>
      <c r="G19" s="82">
        <f t="shared" si="0"/>
        <v>4.9640000000000004</v>
      </c>
      <c r="H19" s="82">
        <f t="shared" si="1"/>
        <v>2.3459357277882797</v>
      </c>
      <c r="I19" s="72">
        <v>0.123</v>
      </c>
      <c r="J19" s="72">
        <v>6.4000000000000001E-2</v>
      </c>
      <c r="K19" s="72">
        <v>1.1240000000000001</v>
      </c>
      <c r="L19" s="72">
        <v>0.85599999999999998</v>
      </c>
      <c r="M19" s="72">
        <v>0.81799999999999995</v>
      </c>
      <c r="N19" s="72">
        <v>0.13100000000000001</v>
      </c>
      <c r="O19" s="72">
        <f>0.488+0.544+0.816</f>
        <v>1.8479999999999999</v>
      </c>
      <c r="P19" s="72">
        <f>N:N+O:O</f>
        <v>1.9789999999999999</v>
      </c>
      <c r="Q19" s="82">
        <f t="shared" si="2"/>
        <v>1.7606761565836295</v>
      </c>
      <c r="R19" s="82">
        <f t="shared" si="3"/>
        <v>0.72775800711743766</v>
      </c>
      <c r="S19" s="82">
        <f t="shared" si="4"/>
        <v>0.76156583629893226</v>
      </c>
      <c r="T19" s="82">
        <f t="shared" si="5"/>
        <v>14.106870229007631</v>
      </c>
      <c r="U19" s="72">
        <v>0.312</v>
      </c>
      <c r="V19" s="72">
        <f t="shared" si="9"/>
        <v>15.910256410256412</v>
      </c>
      <c r="W19" s="72">
        <v>0.78900000000000003</v>
      </c>
      <c r="X19" s="72">
        <v>0.10299999999999999</v>
      </c>
      <c r="Y19" s="72">
        <f t="shared" si="10"/>
        <v>7.6601941747572821</v>
      </c>
      <c r="Z19" s="72">
        <v>0.48599999999999999</v>
      </c>
      <c r="AA19" s="72">
        <v>0.69</v>
      </c>
      <c r="AB19" s="72">
        <f t="shared" si="11"/>
        <v>0.32608695652173908</v>
      </c>
      <c r="AC19" s="72">
        <v>1.4430000000000001</v>
      </c>
      <c r="AD19" s="72">
        <f t="shared" si="12"/>
        <v>0.68194706994328924</v>
      </c>
      <c r="AE19" s="72">
        <v>0.111</v>
      </c>
      <c r="AF19" s="72">
        <f>AE:AE/K:K</f>
        <v>9.87544483985765E-2</v>
      </c>
      <c r="AG19" s="72">
        <f>AE:AE/P:P</f>
        <v>5.6088933804952001E-2</v>
      </c>
      <c r="AH19" s="72">
        <f>AE19/N19</f>
        <v>0.84732824427480913</v>
      </c>
      <c r="AI19" s="72">
        <v>0.10299999999999999</v>
      </c>
      <c r="AJ19" s="72">
        <v>5.8999999999999997E-2</v>
      </c>
      <c r="AK19" s="72">
        <f t="shared" si="14"/>
        <v>1.7457627118644068</v>
      </c>
      <c r="AL19" s="72">
        <f t="shared" si="20"/>
        <v>0.92792792792792789</v>
      </c>
      <c r="AM19" s="72">
        <f>AI19/N19</f>
        <v>0.7862595419847328</v>
      </c>
      <c r="AN19" s="72">
        <f>AI:AI/K:K</f>
        <v>9.1637010676156566E-2</v>
      </c>
      <c r="AO19" s="72">
        <f t="shared" si="17"/>
        <v>0.38148148148148142</v>
      </c>
      <c r="AP19" s="72">
        <v>0.27</v>
      </c>
      <c r="AQ19" s="72">
        <v>0.126</v>
      </c>
      <c r="AR19" s="72">
        <f t="shared" si="6"/>
        <v>0.1275992438563327</v>
      </c>
      <c r="AS19" s="72">
        <f t="shared" si="7"/>
        <v>2.1428571428571428</v>
      </c>
      <c r="AT19" s="72">
        <f t="shared" si="8"/>
        <v>0.2402135231316726</v>
      </c>
      <c r="AU19" s="72">
        <v>0.127</v>
      </c>
      <c r="AV19" s="72">
        <v>0.17199999999999999</v>
      </c>
      <c r="AW19" s="72">
        <f t="shared" si="18"/>
        <v>0.7383720930232559</v>
      </c>
      <c r="AX19" s="82">
        <f t="shared" si="19"/>
        <v>2.1259842519685042</v>
      </c>
      <c r="AY19" s="224" t="s">
        <v>75</v>
      </c>
      <c r="AZ19" s="84">
        <v>10</v>
      </c>
      <c r="BA19" s="251" t="s">
        <v>75</v>
      </c>
      <c r="BB19" s="251" t="s">
        <v>75</v>
      </c>
      <c r="BC19" s="256" t="s">
        <v>75</v>
      </c>
    </row>
    <row r="20" spans="2:55" ht="12.75" customHeight="1" x14ac:dyDescent="0.2">
      <c r="B20" s="69"/>
      <c r="C20" s="71"/>
      <c r="D20" s="71"/>
      <c r="E20" s="71"/>
      <c r="F20" s="72">
        <f>1.01+1.106</f>
        <v>2.1160000000000001</v>
      </c>
      <c r="G20" s="110" t="s">
        <v>75</v>
      </c>
      <c r="H20" s="110" t="s">
        <v>75</v>
      </c>
      <c r="I20" s="72">
        <v>0.127</v>
      </c>
      <c r="J20" s="73" t="s">
        <v>75</v>
      </c>
      <c r="K20" s="73" t="s">
        <v>75</v>
      </c>
      <c r="L20" s="73" t="s">
        <v>75</v>
      </c>
      <c r="M20" s="73" t="s">
        <v>75</v>
      </c>
      <c r="N20" s="73" t="s">
        <v>75</v>
      </c>
      <c r="O20" s="73" t="s">
        <v>75</v>
      </c>
      <c r="P20" s="73" t="s">
        <v>75</v>
      </c>
      <c r="Q20" s="110" t="s">
        <v>75</v>
      </c>
      <c r="R20" s="110" t="s">
        <v>75</v>
      </c>
      <c r="S20" s="110" t="s">
        <v>75</v>
      </c>
      <c r="T20" s="110" t="s">
        <v>75</v>
      </c>
      <c r="U20" s="72">
        <v>0.312</v>
      </c>
      <c r="V20" s="73" t="s">
        <v>75</v>
      </c>
      <c r="W20" s="72">
        <v>0.77200000000000002</v>
      </c>
      <c r="X20" s="72">
        <v>0.10299999999999999</v>
      </c>
      <c r="Y20" s="72">
        <f t="shared" si="10"/>
        <v>7.4951456310679614</v>
      </c>
      <c r="Z20" s="72">
        <v>0.505</v>
      </c>
      <c r="AA20" s="72">
        <v>0.66300000000000003</v>
      </c>
      <c r="AB20" s="72">
        <f t="shared" si="11"/>
        <v>0.31332703213610585</v>
      </c>
      <c r="AC20" s="72">
        <f>0.982+0.454</f>
        <v>1.4359999999999999</v>
      </c>
      <c r="AD20" s="72">
        <f t="shared" si="12"/>
        <v>0.67863894139886571</v>
      </c>
      <c r="AE20" s="72">
        <v>0.114</v>
      </c>
      <c r="AF20" s="73" t="s">
        <v>75</v>
      </c>
      <c r="AG20" s="73" t="s">
        <v>75</v>
      </c>
      <c r="AH20" s="73" t="s">
        <v>75</v>
      </c>
      <c r="AI20" s="72">
        <v>0.10299999999999999</v>
      </c>
      <c r="AJ20" s="72">
        <v>5.8999999999999997E-2</v>
      </c>
      <c r="AK20" s="72">
        <f t="shared" si="14"/>
        <v>1.7457627118644068</v>
      </c>
      <c r="AL20" s="72">
        <f t="shared" si="20"/>
        <v>0.90350877192982448</v>
      </c>
      <c r="AM20" s="73" t="s">
        <v>75</v>
      </c>
      <c r="AN20" s="73" t="s">
        <v>75</v>
      </c>
      <c r="AO20" s="72">
        <f t="shared" si="17"/>
        <v>0.37591240875912402</v>
      </c>
      <c r="AP20" s="72">
        <v>0.27400000000000002</v>
      </c>
      <c r="AQ20" s="72">
        <v>0.121</v>
      </c>
      <c r="AR20" s="72">
        <f t="shared" si="6"/>
        <v>0.12948960302457468</v>
      </c>
      <c r="AS20" s="72">
        <f t="shared" si="7"/>
        <v>2.2644628099173558</v>
      </c>
      <c r="AT20" s="73" t="s">
        <v>75</v>
      </c>
      <c r="AU20" s="72">
        <v>0.127</v>
      </c>
      <c r="AV20" s="72">
        <v>0.17199999999999999</v>
      </c>
      <c r="AW20" s="72">
        <f t="shared" si="18"/>
        <v>0.7383720930232559</v>
      </c>
      <c r="AX20" s="82">
        <f t="shared" si="19"/>
        <v>2.1574803149606301</v>
      </c>
      <c r="AY20" s="224" t="s">
        <v>75</v>
      </c>
      <c r="AZ20" s="225" t="s">
        <v>75</v>
      </c>
      <c r="BA20" s="251" t="s">
        <v>75</v>
      </c>
      <c r="BB20" s="251" t="s">
        <v>75</v>
      </c>
      <c r="BC20" s="256" t="s">
        <v>75</v>
      </c>
    </row>
    <row r="21" spans="2:55" ht="12.75" customHeight="1" x14ac:dyDescent="0.2">
      <c r="B21" s="282">
        <v>26531</v>
      </c>
      <c r="C21" s="283" t="s">
        <v>299</v>
      </c>
      <c r="D21" s="284" t="s">
        <v>318</v>
      </c>
      <c r="E21" s="284" t="s">
        <v>317</v>
      </c>
      <c r="F21" s="78">
        <f>1.256+1.49</f>
        <v>2.746</v>
      </c>
      <c r="G21" s="80">
        <f t="shared" si="0"/>
        <v>5.5589999999999993</v>
      </c>
      <c r="H21" s="80">
        <f t="shared" si="1"/>
        <v>2.0243991260014562</v>
      </c>
      <c r="I21" s="78">
        <v>0.127</v>
      </c>
      <c r="J21" s="78">
        <v>6.7000000000000004E-2</v>
      </c>
      <c r="K21" s="78">
        <v>1.143</v>
      </c>
      <c r="L21" s="78">
        <v>0.93899999999999995</v>
      </c>
      <c r="M21" s="78">
        <v>0.97299999999999998</v>
      </c>
      <c r="N21" s="78">
        <v>0.154</v>
      </c>
      <c r="O21" s="78">
        <f>1.287+0.869</f>
        <v>2.1559999999999997</v>
      </c>
      <c r="P21" s="78">
        <f t="shared" ref="P21:P27" si="21">N:N+O:O</f>
        <v>2.3099999999999996</v>
      </c>
      <c r="Q21" s="80">
        <f t="shared" si="2"/>
        <v>2.0209973753280837</v>
      </c>
      <c r="R21" s="80">
        <f t="shared" si="3"/>
        <v>0.8512685914260717</v>
      </c>
      <c r="S21" s="80">
        <f t="shared" si="4"/>
        <v>0.82152230971128604</v>
      </c>
      <c r="T21" s="80">
        <f t="shared" si="5"/>
        <v>13.999999999999998</v>
      </c>
      <c r="U21" s="78">
        <v>0.39100000000000001</v>
      </c>
      <c r="V21" s="78">
        <f t="shared" si="9"/>
        <v>14.217391304347824</v>
      </c>
      <c r="W21" s="78">
        <v>0.89500000000000002</v>
      </c>
      <c r="X21" s="78">
        <v>0.13300000000000001</v>
      </c>
      <c r="Y21" s="78">
        <f t="shared" si="10"/>
        <v>6.7293233082706765</v>
      </c>
      <c r="Z21" s="78">
        <v>0.56399999999999995</v>
      </c>
      <c r="AA21" s="78">
        <v>0.80100000000000005</v>
      </c>
      <c r="AB21" s="78">
        <f t="shared" si="11"/>
        <v>0.29169701383831026</v>
      </c>
      <c r="AC21" s="78">
        <v>1.5760000000000001</v>
      </c>
      <c r="AD21" s="78">
        <f t="shared" si="12"/>
        <v>0.57392571012381643</v>
      </c>
      <c r="AE21" s="78">
        <v>0.123</v>
      </c>
      <c r="AF21" s="78">
        <f t="shared" ref="AF21:AF29" si="22">AE:AE/K:K</f>
        <v>0.10761154855643044</v>
      </c>
      <c r="AG21" s="78">
        <f t="shared" ref="AG21:AG27" si="23">AE:AE/P:P</f>
        <v>5.3246753246753258E-2</v>
      </c>
      <c r="AH21" s="78">
        <f t="shared" ref="AH21:AH26" si="24">AE21/N21</f>
        <v>0.79870129870129869</v>
      </c>
      <c r="AI21" s="78">
        <v>0.10199999999999999</v>
      </c>
      <c r="AJ21" s="78">
        <v>7.0000000000000007E-2</v>
      </c>
      <c r="AK21" s="78">
        <f t="shared" si="14"/>
        <v>1.4571428571428569</v>
      </c>
      <c r="AL21" s="78">
        <f t="shared" si="20"/>
        <v>0.82926829268292679</v>
      </c>
      <c r="AM21" s="78">
        <f>AI21/N21</f>
        <v>0.66233766233766234</v>
      </c>
      <c r="AN21" s="78">
        <f>AI:AI/K:K</f>
        <v>8.9238845144356954E-2</v>
      </c>
      <c r="AO21" s="78">
        <f t="shared" si="17"/>
        <v>0.30447761194029849</v>
      </c>
      <c r="AP21" s="78">
        <v>0.33500000000000002</v>
      </c>
      <c r="AQ21" s="78">
        <v>0.14799999999999999</v>
      </c>
      <c r="AR21" s="78">
        <f t="shared" si="6"/>
        <v>0.12199563000728333</v>
      </c>
      <c r="AS21" s="78">
        <f t="shared" si="7"/>
        <v>2.2635135135135136</v>
      </c>
      <c r="AT21" s="78">
        <f t="shared" ref="AT21:AT26" si="25">AP21/K21</f>
        <v>0.29308836395450572</v>
      </c>
      <c r="AU21" s="78">
        <v>0.14399999999999999</v>
      </c>
      <c r="AV21" s="78">
        <v>0.16900000000000001</v>
      </c>
      <c r="AW21" s="78">
        <f t="shared" si="18"/>
        <v>0.85207100591715967</v>
      </c>
      <c r="AX21" s="80">
        <f t="shared" si="19"/>
        <v>2.3263888888888893</v>
      </c>
      <c r="AY21" s="215" t="s">
        <v>75</v>
      </c>
      <c r="AZ21" s="87">
        <v>10</v>
      </c>
      <c r="BA21" s="252" t="s">
        <v>75</v>
      </c>
      <c r="BB21" s="252" t="s">
        <v>75</v>
      </c>
      <c r="BC21" s="257" t="s">
        <v>75</v>
      </c>
    </row>
    <row r="22" spans="2:55" ht="12.75" customHeight="1" x14ac:dyDescent="0.2">
      <c r="B22" s="285"/>
      <c r="C22" s="284"/>
      <c r="D22" s="284"/>
      <c r="E22" s="284"/>
      <c r="F22" s="78">
        <f>1.256+1.49</f>
        <v>2.746</v>
      </c>
      <c r="G22" s="80">
        <f t="shared" si="0"/>
        <v>5.5549999999999997</v>
      </c>
      <c r="H22" s="80">
        <f t="shared" si="1"/>
        <v>2.0229424617625638</v>
      </c>
      <c r="I22" s="78">
        <v>0.13100000000000001</v>
      </c>
      <c r="J22" s="78">
        <v>6.7000000000000004E-2</v>
      </c>
      <c r="K22" s="78">
        <v>1.123</v>
      </c>
      <c r="L22" s="78">
        <v>0.95899999999999996</v>
      </c>
      <c r="M22" s="78">
        <v>0.96</v>
      </c>
      <c r="N22" s="78">
        <v>0.158</v>
      </c>
      <c r="O22" s="78">
        <f>1.29+0.867</f>
        <v>2.157</v>
      </c>
      <c r="P22" s="78">
        <f t="shared" si="21"/>
        <v>2.3149999999999999</v>
      </c>
      <c r="Q22" s="80">
        <f t="shared" si="2"/>
        <v>2.0614425645592163</v>
      </c>
      <c r="R22" s="80">
        <f t="shared" si="3"/>
        <v>0.85485307212822792</v>
      </c>
      <c r="S22" s="80">
        <f t="shared" si="4"/>
        <v>0.85396260017809433</v>
      </c>
      <c r="T22" s="80">
        <f t="shared" si="5"/>
        <v>13.651898734177216</v>
      </c>
      <c r="U22" s="78">
        <v>0.39100000000000001</v>
      </c>
      <c r="V22" s="78">
        <f t="shared" si="9"/>
        <v>14.207161125319692</v>
      </c>
      <c r="W22" s="78">
        <v>0.86899999999999999</v>
      </c>
      <c r="X22" s="78">
        <v>0.124</v>
      </c>
      <c r="Y22" s="78">
        <f t="shared" si="10"/>
        <v>7.008064516129032</v>
      </c>
      <c r="Z22" s="78">
        <v>0.56499999999999995</v>
      </c>
      <c r="AA22" s="78">
        <v>0.80600000000000005</v>
      </c>
      <c r="AB22" s="78">
        <f t="shared" si="11"/>
        <v>0.29351784413692644</v>
      </c>
      <c r="AC22" s="78">
        <v>1.591</v>
      </c>
      <c r="AD22" s="78">
        <f t="shared" si="12"/>
        <v>0.57938820101966493</v>
      </c>
      <c r="AE22" s="78">
        <v>0.12</v>
      </c>
      <c r="AF22" s="78">
        <f t="shared" si="22"/>
        <v>0.10685663401602849</v>
      </c>
      <c r="AG22" s="78">
        <f t="shared" si="23"/>
        <v>5.183585313174946E-2</v>
      </c>
      <c r="AH22" s="78">
        <f t="shared" si="24"/>
        <v>0.75949367088607589</v>
      </c>
      <c r="AI22" s="78">
        <v>0.10199999999999999</v>
      </c>
      <c r="AJ22" s="78">
        <v>7.0000000000000007E-2</v>
      </c>
      <c r="AK22" s="78">
        <f t="shared" si="14"/>
        <v>1.4571428571428569</v>
      </c>
      <c r="AL22" s="78">
        <f t="shared" si="20"/>
        <v>0.85</v>
      </c>
      <c r="AM22" s="78">
        <f>AI22/N22</f>
        <v>0.64556962025316456</v>
      </c>
      <c r="AN22" s="78">
        <f>AI:AI/K:K</f>
        <v>9.0828138913624221E-2</v>
      </c>
      <c r="AO22" s="78">
        <f t="shared" si="17"/>
        <v>0.29651162790697677</v>
      </c>
      <c r="AP22" s="78">
        <v>0.34399999999999997</v>
      </c>
      <c r="AQ22" s="78">
        <v>0.14499999999999999</v>
      </c>
      <c r="AR22" s="78">
        <f t="shared" si="6"/>
        <v>0.12527312454479242</v>
      </c>
      <c r="AS22" s="78">
        <f t="shared" si="7"/>
        <v>2.3724137931034481</v>
      </c>
      <c r="AT22" s="78">
        <f t="shared" si="25"/>
        <v>0.30632235084594833</v>
      </c>
      <c r="AU22" s="78">
        <v>0.14399999999999999</v>
      </c>
      <c r="AV22" s="78">
        <v>0.16900000000000001</v>
      </c>
      <c r="AW22" s="78">
        <f t="shared" si="18"/>
        <v>0.85207100591715967</v>
      </c>
      <c r="AX22" s="80">
        <f t="shared" si="19"/>
        <v>2.3888888888888888</v>
      </c>
      <c r="AY22" s="215" t="s">
        <v>75</v>
      </c>
      <c r="AZ22" s="87">
        <v>11</v>
      </c>
      <c r="BA22" s="252" t="s">
        <v>75</v>
      </c>
      <c r="BB22" s="252" t="s">
        <v>75</v>
      </c>
      <c r="BC22" s="257" t="s">
        <v>75</v>
      </c>
    </row>
    <row r="23" spans="2:55" ht="12.75" customHeight="1" x14ac:dyDescent="0.2">
      <c r="B23" s="286">
        <v>26531</v>
      </c>
      <c r="C23" s="287" t="s">
        <v>299</v>
      </c>
      <c r="D23" s="288" t="s">
        <v>318</v>
      </c>
      <c r="E23" s="288" t="s">
        <v>317</v>
      </c>
      <c r="F23" s="72">
        <f>1.1777+1.449</f>
        <v>2.6267</v>
      </c>
      <c r="G23" s="82">
        <f t="shared" si="0"/>
        <v>5.1219999999999999</v>
      </c>
      <c r="H23" s="82">
        <f t="shared" si="1"/>
        <v>1.9499752541211406</v>
      </c>
      <c r="I23" s="72">
        <v>0.14199999999999999</v>
      </c>
      <c r="J23" s="72">
        <v>7.1999999999999995E-2</v>
      </c>
      <c r="K23" s="72">
        <v>1.3</v>
      </c>
      <c r="L23" s="72">
        <v>1.0429999999999999</v>
      </c>
      <c r="M23" s="72">
        <v>1.0229999999999999</v>
      </c>
      <c r="N23" s="72">
        <v>0.17399999999999999</v>
      </c>
      <c r="O23" s="72">
        <v>1.3680000000000001</v>
      </c>
      <c r="P23" s="72">
        <f t="shared" si="21"/>
        <v>1.542</v>
      </c>
      <c r="Q23" s="82">
        <f t="shared" si="2"/>
        <v>1.1861538461538461</v>
      </c>
      <c r="R23" s="82">
        <f t="shared" si="3"/>
        <v>0.78692307692307684</v>
      </c>
      <c r="S23" s="82">
        <f t="shared" si="4"/>
        <v>0.80230769230769228</v>
      </c>
      <c r="T23" s="82">
        <f t="shared" si="5"/>
        <v>7.8620689655172429</v>
      </c>
      <c r="U23" s="72">
        <v>0.4</v>
      </c>
      <c r="V23" s="72">
        <f t="shared" si="9"/>
        <v>12.805</v>
      </c>
      <c r="W23" s="72">
        <v>0.90900000000000003</v>
      </c>
      <c r="X23" s="72">
        <v>0.13300000000000001</v>
      </c>
      <c r="Y23" s="72">
        <f t="shared" si="10"/>
        <v>6.8345864661654137</v>
      </c>
      <c r="Z23" s="72">
        <v>0.59699999999999998</v>
      </c>
      <c r="AA23" s="72">
        <v>0.80400000000000005</v>
      </c>
      <c r="AB23" s="72">
        <f t="shared" si="11"/>
        <v>0.30608748619941373</v>
      </c>
      <c r="AC23" s="72">
        <v>1.7050000000000001</v>
      </c>
      <c r="AD23" s="72">
        <f t="shared" si="12"/>
        <v>0.64910343777363233</v>
      </c>
      <c r="AE23" s="72">
        <v>0.11700000000000001</v>
      </c>
      <c r="AF23" s="72">
        <f t="shared" si="22"/>
        <v>0.09</v>
      </c>
      <c r="AG23" s="72">
        <f t="shared" si="23"/>
        <v>7.5875486381322965E-2</v>
      </c>
      <c r="AH23" s="72">
        <f t="shared" si="24"/>
        <v>0.6724137931034484</v>
      </c>
      <c r="AI23" s="73" t="s">
        <v>75</v>
      </c>
      <c r="AJ23" s="73" t="s">
        <v>75</v>
      </c>
      <c r="AK23" s="73" t="s">
        <v>75</v>
      </c>
      <c r="AL23" s="73" t="s">
        <v>75</v>
      </c>
      <c r="AM23" s="73" t="s">
        <v>75</v>
      </c>
      <c r="AN23" s="73" t="s">
        <v>75</v>
      </c>
      <c r="AO23" s="73" t="s">
        <v>75</v>
      </c>
      <c r="AP23" s="72">
        <v>0.36199999999999999</v>
      </c>
      <c r="AQ23" s="72">
        <v>0.15</v>
      </c>
      <c r="AR23" s="72">
        <f t="shared" si="6"/>
        <v>0.13781550995545741</v>
      </c>
      <c r="AS23" s="72">
        <f t="shared" si="7"/>
        <v>2.4133333333333336</v>
      </c>
      <c r="AT23" s="72">
        <f t="shared" si="25"/>
        <v>0.27846153846153843</v>
      </c>
      <c r="AU23" s="72">
        <v>0.14899999999999999</v>
      </c>
      <c r="AV23" s="72">
        <v>0.13</v>
      </c>
      <c r="AW23" s="72">
        <f t="shared" si="18"/>
        <v>1.1461538461538461</v>
      </c>
      <c r="AX23" s="82">
        <f t="shared" si="19"/>
        <v>2.4295302013422817</v>
      </c>
      <c r="AY23" s="224" t="s">
        <v>75</v>
      </c>
      <c r="AZ23" s="84">
        <v>10</v>
      </c>
      <c r="BA23" s="251" t="s">
        <v>75</v>
      </c>
      <c r="BB23" s="251" t="s">
        <v>75</v>
      </c>
      <c r="BC23" s="256" t="s">
        <v>75</v>
      </c>
    </row>
    <row r="24" spans="2:55" ht="12.75" customHeight="1" x14ac:dyDescent="0.2">
      <c r="B24" s="289"/>
      <c r="C24" s="288"/>
      <c r="D24" s="288"/>
      <c r="E24" s="288"/>
      <c r="F24" s="72">
        <f>1.1777+1.449</f>
        <v>2.6267</v>
      </c>
      <c r="G24" s="82">
        <f t="shared" si="0"/>
        <v>5.8239999999999998</v>
      </c>
      <c r="H24" s="82">
        <f t="shared" si="1"/>
        <v>2.2172307458027181</v>
      </c>
      <c r="I24" s="72">
        <v>0.14699999999999999</v>
      </c>
      <c r="J24" s="72">
        <v>7.3999999999999996E-2</v>
      </c>
      <c r="K24" s="72">
        <v>1.3320000000000001</v>
      </c>
      <c r="L24" s="72">
        <v>0.97899999999999998</v>
      </c>
      <c r="M24" s="72">
        <v>1.0409999999999999</v>
      </c>
      <c r="N24" s="72">
        <v>0.16400000000000001</v>
      </c>
      <c r="O24" s="72">
        <f>1.074+1.013</f>
        <v>2.0869999999999997</v>
      </c>
      <c r="P24" s="72">
        <f t="shared" si="21"/>
        <v>2.2509999999999999</v>
      </c>
      <c r="Q24" s="82">
        <f t="shared" si="2"/>
        <v>1.6899399399399397</v>
      </c>
      <c r="R24" s="82">
        <f t="shared" si="3"/>
        <v>0.78153153153153143</v>
      </c>
      <c r="S24" s="82">
        <f t="shared" si="4"/>
        <v>0.73498498498498488</v>
      </c>
      <c r="T24" s="82">
        <f t="shared" si="5"/>
        <v>12.725609756097558</v>
      </c>
      <c r="U24" s="72">
        <v>0.4</v>
      </c>
      <c r="V24" s="72">
        <f t="shared" si="9"/>
        <v>14.559999999999999</v>
      </c>
      <c r="W24" s="73" t="s">
        <v>75</v>
      </c>
      <c r="X24" s="73" t="s">
        <v>75</v>
      </c>
      <c r="Y24" s="73" t="s">
        <v>75</v>
      </c>
      <c r="Z24" s="72">
        <v>0.58399999999999996</v>
      </c>
      <c r="AA24" s="72">
        <v>0.80900000000000005</v>
      </c>
      <c r="AB24" s="72">
        <f t="shared" si="11"/>
        <v>0.30799101534244488</v>
      </c>
      <c r="AC24" s="72">
        <f>1.602+0.106</f>
        <v>1.7080000000000002</v>
      </c>
      <c r="AD24" s="72">
        <f t="shared" si="12"/>
        <v>0.65024555525945105</v>
      </c>
      <c r="AE24" s="72">
        <v>0.11600000000000001</v>
      </c>
      <c r="AF24" s="72">
        <f t="shared" si="22"/>
        <v>8.7087087087087081E-2</v>
      </c>
      <c r="AG24" s="72">
        <f t="shared" si="23"/>
        <v>5.1532652154597965E-2</v>
      </c>
      <c r="AH24" s="72">
        <f t="shared" si="24"/>
        <v>0.70731707317073167</v>
      </c>
      <c r="AI24" s="73" t="s">
        <v>75</v>
      </c>
      <c r="AJ24" s="73" t="s">
        <v>75</v>
      </c>
      <c r="AK24" s="73" t="s">
        <v>75</v>
      </c>
      <c r="AL24" s="73" t="s">
        <v>75</v>
      </c>
      <c r="AM24" s="73" t="s">
        <v>75</v>
      </c>
      <c r="AN24" s="73" t="s">
        <v>75</v>
      </c>
      <c r="AO24" s="73" t="s">
        <v>75</v>
      </c>
      <c r="AP24" s="72">
        <v>0.34699999999999998</v>
      </c>
      <c r="AQ24" s="72">
        <v>0.156</v>
      </c>
      <c r="AR24" s="72">
        <f t="shared" si="6"/>
        <v>0.13210492252636385</v>
      </c>
      <c r="AS24" s="72">
        <f t="shared" si="7"/>
        <v>2.224358974358974</v>
      </c>
      <c r="AT24" s="72">
        <f t="shared" si="25"/>
        <v>0.2605105105105105</v>
      </c>
      <c r="AU24" s="72">
        <v>0.14899999999999999</v>
      </c>
      <c r="AV24" s="72">
        <v>0.13</v>
      </c>
      <c r="AW24" s="72">
        <f t="shared" si="18"/>
        <v>1.1461538461538461</v>
      </c>
      <c r="AX24" s="82">
        <f t="shared" si="19"/>
        <v>2.3288590604026846</v>
      </c>
      <c r="AY24" s="224" t="s">
        <v>75</v>
      </c>
      <c r="AZ24" s="225" t="s">
        <v>75</v>
      </c>
      <c r="BA24" s="251" t="s">
        <v>75</v>
      </c>
      <c r="BB24" s="251" t="s">
        <v>75</v>
      </c>
      <c r="BC24" s="256" t="s">
        <v>75</v>
      </c>
    </row>
    <row r="25" spans="2:55" ht="12.75" customHeight="1" x14ac:dyDescent="0.2">
      <c r="B25" s="282">
        <v>26531</v>
      </c>
      <c r="C25" s="283" t="s">
        <v>299</v>
      </c>
      <c r="D25" s="284" t="s">
        <v>318</v>
      </c>
      <c r="E25" s="284" t="s">
        <v>317</v>
      </c>
      <c r="F25" s="78">
        <f>1.153+1.423</f>
        <v>2.5760000000000001</v>
      </c>
      <c r="G25" s="80">
        <f t="shared" si="0"/>
        <v>5.8629999999999995</v>
      </c>
      <c r="H25" s="80">
        <f t="shared" si="1"/>
        <v>2.2760093167701863</v>
      </c>
      <c r="I25" s="78">
        <v>0.14199999999999999</v>
      </c>
      <c r="J25" s="78">
        <v>7.1999999999999995E-2</v>
      </c>
      <c r="K25" s="78">
        <v>1.2889999999999999</v>
      </c>
      <c r="L25" s="78">
        <v>1.008</v>
      </c>
      <c r="M25" s="78">
        <v>1.0209999999999999</v>
      </c>
      <c r="N25" s="78">
        <v>0.157</v>
      </c>
      <c r="O25" s="78">
        <v>2.1739999999999999</v>
      </c>
      <c r="P25" s="78">
        <f t="shared" si="21"/>
        <v>2.331</v>
      </c>
      <c r="Q25" s="80">
        <f t="shared" si="2"/>
        <v>1.8083785880527541</v>
      </c>
      <c r="R25" s="80">
        <f t="shared" si="3"/>
        <v>0.79208688906128777</v>
      </c>
      <c r="S25" s="80">
        <f t="shared" si="4"/>
        <v>0.78200155159038021</v>
      </c>
      <c r="T25" s="80">
        <f t="shared" si="5"/>
        <v>13.847133757961783</v>
      </c>
      <c r="U25" s="78">
        <v>0.42799999999999999</v>
      </c>
      <c r="V25" s="78">
        <f t="shared" si="9"/>
        <v>13.698598130841122</v>
      </c>
      <c r="W25" s="78">
        <v>0.94299999999999995</v>
      </c>
      <c r="X25" s="78">
        <v>0.13500000000000001</v>
      </c>
      <c r="Y25" s="78">
        <f t="shared" ref="Y25:Y31" si="26">W:W/X:X</f>
        <v>6.9851851851851841</v>
      </c>
      <c r="Z25" s="78">
        <v>0.59099999999999997</v>
      </c>
      <c r="AA25" s="78">
        <v>0.83</v>
      </c>
      <c r="AB25" s="78">
        <f t="shared" si="11"/>
        <v>0.32220496894409933</v>
      </c>
      <c r="AC25" s="78">
        <v>1.8009999999999999</v>
      </c>
      <c r="AD25" s="78">
        <f t="shared" si="12"/>
        <v>0.69914596273291918</v>
      </c>
      <c r="AE25" s="78">
        <v>0.12</v>
      </c>
      <c r="AF25" s="78">
        <f t="shared" si="22"/>
        <v>9.3095422808378583E-2</v>
      </c>
      <c r="AG25" s="78">
        <f t="shared" si="23"/>
        <v>5.1480051480051477E-2</v>
      </c>
      <c r="AH25" s="78">
        <f t="shared" si="24"/>
        <v>0.76433121019108274</v>
      </c>
      <c r="AI25" s="78">
        <v>9.9000000000000005E-2</v>
      </c>
      <c r="AJ25" s="78">
        <v>6.5000000000000002E-2</v>
      </c>
      <c r="AK25" s="78">
        <f t="shared" ref="AK25:AK40" si="27">AI25/AJ25</f>
        <v>1.523076923076923</v>
      </c>
      <c r="AL25" s="78">
        <f t="shared" ref="AL25:AL40" si="28">AI25/AE25</f>
        <v>0.82500000000000007</v>
      </c>
      <c r="AM25" s="78">
        <f>AI25/N25</f>
        <v>0.63057324840764339</v>
      </c>
      <c r="AN25" s="78">
        <f>AI:AI/K:K</f>
        <v>7.6803723816912348E-2</v>
      </c>
      <c r="AO25" s="78">
        <f t="shared" ref="AO25:AO40" si="29">AI25/AP25</f>
        <v>0.27123287671232876</v>
      </c>
      <c r="AP25" s="78">
        <v>0.36499999999999999</v>
      </c>
      <c r="AQ25" s="78">
        <v>0.155</v>
      </c>
      <c r="AR25" s="78">
        <f t="shared" si="6"/>
        <v>0.14169254658385091</v>
      </c>
      <c r="AS25" s="78">
        <f t="shared" si="7"/>
        <v>2.3548387096774195</v>
      </c>
      <c r="AT25" s="78">
        <f t="shared" si="25"/>
        <v>0.2831652443754849</v>
      </c>
      <c r="AU25" s="78">
        <v>0.14899999999999999</v>
      </c>
      <c r="AV25" s="78">
        <v>0.13800000000000001</v>
      </c>
      <c r="AW25" s="78">
        <f t="shared" si="18"/>
        <v>1.0797101449275361</v>
      </c>
      <c r="AX25" s="80">
        <f t="shared" si="19"/>
        <v>2.4496644295302015</v>
      </c>
      <c r="AY25" s="215" t="s">
        <v>75</v>
      </c>
      <c r="AZ25" s="87">
        <v>11</v>
      </c>
      <c r="BA25" s="252" t="s">
        <v>75</v>
      </c>
      <c r="BB25" s="252" t="s">
        <v>75</v>
      </c>
      <c r="BC25" s="257" t="s">
        <v>75</v>
      </c>
    </row>
    <row r="26" spans="2:55" ht="12.75" customHeight="1" x14ac:dyDescent="0.2">
      <c r="B26" s="285"/>
      <c r="C26" s="284"/>
      <c r="D26" s="284"/>
      <c r="E26" s="284"/>
      <c r="F26" s="78">
        <f>1.153+1.423</f>
        <v>2.5760000000000001</v>
      </c>
      <c r="G26" s="80">
        <f t="shared" si="0"/>
        <v>5.766</v>
      </c>
      <c r="H26" s="80">
        <f t="shared" si="1"/>
        <v>2.2383540372670807</v>
      </c>
      <c r="I26" s="78">
        <v>0.14000000000000001</v>
      </c>
      <c r="J26" s="78">
        <v>6.8000000000000005E-2</v>
      </c>
      <c r="K26" s="78">
        <v>1.2849999999999999</v>
      </c>
      <c r="L26" s="78">
        <v>0.97499999999999998</v>
      </c>
      <c r="M26" s="78">
        <v>1.032</v>
      </c>
      <c r="N26" s="78">
        <v>0.16300000000000001</v>
      </c>
      <c r="O26" s="78">
        <f>1.453+0.65</f>
        <v>2.1030000000000002</v>
      </c>
      <c r="P26" s="78">
        <f t="shared" si="21"/>
        <v>2.266</v>
      </c>
      <c r="Q26" s="80">
        <f t="shared" si="2"/>
        <v>1.7634241245136189</v>
      </c>
      <c r="R26" s="80">
        <f t="shared" si="3"/>
        <v>0.8031128404669261</v>
      </c>
      <c r="S26" s="80">
        <f t="shared" si="4"/>
        <v>0.75875486381322965</v>
      </c>
      <c r="T26" s="80">
        <f t="shared" si="5"/>
        <v>12.901840490797547</v>
      </c>
      <c r="U26" s="78">
        <v>0.42799999999999999</v>
      </c>
      <c r="V26" s="78">
        <f t="shared" si="9"/>
        <v>13.471962616822431</v>
      </c>
      <c r="W26" s="78">
        <v>0.90900000000000003</v>
      </c>
      <c r="X26" s="78">
        <v>0.11</v>
      </c>
      <c r="Y26" s="78">
        <f t="shared" si="26"/>
        <v>8.2636363636363637</v>
      </c>
      <c r="Z26" s="78">
        <v>0.60099999999999998</v>
      </c>
      <c r="AA26" s="78">
        <v>0.80700000000000005</v>
      </c>
      <c r="AB26" s="78">
        <f t="shared" si="11"/>
        <v>0.31327639751552794</v>
      </c>
      <c r="AC26" s="78">
        <f>0.625+1.249</f>
        <v>1.8740000000000001</v>
      </c>
      <c r="AD26" s="78">
        <f t="shared" si="12"/>
        <v>0.72748447204968947</v>
      </c>
      <c r="AE26" s="78">
        <v>0.13600000000000001</v>
      </c>
      <c r="AF26" s="78">
        <f t="shared" si="22"/>
        <v>0.10583657587548639</v>
      </c>
      <c r="AG26" s="78">
        <f t="shared" si="23"/>
        <v>6.0017652250661961E-2</v>
      </c>
      <c r="AH26" s="78">
        <f t="shared" si="24"/>
        <v>0.83435582822085896</v>
      </c>
      <c r="AI26" s="78">
        <v>9.9000000000000005E-2</v>
      </c>
      <c r="AJ26" s="78">
        <v>6.5000000000000002E-2</v>
      </c>
      <c r="AK26" s="78">
        <f t="shared" si="27"/>
        <v>1.523076923076923</v>
      </c>
      <c r="AL26" s="78">
        <f t="shared" si="28"/>
        <v>0.7279411764705882</v>
      </c>
      <c r="AM26" s="78">
        <f>AI26/N26</f>
        <v>0.6073619631901841</v>
      </c>
      <c r="AN26" s="78">
        <f>AI:AI/K:K</f>
        <v>7.7042801556420237E-2</v>
      </c>
      <c r="AO26" s="78">
        <f t="shared" si="29"/>
        <v>0.26329787234042556</v>
      </c>
      <c r="AP26" s="78">
        <v>0.376</v>
      </c>
      <c r="AQ26" s="78">
        <v>0.13</v>
      </c>
      <c r="AR26" s="78">
        <f t="shared" si="6"/>
        <v>0.14596273291925466</v>
      </c>
      <c r="AS26" s="78">
        <f t="shared" si="7"/>
        <v>2.8923076923076922</v>
      </c>
      <c r="AT26" s="78">
        <f t="shared" si="25"/>
        <v>0.2926070038910506</v>
      </c>
      <c r="AU26" s="78">
        <v>0.14899999999999999</v>
      </c>
      <c r="AV26" s="78">
        <v>0.13800000000000001</v>
      </c>
      <c r="AW26" s="78">
        <f t="shared" si="18"/>
        <v>1.0797101449275361</v>
      </c>
      <c r="AX26" s="80">
        <f t="shared" si="19"/>
        <v>2.523489932885906</v>
      </c>
      <c r="AY26" s="215" t="s">
        <v>75</v>
      </c>
      <c r="AZ26" s="87">
        <v>12</v>
      </c>
      <c r="BA26" s="252" t="s">
        <v>75</v>
      </c>
      <c r="BB26" s="252" t="s">
        <v>75</v>
      </c>
      <c r="BC26" s="257" t="s">
        <v>75</v>
      </c>
    </row>
    <row r="27" spans="2:55" ht="12.75" customHeight="1" x14ac:dyDescent="0.2">
      <c r="B27" s="290">
        <v>23294</v>
      </c>
      <c r="C27" s="287" t="s">
        <v>299</v>
      </c>
      <c r="D27" s="288" t="s">
        <v>236</v>
      </c>
      <c r="E27" s="288" t="s">
        <v>301</v>
      </c>
      <c r="F27" s="72">
        <f>1.89+1.1</f>
        <v>2.99</v>
      </c>
      <c r="G27" s="82">
        <f t="shared" si="0"/>
        <v>5.29</v>
      </c>
      <c r="H27" s="82">
        <f t="shared" si="1"/>
        <v>1.7692307692307692</v>
      </c>
      <c r="I27" s="72">
        <v>0.13</v>
      </c>
      <c r="J27" s="72">
        <v>0.08</v>
      </c>
      <c r="K27" s="72">
        <v>1.25</v>
      </c>
      <c r="L27" s="72">
        <v>0.93</v>
      </c>
      <c r="M27" s="72">
        <v>0.96</v>
      </c>
      <c r="N27" s="72">
        <v>0.15</v>
      </c>
      <c r="O27" s="72">
        <f>0.76+1.03</f>
        <v>1.79</v>
      </c>
      <c r="P27" s="72">
        <f t="shared" si="21"/>
        <v>1.94</v>
      </c>
      <c r="Q27" s="82">
        <f t="shared" si="2"/>
        <v>1.552</v>
      </c>
      <c r="R27" s="82">
        <f t="shared" si="3"/>
        <v>0.76800000000000002</v>
      </c>
      <c r="S27" s="82">
        <f t="shared" si="4"/>
        <v>0.74399999999999999</v>
      </c>
      <c r="T27" s="82">
        <f t="shared" si="5"/>
        <v>11.933333333333334</v>
      </c>
      <c r="U27" s="72">
        <v>0.3</v>
      </c>
      <c r="V27" s="72">
        <f t="shared" si="9"/>
        <v>17.633333333333333</v>
      </c>
      <c r="W27" s="72">
        <v>0.9</v>
      </c>
      <c r="X27" s="72">
        <v>0.18</v>
      </c>
      <c r="Y27" s="72">
        <f t="shared" si="26"/>
        <v>5</v>
      </c>
      <c r="Z27" s="72">
        <v>0.56999999999999995</v>
      </c>
      <c r="AA27" s="72">
        <v>0.77</v>
      </c>
      <c r="AB27" s="72">
        <f t="shared" si="11"/>
        <v>0.25752508361204013</v>
      </c>
      <c r="AC27" s="72">
        <v>1.66</v>
      </c>
      <c r="AD27" s="72">
        <f t="shared" si="12"/>
        <v>0.55518394648829428</v>
      </c>
      <c r="AE27" s="72">
        <v>0.127</v>
      </c>
      <c r="AF27" s="72">
        <f t="shared" si="22"/>
        <v>0.1016</v>
      </c>
      <c r="AG27" s="72">
        <f t="shared" si="23"/>
        <v>6.5463917525773199E-2</v>
      </c>
      <c r="AH27" s="72">
        <f>AE27/N27</f>
        <v>0.84666666666666668</v>
      </c>
      <c r="AI27" s="72">
        <v>0.11</v>
      </c>
      <c r="AJ27" s="72">
        <v>8.5999999999999993E-2</v>
      </c>
      <c r="AK27" s="72">
        <f t="shared" si="27"/>
        <v>1.2790697674418605</v>
      </c>
      <c r="AL27" s="72">
        <f t="shared" si="28"/>
        <v>0.86614173228346458</v>
      </c>
      <c r="AM27" s="72">
        <f>AI27/N27</f>
        <v>0.73333333333333339</v>
      </c>
      <c r="AN27" s="72">
        <f>AI:AI/K:K</f>
        <v>8.7999999999999995E-2</v>
      </c>
      <c r="AO27" s="72">
        <f t="shared" si="29"/>
        <v>0.28947368421052633</v>
      </c>
      <c r="AP27" s="72">
        <v>0.38</v>
      </c>
      <c r="AQ27" s="72">
        <v>0.17</v>
      </c>
      <c r="AR27" s="72">
        <f t="shared" si="6"/>
        <v>0.12709030100334448</v>
      </c>
      <c r="AS27" s="72">
        <f t="shared" si="7"/>
        <v>2.2352941176470589</v>
      </c>
      <c r="AT27" s="72">
        <f>AP27/K27</f>
        <v>0.30399999999999999</v>
      </c>
      <c r="AU27" s="72">
        <v>0.12</v>
      </c>
      <c r="AV27" s="72">
        <v>0.15</v>
      </c>
      <c r="AW27" s="72">
        <f t="shared" si="18"/>
        <v>0.8</v>
      </c>
      <c r="AX27" s="82">
        <f t="shared" si="19"/>
        <v>3.166666666666667</v>
      </c>
      <c r="AY27" s="224" t="s">
        <v>75</v>
      </c>
      <c r="AZ27" s="84">
        <v>9</v>
      </c>
      <c r="BA27" s="251" t="s">
        <v>75</v>
      </c>
      <c r="BB27" s="251" t="s">
        <v>75</v>
      </c>
      <c r="BC27" s="256" t="s">
        <v>75</v>
      </c>
    </row>
    <row r="28" spans="2:55" ht="12.75" customHeight="1" x14ac:dyDescent="0.2">
      <c r="B28" s="289"/>
      <c r="C28" s="288"/>
      <c r="D28" s="288"/>
      <c r="E28" s="288"/>
      <c r="F28" s="72">
        <f>1.89+1.1</f>
        <v>2.99</v>
      </c>
      <c r="G28" s="110" t="s">
        <v>75</v>
      </c>
      <c r="H28" s="110" t="s">
        <v>75</v>
      </c>
      <c r="I28" s="72">
        <v>0.14000000000000001</v>
      </c>
      <c r="J28" s="72">
        <v>7.0000000000000007E-2</v>
      </c>
      <c r="K28" s="72">
        <v>1.2</v>
      </c>
      <c r="L28" s="72">
        <v>0.95</v>
      </c>
      <c r="M28" s="72">
        <v>0.94</v>
      </c>
      <c r="N28" s="72">
        <v>0.15</v>
      </c>
      <c r="O28" s="73" t="s">
        <v>75</v>
      </c>
      <c r="P28" s="73" t="s">
        <v>75</v>
      </c>
      <c r="Q28" s="110" t="s">
        <v>75</v>
      </c>
      <c r="R28" s="82">
        <f t="shared" si="3"/>
        <v>0.78333333333333333</v>
      </c>
      <c r="S28" s="82">
        <f t="shared" si="4"/>
        <v>0.79166666666666663</v>
      </c>
      <c r="T28" s="110" t="s">
        <v>75</v>
      </c>
      <c r="U28" s="72">
        <v>0.3</v>
      </c>
      <c r="V28" s="73" t="s">
        <v>75</v>
      </c>
      <c r="W28" s="72">
        <v>0.93</v>
      </c>
      <c r="X28" s="72">
        <v>0.18</v>
      </c>
      <c r="Y28" s="72">
        <f t="shared" si="26"/>
        <v>5.166666666666667</v>
      </c>
      <c r="Z28" s="72">
        <v>0.56999999999999995</v>
      </c>
      <c r="AA28" s="72">
        <v>0.81</v>
      </c>
      <c r="AB28" s="72">
        <f t="shared" si="11"/>
        <v>0.2709030100334448</v>
      </c>
      <c r="AC28" s="72">
        <v>1.66</v>
      </c>
      <c r="AD28" s="72">
        <f t="shared" si="12"/>
        <v>0.55518394648829428</v>
      </c>
      <c r="AE28" s="72">
        <v>0.108</v>
      </c>
      <c r="AF28" s="72">
        <f t="shared" si="22"/>
        <v>0.09</v>
      </c>
      <c r="AG28" s="73" t="s">
        <v>75</v>
      </c>
      <c r="AH28" s="72">
        <f>AE28/N28</f>
        <v>0.72</v>
      </c>
      <c r="AI28" s="72">
        <v>0.11</v>
      </c>
      <c r="AJ28" s="72">
        <v>8.5999999999999993E-2</v>
      </c>
      <c r="AK28" s="72">
        <f t="shared" si="27"/>
        <v>1.2790697674418605</v>
      </c>
      <c r="AL28" s="72">
        <f t="shared" si="28"/>
        <v>1.0185185185185186</v>
      </c>
      <c r="AM28" s="72">
        <f>AI28/N28</f>
        <v>0.73333333333333339</v>
      </c>
      <c r="AN28" s="72">
        <f>AI:AI/K:K</f>
        <v>9.1666666666666674E-2</v>
      </c>
      <c r="AO28" s="72">
        <f t="shared" si="29"/>
        <v>0.29729729729729731</v>
      </c>
      <c r="AP28" s="72">
        <v>0.37</v>
      </c>
      <c r="AQ28" s="72">
        <v>0.16</v>
      </c>
      <c r="AR28" s="72">
        <f t="shared" si="6"/>
        <v>0.1237458193979933</v>
      </c>
      <c r="AS28" s="72">
        <f t="shared" si="7"/>
        <v>2.3125</v>
      </c>
      <c r="AT28" s="72">
        <f>AP28/K28</f>
        <v>0.30833333333333335</v>
      </c>
      <c r="AU28" s="72">
        <v>0.12</v>
      </c>
      <c r="AV28" s="72">
        <v>0.15</v>
      </c>
      <c r="AW28" s="72">
        <f t="shared" si="18"/>
        <v>0.8</v>
      </c>
      <c r="AX28" s="82">
        <f t="shared" si="19"/>
        <v>3.0833333333333335</v>
      </c>
      <c r="AY28" s="224" t="s">
        <v>75</v>
      </c>
      <c r="AZ28" s="84">
        <v>11</v>
      </c>
      <c r="BA28" s="251" t="s">
        <v>75</v>
      </c>
      <c r="BB28" s="251" t="s">
        <v>75</v>
      </c>
      <c r="BC28" s="256" t="s">
        <v>75</v>
      </c>
    </row>
    <row r="29" spans="2:55" ht="12.75" customHeight="1" x14ac:dyDescent="0.2">
      <c r="B29" s="291">
        <v>23294</v>
      </c>
      <c r="C29" s="283" t="s">
        <v>299</v>
      </c>
      <c r="D29" s="284" t="s">
        <v>236</v>
      </c>
      <c r="E29" s="284" t="s">
        <v>301</v>
      </c>
      <c r="F29" s="78">
        <f>1.1+1.48</f>
        <v>2.58</v>
      </c>
      <c r="G29" s="114" t="s">
        <v>75</v>
      </c>
      <c r="H29" s="114" t="s">
        <v>75</v>
      </c>
      <c r="I29" s="78">
        <v>0.11</v>
      </c>
      <c r="J29" s="78">
        <v>0.05</v>
      </c>
      <c r="K29" s="78">
        <v>1.04</v>
      </c>
      <c r="L29" s="78">
        <v>0.99</v>
      </c>
      <c r="M29" s="79" t="s">
        <v>75</v>
      </c>
      <c r="N29" s="79" t="s">
        <v>75</v>
      </c>
      <c r="O29" s="79" t="s">
        <v>75</v>
      </c>
      <c r="P29" s="79" t="s">
        <v>75</v>
      </c>
      <c r="Q29" s="114" t="s">
        <v>75</v>
      </c>
      <c r="R29" s="114" t="s">
        <v>75</v>
      </c>
      <c r="S29" s="80">
        <f t="shared" si="4"/>
        <v>0.95192307692307687</v>
      </c>
      <c r="T29" s="114" t="s">
        <v>75</v>
      </c>
      <c r="U29" s="78">
        <v>0.35</v>
      </c>
      <c r="V29" s="79" t="s">
        <v>75</v>
      </c>
      <c r="W29" s="78">
        <v>0.78</v>
      </c>
      <c r="X29" s="78">
        <v>0.15</v>
      </c>
      <c r="Y29" s="78">
        <f t="shared" si="26"/>
        <v>5.2</v>
      </c>
      <c r="Z29" s="78">
        <v>0.46</v>
      </c>
      <c r="AA29" s="78">
        <v>0.69</v>
      </c>
      <c r="AB29" s="78">
        <f t="shared" si="11"/>
        <v>0.26744186046511625</v>
      </c>
      <c r="AC29" s="78">
        <v>1.55</v>
      </c>
      <c r="AD29" s="78">
        <f t="shared" si="12"/>
        <v>0.60077519379844957</v>
      </c>
      <c r="AE29" s="78">
        <v>0.107</v>
      </c>
      <c r="AF29" s="78">
        <f t="shared" si="22"/>
        <v>0.10288461538461538</v>
      </c>
      <c r="AG29" s="79" t="s">
        <v>75</v>
      </c>
      <c r="AH29" s="79" t="s">
        <v>75</v>
      </c>
      <c r="AI29" s="78">
        <v>0.1</v>
      </c>
      <c r="AJ29" s="78">
        <v>0.08</v>
      </c>
      <c r="AK29" s="78">
        <f t="shared" si="27"/>
        <v>1.25</v>
      </c>
      <c r="AL29" s="78">
        <f t="shared" si="28"/>
        <v>0.93457943925233655</v>
      </c>
      <c r="AM29" s="79" t="s">
        <v>75</v>
      </c>
      <c r="AN29" s="78">
        <f>AI:AI/K:K</f>
        <v>9.6153846153846159E-2</v>
      </c>
      <c r="AO29" s="78">
        <f t="shared" si="29"/>
        <v>0.37037037037037035</v>
      </c>
      <c r="AP29" s="78">
        <v>0.27</v>
      </c>
      <c r="AQ29" s="78">
        <v>0.13</v>
      </c>
      <c r="AR29" s="78">
        <f t="shared" si="6"/>
        <v>0.10465116279069768</v>
      </c>
      <c r="AS29" s="78">
        <f t="shared" si="7"/>
        <v>2.0769230769230771</v>
      </c>
      <c r="AT29" s="78">
        <f>AP29/K29</f>
        <v>0.25961538461538464</v>
      </c>
      <c r="AU29" s="78">
        <v>0.13500000000000001</v>
      </c>
      <c r="AV29" s="78">
        <v>0.15</v>
      </c>
      <c r="AW29" s="78">
        <f t="shared" si="18"/>
        <v>0.90000000000000013</v>
      </c>
      <c r="AX29" s="80">
        <f t="shared" si="19"/>
        <v>2</v>
      </c>
      <c r="AY29" s="215" t="s">
        <v>75</v>
      </c>
      <c r="AZ29" s="87">
        <v>11</v>
      </c>
      <c r="BA29" s="252" t="s">
        <v>75</v>
      </c>
      <c r="BB29" s="252" t="s">
        <v>75</v>
      </c>
      <c r="BC29" s="257" t="s">
        <v>75</v>
      </c>
    </row>
    <row r="30" spans="2:55" ht="12.75" customHeight="1" x14ac:dyDescent="0.2">
      <c r="B30" s="285"/>
      <c r="C30" s="284"/>
      <c r="D30" s="284"/>
      <c r="E30" s="284"/>
      <c r="F30" s="78">
        <f>1.1+1.48</f>
        <v>2.58</v>
      </c>
      <c r="G30" s="114" t="s">
        <v>75</v>
      </c>
      <c r="H30" s="114" t="s">
        <v>75</v>
      </c>
      <c r="I30" s="78">
        <v>0.13</v>
      </c>
      <c r="J30" s="78">
        <v>0.06</v>
      </c>
      <c r="K30" s="79" t="s">
        <v>75</v>
      </c>
      <c r="L30" s="79" t="s">
        <v>75</v>
      </c>
      <c r="M30" s="79" t="s">
        <v>75</v>
      </c>
      <c r="N30" s="79" t="s">
        <v>75</v>
      </c>
      <c r="O30" s="79" t="s">
        <v>75</v>
      </c>
      <c r="P30" s="79" t="s">
        <v>75</v>
      </c>
      <c r="Q30" s="114" t="s">
        <v>75</v>
      </c>
      <c r="R30" s="114" t="s">
        <v>75</v>
      </c>
      <c r="S30" s="114" t="s">
        <v>75</v>
      </c>
      <c r="T30" s="114" t="s">
        <v>75</v>
      </c>
      <c r="U30" s="78">
        <v>0.35</v>
      </c>
      <c r="V30" s="79" t="s">
        <v>75</v>
      </c>
      <c r="W30" s="78">
        <v>0.78</v>
      </c>
      <c r="X30" s="78">
        <v>0.15</v>
      </c>
      <c r="Y30" s="78">
        <f t="shared" si="26"/>
        <v>5.2</v>
      </c>
      <c r="Z30" s="79" t="s">
        <v>75</v>
      </c>
      <c r="AA30" s="78">
        <v>0.69</v>
      </c>
      <c r="AB30" s="78">
        <f t="shared" si="11"/>
        <v>0.26744186046511625</v>
      </c>
      <c r="AC30" s="78">
        <v>1.54</v>
      </c>
      <c r="AD30" s="78">
        <f t="shared" si="12"/>
        <v>0.5968992248062015</v>
      </c>
      <c r="AE30" s="78">
        <v>0.11600000000000001</v>
      </c>
      <c r="AF30" s="79" t="s">
        <v>75</v>
      </c>
      <c r="AG30" s="79" t="s">
        <v>75</v>
      </c>
      <c r="AH30" s="79" t="s">
        <v>75</v>
      </c>
      <c r="AI30" s="78">
        <v>0.1</v>
      </c>
      <c r="AJ30" s="78">
        <v>0.08</v>
      </c>
      <c r="AK30" s="78">
        <f t="shared" si="27"/>
        <v>1.25</v>
      </c>
      <c r="AL30" s="78">
        <f t="shared" si="28"/>
        <v>0.86206896551724144</v>
      </c>
      <c r="AM30" s="79" t="s">
        <v>75</v>
      </c>
      <c r="AN30" s="79" t="s">
        <v>75</v>
      </c>
      <c r="AO30" s="78">
        <f t="shared" si="29"/>
        <v>0.38461538461538464</v>
      </c>
      <c r="AP30" s="78">
        <v>0.26</v>
      </c>
      <c r="AQ30" s="78">
        <v>0.125</v>
      </c>
      <c r="AR30" s="78">
        <f t="shared" si="6"/>
        <v>0.10077519379844961</v>
      </c>
      <c r="AS30" s="78">
        <f t="shared" si="7"/>
        <v>2.08</v>
      </c>
      <c r="AT30" s="79" t="s">
        <v>75</v>
      </c>
      <c r="AU30" s="78">
        <v>0.13500000000000001</v>
      </c>
      <c r="AV30" s="78">
        <v>0.15</v>
      </c>
      <c r="AW30" s="78">
        <f t="shared" si="18"/>
        <v>0.90000000000000013</v>
      </c>
      <c r="AX30" s="80">
        <f t="shared" si="19"/>
        <v>1.9259259259259258</v>
      </c>
      <c r="AY30" s="215" t="s">
        <v>75</v>
      </c>
      <c r="AZ30" s="216" t="s">
        <v>75</v>
      </c>
      <c r="BA30" s="252" t="s">
        <v>75</v>
      </c>
      <c r="BB30" s="252" t="s">
        <v>75</v>
      </c>
      <c r="BC30" s="257" t="s">
        <v>75</v>
      </c>
    </row>
    <row r="31" spans="2:55" ht="12.75" customHeight="1" x14ac:dyDescent="0.2">
      <c r="B31" s="290">
        <v>25009</v>
      </c>
      <c r="C31" s="287" t="s">
        <v>299</v>
      </c>
      <c r="D31" s="288" t="s">
        <v>240</v>
      </c>
      <c r="E31" s="288" t="s">
        <v>301</v>
      </c>
      <c r="F31" s="72">
        <f>1.45+1.5</f>
        <v>2.95</v>
      </c>
      <c r="G31" s="110" t="s">
        <v>75</v>
      </c>
      <c r="H31" s="110" t="s">
        <v>75</v>
      </c>
      <c r="I31" s="72">
        <v>0.14000000000000001</v>
      </c>
      <c r="J31" s="72">
        <v>7.0000000000000007E-2</v>
      </c>
      <c r="K31" s="72">
        <v>1.26</v>
      </c>
      <c r="L31" s="72">
        <v>0.84</v>
      </c>
      <c r="M31" s="72">
        <v>0.79</v>
      </c>
      <c r="N31" s="72">
        <v>0.158</v>
      </c>
      <c r="O31" s="73" t="s">
        <v>75</v>
      </c>
      <c r="P31" s="73" t="s">
        <v>75</v>
      </c>
      <c r="Q31" s="110" t="s">
        <v>75</v>
      </c>
      <c r="R31" s="82">
        <f t="shared" si="3"/>
        <v>0.62698412698412698</v>
      </c>
      <c r="S31" s="82">
        <f t="shared" si="4"/>
        <v>0.66666666666666663</v>
      </c>
      <c r="T31" s="110" t="s">
        <v>75</v>
      </c>
      <c r="U31" s="72">
        <v>0.39</v>
      </c>
      <c r="V31" s="73" t="s">
        <v>75</v>
      </c>
      <c r="W31" s="72">
        <v>0.89</v>
      </c>
      <c r="X31" s="72">
        <v>0.15</v>
      </c>
      <c r="Y31" s="72">
        <f t="shared" si="26"/>
        <v>5.9333333333333336</v>
      </c>
      <c r="Z31" s="72">
        <v>0.6</v>
      </c>
      <c r="AA31" s="72">
        <v>0.81</v>
      </c>
      <c r="AB31" s="72">
        <f t="shared" si="11"/>
        <v>0.27457627118644068</v>
      </c>
      <c r="AC31" s="72">
        <v>1.6</v>
      </c>
      <c r="AD31" s="72">
        <f t="shared" si="12"/>
        <v>0.5423728813559322</v>
      </c>
      <c r="AE31" s="72">
        <v>0.11700000000000001</v>
      </c>
      <c r="AF31" s="72">
        <f t="shared" ref="AF31:AF37" si="30">AE:AE/K:K</f>
        <v>9.285714285714286E-2</v>
      </c>
      <c r="AG31" s="73" t="s">
        <v>75</v>
      </c>
      <c r="AH31" s="72">
        <f>AE31/N31</f>
        <v>0.74050632911392411</v>
      </c>
      <c r="AI31" s="72">
        <v>0.11</v>
      </c>
      <c r="AJ31" s="72">
        <v>7.0000000000000007E-2</v>
      </c>
      <c r="AK31" s="72">
        <f t="shared" si="27"/>
        <v>1.5714285714285714</v>
      </c>
      <c r="AL31" s="72">
        <f t="shared" si="28"/>
        <v>0.94017094017094016</v>
      </c>
      <c r="AM31" s="72">
        <f>AI31/N31</f>
        <v>0.69620253164556967</v>
      </c>
      <c r="AN31" s="72">
        <f t="shared" ref="AN31:AN37" si="31">AI:AI/K:K</f>
        <v>8.7301587301587297E-2</v>
      </c>
      <c r="AO31" s="72">
        <f t="shared" si="29"/>
        <v>0.26066350710900477</v>
      </c>
      <c r="AP31" s="72">
        <v>0.42199999999999999</v>
      </c>
      <c r="AQ31" s="72">
        <v>0.18</v>
      </c>
      <c r="AR31" s="72">
        <f t="shared" si="6"/>
        <v>0.14305084745762711</v>
      </c>
      <c r="AS31" s="72">
        <f t="shared" si="7"/>
        <v>2.3444444444444446</v>
      </c>
      <c r="AT31" s="72">
        <f t="shared" ref="AT31:AT37" si="32">AP31/K31</f>
        <v>0.3349206349206349</v>
      </c>
      <c r="AU31" s="72">
        <v>0.15</v>
      </c>
      <c r="AV31" s="72">
        <v>0.186</v>
      </c>
      <c r="AW31" s="72">
        <f t="shared" si="18"/>
        <v>0.80645161290322576</v>
      </c>
      <c r="AX31" s="82">
        <f t="shared" si="19"/>
        <v>2.8133333333333335</v>
      </c>
      <c r="AY31" s="224" t="s">
        <v>75</v>
      </c>
      <c r="AZ31" s="84">
        <v>11</v>
      </c>
      <c r="BA31" s="251" t="s">
        <v>75</v>
      </c>
      <c r="BB31" s="251" t="s">
        <v>75</v>
      </c>
      <c r="BC31" s="256" t="s">
        <v>75</v>
      </c>
    </row>
    <row r="32" spans="2:55" ht="12.75" customHeight="1" x14ac:dyDescent="0.2">
      <c r="B32" s="289"/>
      <c r="C32" s="71"/>
      <c r="D32" s="71"/>
      <c r="E32" s="71"/>
      <c r="F32" s="72">
        <f>1.45+1.5</f>
        <v>2.95</v>
      </c>
      <c r="G32" s="110" t="s">
        <v>75</v>
      </c>
      <c r="H32" s="110" t="s">
        <v>75</v>
      </c>
      <c r="I32" s="72">
        <v>0.14000000000000001</v>
      </c>
      <c r="J32" s="72">
        <v>7.0000000000000007E-2</v>
      </c>
      <c r="K32" s="72">
        <v>1.24</v>
      </c>
      <c r="L32" s="73" t="s">
        <v>75</v>
      </c>
      <c r="M32" s="73" t="s">
        <v>75</v>
      </c>
      <c r="N32" s="73" t="s">
        <v>75</v>
      </c>
      <c r="O32" s="73" t="s">
        <v>75</v>
      </c>
      <c r="P32" s="73" t="s">
        <v>75</v>
      </c>
      <c r="Q32" s="110" t="s">
        <v>75</v>
      </c>
      <c r="R32" s="110" t="s">
        <v>75</v>
      </c>
      <c r="S32" s="110" t="s">
        <v>75</v>
      </c>
      <c r="T32" s="110" t="s">
        <v>75</v>
      </c>
      <c r="U32" s="72">
        <v>0.39</v>
      </c>
      <c r="V32" s="73" t="s">
        <v>75</v>
      </c>
      <c r="W32" s="73" t="s">
        <v>75</v>
      </c>
      <c r="X32" s="73" t="s">
        <v>75</v>
      </c>
      <c r="Y32" s="73" t="s">
        <v>75</v>
      </c>
      <c r="Z32" s="72">
        <v>0.62</v>
      </c>
      <c r="AA32" s="72">
        <v>0.84</v>
      </c>
      <c r="AB32" s="72">
        <f t="shared" si="11"/>
        <v>0.28474576271186436</v>
      </c>
      <c r="AC32" s="72">
        <v>1.6</v>
      </c>
      <c r="AD32" s="72">
        <f t="shared" si="12"/>
        <v>0.5423728813559322</v>
      </c>
      <c r="AE32" s="72">
        <v>0.11899999999999999</v>
      </c>
      <c r="AF32" s="72">
        <f t="shared" si="30"/>
        <v>9.5967741935483866E-2</v>
      </c>
      <c r="AG32" s="73" t="s">
        <v>75</v>
      </c>
      <c r="AH32" s="73" t="s">
        <v>75</v>
      </c>
      <c r="AI32" s="72">
        <v>0.11</v>
      </c>
      <c r="AJ32" s="72">
        <v>7.0000000000000007E-2</v>
      </c>
      <c r="AK32" s="72">
        <f t="shared" si="27"/>
        <v>1.5714285714285714</v>
      </c>
      <c r="AL32" s="72">
        <f t="shared" si="28"/>
        <v>0.92436974789915971</v>
      </c>
      <c r="AM32" s="73" t="s">
        <v>75</v>
      </c>
      <c r="AN32" s="72">
        <f t="shared" si="31"/>
        <v>8.8709677419354843E-2</v>
      </c>
      <c r="AO32" s="72">
        <f t="shared" si="29"/>
        <v>0.28947368421052633</v>
      </c>
      <c r="AP32" s="72">
        <v>0.38</v>
      </c>
      <c r="AQ32" s="72">
        <v>0.17</v>
      </c>
      <c r="AR32" s="72">
        <f t="shared" si="6"/>
        <v>0.12881355932203389</v>
      </c>
      <c r="AS32" s="72">
        <f t="shared" si="7"/>
        <v>2.2352941176470589</v>
      </c>
      <c r="AT32" s="72">
        <f t="shared" si="32"/>
        <v>0.30645161290322581</v>
      </c>
      <c r="AU32" s="72">
        <v>0.15</v>
      </c>
      <c r="AV32" s="72">
        <v>0.186</v>
      </c>
      <c r="AW32" s="72">
        <f t="shared" si="18"/>
        <v>0.80645161290322576</v>
      </c>
      <c r="AX32" s="82">
        <f t="shared" si="19"/>
        <v>2.5333333333333337</v>
      </c>
      <c r="AY32" s="224" t="s">
        <v>75</v>
      </c>
      <c r="AZ32" s="84">
        <v>12</v>
      </c>
      <c r="BA32" s="251" t="s">
        <v>75</v>
      </c>
      <c r="BB32" s="251" t="s">
        <v>75</v>
      </c>
      <c r="BC32" s="256" t="s">
        <v>75</v>
      </c>
    </row>
    <row r="33" spans="2:55" ht="12.75" customHeight="1" x14ac:dyDescent="0.2">
      <c r="B33" s="291">
        <v>23262</v>
      </c>
      <c r="C33" s="76" t="s">
        <v>299</v>
      </c>
      <c r="D33" s="77" t="s">
        <v>300</v>
      </c>
      <c r="E33" s="77" t="s">
        <v>301</v>
      </c>
      <c r="F33" s="78">
        <f>1.7+0.99</f>
        <v>2.69</v>
      </c>
      <c r="G33" s="80">
        <f t="shared" si="0"/>
        <v>5.649</v>
      </c>
      <c r="H33" s="80">
        <f t="shared" si="1"/>
        <v>2.1</v>
      </c>
      <c r="I33" s="78">
        <v>0.14000000000000001</v>
      </c>
      <c r="J33" s="78">
        <v>7.0000000000000007E-2</v>
      </c>
      <c r="K33" s="78">
        <v>1.29</v>
      </c>
      <c r="L33" s="78">
        <v>1.069</v>
      </c>
      <c r="M33" s="78">
        <v>0.98</v>
      </c>
      <c r="N33" s="78">
        <v>0.15</v>
      </c>
      <c r="O33" s="78">
        <v>1.95</v>
      </c>
      <c r="P33" s="78">
        <f>N:N+O:O</f>
        <v>2.1</v>
      </c>
      <c r="Q33" s="80">
        <f t="shared" si="2"/>
        <v>1.6279069767441861</v>
      </c>
      <c r="R33" s="80">
        <f t="shared" si="3"/>
        <v>0.75968992248062017</v>
      </c>
      <c r="S33" s="80">
        <f t="shared" si="4"/>
        <v>0.8286821705426356</v>
      </c>
      <c r="T33" s="80">
        <f t="shared" si="5"/>
        <v>13</v>
      </c>
      <c r="U33" s="78">
        <v>0.37</v>
      </c>
      <c r="V33" s="78">
        <f t="shared" si="9"/>
        <v>15.267567567567568</v>
      </c>
      <c r="W33" s="78">
        <v>1.03</v>
      </c>
      <c r="X33" s="78">
        <v>0.13600000000000001</v>
      </c>
      <c r="Y33" s="78">
        <f>W:W/X:X</f>
        <v>7.5735294117647056</v>
      </c>
      <c r="Z33" s="78">
        <v>0.59</v>
      </c>
      <c r="AA33" s="78">
        <v>0.87</v>
      </c>
      <c r="AB33" s="78">
        <f t="shared" si="11"/>
        <v>0.32342007434944237</v>
      </c>
      <c r="AC33" s="78">
        <v>1.8</v>
      </c>
      <c r="AD33" s="78">
        <f t="shared" si="12"/>
        <v>0.66914498141263945</v>
      </c>
      <c r="AE33" s="78">
        <v>0.123</v>
      </c>
      <c r="AF33" s="78">
        <f t="shared" si="30"/>
        <v>9.5348837209302317E-2</v>
      </c>
      <c r="AG33" s="78">
        <f>AE:AE/P:P</f>
        <v>5.8571428571428566E-2</v>
      </c>
      <c r="AH33" s="78">
        <f>AE33/N33</f>
        <v>0.82000000000000006</v>
      </c>
      <c r="AI33" s="78">
        <v>0.12</v>
      </c>
      <c r="AJ33" s="78">
        <v>0.09</v>
      </c>
      <c r="AK33" s="78">
        <f t="shared" si="27"/>
        <v>1.3333333333333333</v>
      </c>
      <c r="AL33" s="78">
        <f t="shared" si="28"/>
        <v>0.97560975609756095</v>
      </c>
      <c r="AM33" s="78">
        <f>AI33/N33</f>
        <v>0.8</v>
      </c>
      <c r="AN33" s="78">
        <f t="shared" si="31"/>
        <v>9.3023255813953487E-2</v>
      </c>
      <c r="AO33" s="78">
        <f t="shared" si="29"/>
        <v>0.31578947368421051</v>
      </c>
      <c r="AP33" s="78">
        <v>0.38</v>
      </c>
      <c r="AQ33" s="78">
        <v>0.17</v>
      </c>
      <c r="AR33" s="78">
        <f t="shared" si="6"/>
        <v>0.14126394052044611</v>
      </c>
      <c r="AS33" s="78">
        <f t="shared" si="7"/>
        <v>2.2352941176470589</v>
      </c>
      <c r="AT33" s="78">
        <f t="shared" si="32"/>
        <v>0.29457364341085268</v>
      </c>
      <c r="AU33" s="79" t="s">
        <v>75</v>
      </c>
      <c r="AV33" s="79" t="s">
        <v>75</v>
      </c>
      <c r="AW33" s="79" t="s">
        <v>75</v>
      </c>
      <c r="AX33" s="114" t="s">
        <v>75</v>
      </c>
      <c r="AY33" s="215" t="s">
        <v>75</v>
      </c>
      <c r="AZ33" s="87">
        <v>11</v>
      </c>
      <c r="BA33" s="252" t="s">
        <v>75</v>
      </c>
      <c r="BB33" s="252" t="s">
        <v>75</v>
      </c>
      <c r="BC33" s="257" t="s">
        <v>75</v>
      </c>
    </row>
    <row r="34" spans="2:55" ht="12.75" customHeight="1" x14ac:dyDescent="0.2">
      <c r="B34" s="285"/>
      <c r="C34" s="77"/>
      <c r="D34" s="77"/>
      <c r="E34" s="77"/>
      <c r="F34" s="78">
        <f>1.7+0.99</f>
        <v>2.69</v>
      </c>
      <c r="G34" s="114" t="s">
        <v>75</v>
      </c>
      <c r="H34" s="114" t="s">
        <v>75</v>
      </c>
      <c r="I34" s="78">
        <v>0.13</v>
      </c>
      <c r="J34" s="78">
        <v>7.0000000000000007E-2</v>
      </c>
      <c r="K34" s="78">
        <v>1.28</v>
      </c>
      <c r="L34" s="78">
        <v>1.046</v>
      </c>
      <c r="M34" s="78">
        <v>0.97</v>
      </c>
      <c r="N34" s="78">
        <v>0.16</v>
      </c>
      <c r="O34" s="79" t="s">
        <v>75</v>
      </c>
      <c r="P34" s="79" t="s">
        <v>75</v>
      </c>
      <c r="Q34" s="114" t="s">
        <v>75</v>
      </c>
      <c r="R34" s="80">
        <f t="shared" si="3"/>
        <v>0.7578125</v>
      </c>
      <c r="S34" s="80">
        <f t="shared" si="4"/>
        <v>0.81718750000000007</v>
      </c>
      <c r="T34" s="114" t="s">
        <v>75</v>
      </c>
      <c r="U34" s="78">
        <v>0.37</v>
      </c>
      <c r="V34" s="79" t="s">
        <v>75</v>
      </c>
      <c r="W34" s="79" t="s">
        <v>75</v>
      </c>
      <c r="X34" s="79" t="s">
        <v>75</v>
      </c>
      <c r="Y34" s="79" t="s">
        <v>75</v>
      </c>
      <c r="Z34" s="78">
        <v>0.67</v>
      </c>
      <c r="AA34" s="78">
        <v>0.86</v>
      </c>
      <c r="AB34" s="78">
        <f t="shared" si="11"/>
        <v>0.31970260223048325</v>
      </c>
      <c r="AC34" s="78">
        <v>1.8</v>
      </c>
      <c r="AD34" s="78">
        <f t="shared" si="12"/>
        <v>0.66914498141263945</v>
      </c>
      <c r="AE34" s="78">
        <v>0.115</v>
      </c>
      <c r="AF34" s="78">
        <f t="shared" si="30"/>
        <v>8.984375E-2</v>
      </c>
      <c r="AG34" s="79" t="s">
        <v>75</v>
      </c>
      <c r="AH34" s="78">
        <f>AE34/N34</f>
        <v>0.71875</v>
      </c>
      <c r="AI34" s="78">
        <v>0.12</v>
      </c>
      <c r="AJ34" s="78">
        <v>0.09</v>
      </c>
      <c r="AK34" s="78">
        <f t="shared" si="27"/>
        <v>1.3333333333333333</v>
      </c>
      <c r="AL34" s="78">
        <f t="shared" si="28"/>
        <v>1.0434782608695652</v>
      </c>
      <c r="AM34" s="78">
        <f>AI34/N34</f>
        <v>0.75</v>
      </c>
      <c r="AN34" s="78">
        <f t="shared" si="31"/>
        <v>9.375E-2</v>
      </c>
      <c r="AO34" s="78">
        <f t="shared" si="29"/>
        <v>0.31578947368421051</v>
      </c>
      <c r="AP34" s="78">
        <v>0.38</v>
      </c>
      <c r="AQ34" s="78">
        <v>0.18</v>
      </c>
      <c r="AR34" s="78">
        <f t="shared" si="6"/>
        <v>0.14126394052044611</v>
      </c>
      <c r="AS34" s="78">
        <f t="shared" si="7"/>
        <v>2.1111111111111112</v>
      </c>
      <c r="AT34" s="78">
        <f t="shared" si="32"/>
        <v>0.296875</v>
      </c>
      <c r="AU34" s="79" t="s">
        <v>75</v>
      </c>
      <c r="AV34" s="79" t="s">
        <v>75</v>
      </c>
      <c r="AW34" s="79" t="s">
        <v>75</v>
      </c>
      <c r="AX34" s="114" t="s">
        <v>75</v>
      </c>
      <c r="AY34" s="215" t="s">
        <v>75</v>
      </c>
      <c r="AZ34" s="87">
        <v>12</v>
      </c>
      <c r="BA34" s="252" t="s">
        <v>75</v>
      </c>
      <c r="BB34" s="252" t="s">
        <v>75</v>
      </c>
      <c r="BC34" s="257" t="s">
        <v>75</v>
      </c>
    </row>
    <row r="35" spans="2:55" ht="12.75" customHeight="1" x14ac:dyDescent="0.2">
      <c r="B35" s="290">
        <v>23262</v>
      </c>
      <c r="C35" s="70" t="s">
        <v>299</v>
      </c>
      <c r="D35" s="71" t="s">
        <v>300</v>
      </c>
      <c r="E35" s="71" t="s">
        <v>301</v>
      </c>
      <c r="F35" s="72">
        <f>1.34+1.66</f>
        <v>3</v>
      </c>
      <c r="G35" s="110" t="s">
        <v>75</v>
      </c>
      <c r="H35" s="110" t="s">
        <v>75</v>
      </c>
      <c r="I35" s="72">
        <v>0.15</v>
      </c>
      <c r="J35" s="72">
        <v>7.0000000000000007E-2</v>
      </c>
      <c r="K35" s="72">
        <v>1.37</v>
      </c>
      <c r="L35" s="72">
        <v>1.06</v>
      </c>
      <c r="M35" s="72">
        <v>0.98</v>
      </c>
      <c r="N35" s="72">
        <v>0.16500000000000001</v>
      </c>
      <c r="O35" s="73" t="s">
        <v>75</v>
      </c>
      <c r="P35" s="73" t="s">
        <v>75</v>
      </c>
      <c r="Q35" s="110" t="s">
        <v>75</v>
      </c>
      <c r="R35" s="82">
        <f t="shared" si="3"/>
        <v>0.71532846715328458</v>
      </c>
      <c r="S35" s="82">
        <f t="shared" si="4"/>
        <v>0.77372262773722622</v>
      </c>
      <c r="T35" s="110" t="s">
        <v>75</v>
      </c>
      <c r="U35" s="72">
        <v>0.46</v>
      </c>
      <c r="V35" s="73" t="s">
        <v>75</v>
      </c>
      <c r="W35" s="72">
        <v>1.01</v>
      </c>
      <c r="X35" s="72">
        <v>0.14000000000000001</v>
      </c>
      <c r="Y35" s="72">
        <f>W:W/X:X</f>
        <v>7.2142857142857135</v>
      </c>
      <c r="Z35" s="72">
        <v>0.6</v>
      </c>
      <c r="AA35" s="72">
        <v>0.9</v>
      </c>
      <c r="AB35" s="72">
        <f t="shared" si="11"/>
        <v>0.3</v>
      </c>
      <c r="AC35" s="72">
        <v>1.88</v>
      </c>
      <c r="AD35" s="72">
        <f t="shared" si="12"/>
        <v>0.62666666666666659</v>
      </c>
      <c r="AE35" s="72">
        <v>0.114</v>
      </c>
      <c r="AF35" s="72">
        <f t="shared" si="30"/>
        <v>8.3211678832116789E-2</v>
      </c>
      <c r="AG35" s="73" t="s">
        <v>75</v>
      </c>
      <c r="AH35" s="72">
        <f>AE35/N35</f>
        <v>0.69090909090909092</v>
      </c>
      <c r="AI35" s="72">
        <v>0.11</v>
      </c>
      <c r="AJ35" s="72">
        <v>0.08</v>
      </c>
      <c r="AK35" s="72">
        <f t="shared" si="27"/>
        <v>1.375</v>
      </c>
      <c r="AL35" s="72">
        <f t="shared" si="28"/>
        <v>0.96491228070175439</v>
      </c>
      <c r="AM35" s="72">
        <f>AI35/N35</f>
        <v>0.66666666666666663</v>
      </c>
      <c r="AN35" s="72">
        <f t="shared" si="31"/>
        <v>8.0291970802919707E-2</v>
      </c>
      <c r="AO35" s="72">
        <f t="shared" si="29"/>
        <v>0.27499999999999997</v>
      </c>
      <c r="AP35" s="72">
        <v>0.4</v>
      </c>
      <c r="AQ35" s="72">
        <v>0.157</v>
      </c>
      <c r="AR35" s="72">
        <f t="shared" si="6"/>
        <v>0.13333333333333333</v>
      </c>
      <c r="AS35" s="72">
        <f t="shared" si="7"/>
        <v>2.547770700636943</v>
      </c>
      <c r="AT35" s="72">
        <f t="shared" si="32"/>
        <v>0.29197080291970801</v>
      </c>
      <c r="AU35" s="72">
        <v>0.15</v>
      </c>
      <c r="AV35" s="72">
        <v>0.19</v>
      </c>
      <c r="AW35" s="72">
        <f>AU35/AV35</f>
        <v>0.78947368421052633</v>
      </c>
      <c r="AX35" s="82">
        <f>AP35/AU35</f>
        <v>2.666666666666667</v>
      </c>
      <c r="AY35" s="224" t="s">
        <v>75</v>
      </c>
      <c r="AZ35" s="84">
        <v>11</v>
      </c>
      <c r="BA35" s="251" t="s">
        <v>75</v>
      </c>
      <c r="BB35" s="251" t="s">
        <v>75</v>
      </c>
      <c r="BC35" s="256" t="s">
        <v>75</v>
      </c>
    </row>
    <row r="36" spans="2:55" ht="12.75" customHeight="1" x14ac:dyDescent="0.2">
      <c r="B36" s="289"/>
      <c r="C36" s="71"/>
      <c r="D36" s="71"/>
      <c r="E36" s="71"/>
      <c r="F36" s="72">
        <f>1.34+1.66</f>
        <v>3</v>
      </c>
      <c r="G36" s="110" t="s">
        <v>75</v>
      </c>
      <c r="H36" s="110" t="s">
        <v>75</v>
      </c>
      <c r="I36" s="72">
        <v>0.15</v>
      </c>
      <c r="J36" s="72">
        <v>0.08</v>
      </c>
      <c r="K36" s="72">
        <v>1.36</v>
      </c>
      <c r="L36" s="73" t="s">
        <v>75</v>
      </c>
      <c r="M36" s="73" t="s">
        <v>75</v>
      </c>
      <c r="N36" s="73" t="s">
        <v>75</v>
      </c>
      <c r="O36" s="73" t="s">
        <v>75</v>
      </c>
      <c r="P36" s="73" t="s">
        <v>75</v>
      </c>
      <c r="Q36" s="110" t="s">
        <v>75</v>
      </c>
      <c r="R36" s="110" t="s">
        <v>75</v>
      </c>
      <c r="S36" s="110" t="s">
        <v>75</v>
      </c>
      <c r="T36" s="110" t="s">
        <v>75</v>
      </c>
      <c r="U36" s="72">
        <v>0.46</v>
      </c>
      <c r="V36" s="73" t="s">
        <v>75</v>
      </c>
      <c r="W36" s="72">
        <v>1.03</v>
      </c>
      <c r="X36" s="72">
        <v>0.1</v>
      </c>
      <c r="Y36" s="72">
        <f>W:W/X:X</f>
        <v>10.299999999999999</v>
      </c>
      <c r="Z36" s="72">
        <v>0.63</v>
      </c>
      <c r="AA36" s="72">
        <v>0.89</v>
      </c>
      <c r="AB36" s="72">
        <f t="shared" si="11"/>
        <v>0.29666666666666669</v>
      </c>
      <c r="AC36" s="72">
        <v>1.89</v>
      </c>
      <c r="AD36" s="72">
        <f t="shared" si="12"/>
        <v>0.63</v>
      </c>
      <c r="AE36" s="72">
        <v>0.12</v>
      </c>
      <c r="AF36" s="72">
        <f t="shared" si="30"/>
        <v>8.8235294117647051E-2</v>
      </c>
      <c r="AG36" s="73" t="s">
        <v>75</v>
      </c>
      <c r="AH36" s="73" t="s">
        <v>75</v>
      </c>
      <c r="AI36" s="72">
        <v>0.11</v>
      </c>
      <c r="AJ36" s="72">
        <v>0.08</v>
      </c>
      <c r="AK36" s="72">
        <f t="shared" si="27"/>
        <v>1.375</v>
      </c>
      <c r="AL36" s="72">
        <f t="shared" si="28"/>
        <v>0.91666666666666674</v>
      </c>
      <c r="AM36" s="73" t="s">
        <v>75</v>
      </c>
      <c r="AN36" s="72">
        <f t="shared" si="31"/>
        <v>8.0882352941176461E-2</v>
      </c>
      <c r="AO36" s="72">
        <f t="shared" si="29"/>
        <v>0.28205128205128205</v>
      </c>
      <c r="AP36" s="72">
        <v>0.39</v>
      </c>
      <c r="AQ36" s="72">
        <v>0.19500000000000001</v>
      </c>
      <c r="AR36" s="72">
        <f t="shared" si="6"/>
        <v>0.13</v>
      </c>
      <c r="AS36" s="72">
        <f t="shared" si="7"/>
        <v>2</v>
      </c>
      <c r="AT36" s="72">
        <f t="shared" si="32"/>
        <v>0.28676470588235292</v>
      </c>
      <c r="AU36" s="72">
        <v>0.15</v>
      </c>
      <c r="AV36" s="72">
        <v>0.19</v>
      </c>
      <c r="AW36" s="72">
        <f>AU36/AV36</f>
        <v>0.78947368421052633</v>
      </c>
      <c r="AX36" s="82">
        <f>AP36/AU36</f>
        <v>2.6</v>
      </c>
      <c r="AY36" s="224" t="s">
        <v>75</v>
      </c>
      <c r="AZ36" s="84">
        <v>13</v>
      </c>
      <c r="BA36" s="251" t="s">
        <v>75</v>
      </c>
      <c r="BB36" s="251" t="s">
        <v>75</v>
      </c>
      <c r="BC36" s="256" t="s">
        <v>75</v>
      </c>
    </row>
    <row r="37" spans="2:55" ht="12.75" customHeight="1" x14ac:dyDescent="0.2">
      <c r="B37" s="291">
        <v>23262</v>
      </c>
      <c r="C37" s="76" t="s">
        <v>299</v>
      </c>
      <c r="D37" s="77" t="s">
        <v>300</v>
      </c>
      <c r="E37" s="77" t="s">
        <v>301</v>
      </c>
      <c r="F37" s="78">
        <f>1.12+1.064</f>
        <v>2.1840000000000002</v>
      </c>
      <c r="G37" s="80">
        <f t="shared" si="0"/>
        <v>4.7</v>
      </c>
      <c r="H37" s="80">
        <f t="shared" si="1"/>
        <v>2.1520146520146519</v>
      </c>
      <c r="I37" s="78">
        <v>0.12</v>
      </c>
      <c r="J37" s="78">
        <v>0.06</v>
      </c>
      <c r="K37" s="78">
        <v>1.1000000000000001</v>
      </c>
      <c r="L37" s="78">
        <v>0.78</v>
      </c>
      <c r="M37" s="78">
        <v>0.76</v>
      </c>
      <c r="N37" s="78">
        <v>0.15</v>
      </c>
      <c r="O37" s="78">
        <f>1.2+0.53</f>
        <v>1.73</v>
      </c>
      <c r="P37" s="78">
        <f>N:N+O:O</f>
        <v>1.88</v>
      </c>
      <c r="Q37" s="80">
        <f t="shared" si="2"/>
        <v>1.7090909090909088</v>
      </c>
      <c r="R37" s="80">
        <f t="shared" si="3"/>
        <v>0.69090909090909081</v>
      </c>
      <c r="S37" s="80">
        <f t="shared" si="4"/>
        <v>0.70909090909090911</v>
      </c>
      <c r="T37" s="80">
        <f t="shared" si="5"/>
        <v>11.533333333333333</v>
      </c>
      <c r="U37" s="78">
        <v>0.38</v>
      </c>
      <c r="V37" s="78">
        <f t="shared" si="9"/>
        <v>12.368421052631579</v>
      </c>
      <c r="W37" s="78">
        <v>0.74</v>
      </c>
      <c r="X37" s="78">
        <v>0.11</v>
      </c>
      <c r="Y37" s="78">
        <f>W:W/X:X</f>
        <v>6.7272727272727275</v>
      </c>
      <c r="Z37" s="78">
        <v>0.48</v>
      </c>
      <c r="AA37" s="78">
        <v>0.65</v>
      </c>
      <c r="AB37" s="78">
        <f t="shared" si="11"/>
        <v>0.29761904761904762</v>
      </c>
      <c r="AC37" s="78">
        <v>1.36</v>
      </c>
      <c r="AD37" s="78">
        <f t="shared" si="12"/>
        <v>0.62271062271062272</v>
      </c>
      <c r="AE37" s="78">
        <v>0.11700000000000001</v>
      </c>
      <c r="AF37" s="78">
        <f t="shared" si="30"/>
        <v>0.10636363636363635</v>
      </c>
      <c r="AG37" s="78">
        <f>AE:AE/P:P</f>
        <v>6.2234042553191496E-2</v>
      </c>
      <c r="AH37" s="78">
        <f>AE37/N37</f>
        <v>0.78</v>
      </c>
      <c r="AI37" s="78">
        <v>0.11</v>
      </c>
      <c r="AJ37" s="78">
        <v>7.0000000000000007E-2</v>
      </c>
      <c r="AK37" s="78">
        <f t="shared" si="27"/>
        <v>1.5714285714285714</v>
      </c>
      <c r="AL37" s="78">
        <f t="shared" si="28"/>
        <v>0.94017094017094016</v>
      </c>
      <c r="AM37" s="78">
        <f>AI37/N37</f>
        <v>0.73333333333333339</v>
      </c>
      <c r="AN37" s="78">
        <f t="shared" si="31"/>
        <v>9.9999999999999992E-2</v>
      </c>
      <c r="AO37" s="78">
        <f t="shared" si="29"/>
        <v>0.40740740740740738</v>
      </c>
      <c r="AP37" s="78">
        <v>0.27</v>
      </c>
      <c r="AQ37" s="78">
        <v>0.13</v>
      </c>
      <c r="AR37" s="78">
        <f t="shared" si="6"/>
        <v>0.12362637362637363</v>
      </c>
      <c r="AS37" s="78">
        <f t="shared" si="7"/>
        <v>2.0769230769230771</v>
      </c>
      <c r="AT37" s="78">
        <f t="shared" si="32"/>
        <v>0.24545454545454545</v>
      </c>
      <c r="AU37" s="78">
        <v>0.121</v>
      </c>
      <c r="AV37" s="78">
        <v>0.114</v>
      </c>
      <c r="AW37" s="78">
        <f>AU37/AV37</f>
        <v>1.0614035087719298</v>
      </c>
      <c r="AX37" s="80">
        <f>AP37/AU37</f>
        <v>2.2314049586776861</v>
      </c>
      <c r="AY37" s="215" t="s">
        <v>75</v>
      </c>
      <c r="AZ37" s="87">
        <v>11</v>
      </c>
      <c r="BA37" s="252" t="s">
        <v>75</v>
      </c>
      <c r="BB37" s="252" t="s">
        <v>75</v>
      </c>
      <c r="BC37" s="257" t="s">
        <v>75</v>
      </c>
    </row>
    <row r="38" spans="2:55" ht="12.75" customHeight="1" x14ac:dyDescent="0.2">
      <c r="B38" s="285"/>
      <c r="C38" s="77"/>
      <c r="D38" s="77"/>
      <c r="E38" s="77"/>
      <c r="F38" s="78">
        <f>1.12+1.064</f>
        <v>2.1840000000000002</v>
      </c>
      <c r="G38" s="114" t="s">
        <v>75</v>
      </c>
      <c r="H38" s="114" t="s">
        <v>75</v>
      </c>
      <c r="I38" s="78">
        <v>0.13</v>
      </c>
      <c r="J38" s="78">
        <v>0.06</v>
      </c>
      <c r="K38" s="79" t="s">
        <v>75</v>
      </c>
      <c r="L38" s="79" t="s">
        <v>75</v>
      </c>
      <c r="M38" s="79" t="s">
        <v>75</v>
      </c>
      <c r="N38" s="79" t="s">
        <v>75</v>
      </c>
      <c r="O38" s="79" t="s">
        <v>75</v>
      </c>
      <c r="P38" s="79" t="s">
        <v>75</v>
      </c>
      <c r="Q38" s="114" t="s">
        <v>75</v>
      </c>
      <c r="R38" s="114" t="s">
        <v>75</v>
      </c>
      <c r="S38" s="114" t="s">
        <v>75</v>
      </c>
      <c r="T38" s="114" t="s">
        <v>75</v>
      </c>
      <c r="U38" s="78">
        <v>0.38</v>
      </c>
      <c r="V38" s="79" t="s">
        <v>75</v>
      </c>
      <c r="W38" s="79" t="s">
        <v>75</v>
      </c>
      <c r="X38" s="79" t="s">
        <v>75</v>
      </c>
      <c r="Y38" s="79" t="s">
        <v>75</v>
      </c>
      <c r="Z38" s="78">
        <v>0.47</v>
      </c>
      <c r="AA38" s="78">
        <v>0.66</v>
      </c>
      <c r="AB38" s="78">
        <f t="shared" si="11"/>
        <v>0.30219780219780218</v>
      </c>
      <c r="AC38" s="78">
        <v>1.39</v>
      </c>
      <c r="AD38" s="78">
        <f t="shared" si="12"/>
        <v>0.63644688644688641</v>
      </c>
      <c r="AE38" s="78">
        <v>0.115</v>
      </c>
      <c r="AF38" s="79" t="s">
        <v>75</v>
      </c>
      <c r="AG38" s="79" t="s">
        <v>75</v>
      </c>
      <c r="AH38" s="79" t="s">
        <v>75</v>
      </c>
      <c r="AI38" s="78">
        <v>0.11</v>
      </c>
      <c r="AJ38" s="78">
        <v>7.0000000000000007E-2</v>
      </c>
      <c r="AK38" s="78">
        <f t="shared" si="27"/>
        <v>1.5714285714285714</v>
      </c>
      <c r="AL38" s="78">
        <f t="shared" si="28"/>
        <v>0.9565217391304347</v>
      </c>
      <c r="AM38" s="79" t="s">
        <v>75</v>
      </c>
      <c r="AN38" s="79" t="s">
        <v>75</v>
      </c>
      <c r="AO38" s="78">
        <f t="shared" si="29"/>
        <v>0.37931034482758624</v>
      </c>
      <c r="AP38" s="78">
        <v>0.28999999999999998</v>
      </c>
      <c r="AQ38" s="78">
        <v>0.1</v>
      </c>
      <c r="AR38" s="78">
        <f t="shared" si="6"/>
        <v>0.13278388278388276</v>
      </c>
      <c r="AS38" s="78">
        <f t="shared" si="7"/>
        <v>2.8999999999999995</v>
      </c>
      <c r="AT38" s="79" t="s">
        <v>75</v>
      </c>
      <c r="AU38" s="78">
        <v>0.121</v>
      </c>
      <c r="AV38" s="78">
        <v>0.114</v>
      </c>
      <c r="AW38" s="78">
        <f>AU38/AV38</f>
        <v>1.0614035087719298</v>
      </c>
      <c r="AX38" s="80">
        <f>AP38/AU38</f>
        <v>2.3966942148760331</v>
      </c>
      <c r="AY38" s="215" t="s">
        <v>75</v>
      </c>
      <c r="AZ38" s="216" t="s">
        <v>75</v>
      </c>
      <c r="BA38" s="252" t="s">
        <v>75</v>
      </c>
      <c r="BB38" s="252" t="s">
        <v>75</v>
      </c>
      <c r="BC38" s="257" t="s">
        <v>75</v>
      </c>
    </row>
    <row r="39" spans="2:55" ht="12.75" customHeight="1" x14ac:dyDescent="0.2">
      <c r="B39" s="290">
        <v>23262</v>
      </c>
      <c r="C39" s="70" t="s">
        <v>299</v>
      </c>
      <c r="D39" s="71" t="s">
        <v>300</v>
      </c>
      <c r="E39" s="71" t="s">
        <v>301</v>
      </c>
      <c r="F39" s="72">
        <f>1.5+1.34</f>
        <v>2.84</v>
      </c>
      <c r="G39" s="82">
        <f t="shared" si="0"/>
        <v>5.4740000000000002</v>
      </c>
      <c r="H39" s="82">
        <f t="shared" si="1"/>
        <v>1.9274647887323946</v>
      </c>
      <c r="I39" s="72">
        <v>0.11</v>
      </c>
      <c r="J39" s="72">
        <v>0.06</v>
      </c>
      <c r="K39" s="72">
        <v>1.26</v>
      </c>
      <c r="L39" s="72">
        <v>1.054</v>
      </c>
      <c r="M39" s="72">
        <v>0.96</v>
      </c>
      <c r="N39" s="72">
        <v>0.16</v>
      </c>
      <c r="O39" s="72">
        <v>1.87</v>
      </c>
      <c r="P39" s="72">
        <f>N:N+O:O</f>
        <v>2.0300000000000002</v>
      </c>
      <c r="Q39" s="82">
        <f t="shared" si="2"/>
        <v>1.6111111111111114</v>
      </c>
      <c r="R39" s="82">
        <f t="shared" si="3"/>
        <v>0.76190476190476186</v>
      </c>
      <c r="S39" s="82">
        <f t="shared" si="4"/>
        <v>0.83650793650793653</v>
      </c>
      <c r="T39" s="82">
        <f t="shared" si="5"/>
        <v>11.6875</v>
      </c>
      <c r="U39" s="72">
        <v>0.36</v>
      </c>
      <c r="V39" s="72">
        <f t="shared" si="9"/>
        <v>15.205555555555557</v>
      </c>
      <c r="W39" s="72">
        <v>0.94</v>
      </c>
      <c r="X39" s="72">
        <v>0.13</v>
      </c>
      <c r="Y39" s="72">
        <f>W:W/X:X</f>
        <v>7.2307692307692299</v>
      </c>
      <c r="Z39" s="72">
        <v>0.56000000000000005</v>
      </c>
      <c r="AA39" s="72">
        <v>0.84</v>
      </c>
      <c r="AB39" s="72">
        <f t="shared" si="11"/>
        <v>0.29577464788732394</v>
      </c>
      <c r="AC39" s="72">
        <v>1.82</v>
      </c>
      <c r="AD39" s="72">
        <f t="shared" si="12"/>
        <v>0.64084507042253525</v>
      </c>
      <c r="AE39" s="72">
        <v>0.11</v>
      </c>
      <c r="AF39" s="72">
        <f>AE:AE/K:K</f>
        <v>8.7301587301587297E-2</v>
      </c>
      <c r="AG39" s="72">
        <f>AE:AE/P:P</f>
        <v>5.4187192118226597E-2</v>
      </c>
      <c r="AH39" s="72">
        <f>AE39/N39</f>
        <v>0.6875</v>
      </c>
      <c r="AI39" s="72">
        <v>0.12</v>
      </c>
      <c r="AJ39" s="72">
        <v>7.0000000000000007E-2</v>
      </c>
      <c r="AK39" s="72">
        <f t="shared" si="27"/>
        <v>1.714285714285714</v>
      </c>
      <c r="AL39" s="72">
        <f t="shared" si="28"/>
        <v>1.0909090909090908</v>
      </c>
      <c r="AM39" s="72">
        <f>AI39/N39</f>
        <v>0.75</v>
      </c>
      <c r="AN39" s="72">
        <f>AI:AI/K:K</f>
        <v>9.5238095238095233E-2</v>
      </c>
      <c r="AO39" s="72">
        <f t="shared" si="29"/>
        <v>0.32432432432432434</v>
      </c>
      <c r="AP39" s="72">
        <v>0.37</v>
      </c>
      <c r="AQ39" s="72">
        <v>0.18</v>
      </c>
      <c r="AR39" s="72">
        <f t="shared" si="6"/>
        <v>0.13028169014084506</v>
      </c>
      <c r="AS39" s="72">
        <f t="shared" si="7"/>
        <v>2.0555555555555558</v>
      </c>
      <c r="AT39" s="72">
        <f>AP39/K39</f>
        <v>0.29365079365079366</v>
      </c>
      <c r="AU39" s="73" t="s">
        <v>75</v>
      </c>
      <c r="AV39" s="73" t="s">
        <v>75</v>
      </c>
      <c r="AW39" s="73" t="s">
        <v>75</v>
      </c>
      <c r="AX39" s="110" t="s">
        <v>75</v>
      </c>
      <c r="AY39" s="224" t="s">
        <v>75</v>
      </c>
      <c r="AZ39" s="84">
        <v>11</v>
      </c>
      <c r="BA39" s="251" t="s">
        <v>75</v>
      </c>
      <c r="BB39" s="251" t="s">
        <v>75</v>
      </c>
      <c r="BC39" s="256" t="s">
        <v>75</v>
      </c>
    </row>
    <row r="40" spans="2:55" ht="12.75" customHeight="1" x14ac:dyDescent="0.2">
      <c r="B40" s="119"/>
      <c r="C40" s="203"/>
      <c r="D40" s="203"/>
      <c r="E40" s="203"/>
      <c r="F40" s="121">
        <f>1.5+1.34</f>
        <v>2.84</v>
      </c>
      <c r="G40" s="122">
        <f t="shared" si="0"/>
        <v>5.3999999999999995</v>
      </c>
      <c r="H40" s="122">
        <f t="shared" si="1"/>
        <v>1.9014084507042253</v>
      </c>
      <c r="I40" s="121">
        <v>0.12</v>
      </c>
      <c r="J40" s="121">
        <v>0.06</v>
      </c>
      <c r="K40" s="121">
        <v>1.27</v>
      </c>
      <c r="L40" s="121">
        <v>0.98</v>
      </c>
      <c r="M40" s="121">
        <v>0.94</v>
      </c>
      <c r="N40" s="121">
        <v>0.15</v>
      </c>
      <c r="O40" s="121">
        <v>1.88</v>
      </c>
      <c r="P40" s="121">
        <f>N:N+O:O</f>
        <v>2.0299999999999998</v>
      </c>
      <c r="Q40" s="122">
        <f t="shared" si="2"/>
        <v>1.5984251968503935</v>
      </c>
      <c r="R40" s="122">
        <f t="shared" si="3"/>
        <v>0.74015748031496054</v>
      </c>
      <c r="S40" s="122">
        <f t="shared" si="4"/>
        <v>0.77165354330708658</v>
      </c>
      <c r="T40" s="122">
        <f t="shared" si="5"/>
        <v>12.533333333333333</v>
      </c>
      <c r="U40" s="121">
        <v>0.36</v>
      </c>
      <c r="V40" s="121">
        <f t="shared" si="9"/>
        <v>14.999999999999998</v>
      </c>
      <c r="W40" s="121">
        <v>0.9</v>
      </c>
      <c r="X40" s="121">
        <v>0.09</v>
      </c>
      <c r="Y40" s="121">
        <f>W:W/X:X</f>
        <v>10</v>
      </c>
      <c r="Z40" s="121">
        <v>0.54</v>
      </c>
      <c r="AA40" s="121">
        <v>0.83</v>
      </c>
      <c r="AB40" s="121">
        <f t="shared" si="11"/>
        <v>0.29225352112676056</v>
      </c>
      <c r="AC40" s="121">
        <v>1.78</v>
      </c>
      <c r="AD40" s="121">
        <f t="shared" si="12"/>
        <v>0.62676056338028174</v>
      </c>
      <c r="AE40" s="121">
        <v>0.125</v>
      </c>
      <c r="AF40" s="121">
        <f>AE:AE/K:K</f>
        <v>9.8425196850393692E-2</v>
      </c>
      <c r="AG40" s="121">
        <f>AE:AE/P:P</f>
        <v>6.1576354679802964E-2</v>
      </c>
      <c r="AH40" s="121">
        <f>AE40/N40</f>
        <v>0.83333333333333337</v>
      </c>
      <c r="AI40" s="121">
        <v>0.12</v>
      </c>
      <c r="AJ40" s="121">
        <v>7.0000000000000007E-2</v>
      </c>
      <c r="AK40" s="121">
        <f t="shared" si="27"/>
        <v>1.714285714285714</v>
      </c>
      <c r="AL40" s="121">
        <f t="shared" si="28"/>
        <v>0.96</v>
      </c>
      <c r="AM40" s="121">
        <f>AI40/N40</f>
        <v>0.8</v>
      </c>
      <c r="AN40" s="121">
        <f>AI:AI/K:K</f>
        <v>9.4488188976377951E-2</v>
      </c>
      <c r="AO40" s="121">
        <f t="shared" si="29"/>
        <v>0.36363636363636359</v>
      </c>
      <c r="AP40" s="121">
        <v>0.33</v>
      </c>
      <c r="AQ40" s="121">
        <v>0.15</v>
      </c>
      <c r="AR40" s="121">
        <f t="shared" si="6"/>
        <v>0.11619718309859156</v>
      </c>
      <c r="AS40" s="121">
        <f t="shared" si="7"/>
        <v>2.2000000000000002</v>
      </c>
      <c r="AT40" s="121">
        <f>AP40/K40</f>
        <v>0.25984251968503935</v>
      </c>
      <c r="AU40" s="228" t="s">
        <v>75</v>
      </c>
      <c r="AV40" s="228" t="s">
        <v>75</v>
      </c>
      <c r="AW40" s="228" t="s">
        <v>75</v>
      </c>
      <c r="AX40" s="123" t="s">
        <v>75</v>
      </c>
      <c r="AY40" s="229" t="s">
        <v>75</v>
      </c>
      <c r="AZ40" s="213">
        <v>13</v>
      </c>
      <c r="BA40" s="253" t="s">
        <v>75</v>
      </c>
      <c r="BB40" s="253" t="s">
        <v>75</v>
      </c>
      <c r="BC40" s="258" t="s">
        <v>75</v>
      </c>
    </row>
    <row r="41" spans="2:55" ht="12.75" customHeight="1" x14ac:dyDescent="0.2">
      <c r="E41" s="2" t="s">
        <v>25</v>
      </c>
      <c r="F41" s="8">
        <f t="shared" ref="F41:AX41" si="33">MIN(F3:F40)</f>
        <v>2.1160000000000001</v>
      </c>
      <c r="G41" s="8">
        <f t="shared" si="33"/>
        <v>4.7</v>
      </c>
      <c r="H41" s="8">
        <f t="shared" si="33"/>
        <v>1.7692307692307692</v>
      </c>
      <c r="I41" s="8">
        <f t="shared" si="33"/>
        <v>0.11</v>
      </c>
      <c r="J41" s="8">
        <f t="shared" si="33"/>
        <v>3.5999999999999997E-2</v>
      </c>
      <c r="K41" s="8">
        <f t="shared" si="33"/>
        <v>1.04</v>
      </c>
      <c r="L41" s="8">
        <f t="shared" si="33"/>
        <v>0.78</v>
      </c>
      <c r="M41" s="8">
        <f t="shared" si="33"/>
        <v>0.76</v>
      </c>
      <c r="N41" s="8">
        <f t="shared" si="33"/>
        <v>0.121</v>
      </c>
      <c r="O41" s="8">
        <f t="shared" si="33"/>
        <v>1.3680000000000001</v>
      </c>
      <c r="P41" s="8">
        <f t="shared" si="33"/>
        <v>1.542</v>
      </c>
      <c r="Q41" s="8">
        <f t="shared" si="33"/>
        <v>1.1861538461538461</v>
      </c>
      <c r="R41" s="8">
        <f t="shared" si="33"/>
        <v>0.59393939393939399</v>
      </c>
      <c r="S41" s="8">
        <f t="shared" si="33"/>
        <v>0.66666666666666663</v>
      </c>
      <c r="T41" s="8">
        <f t="shared" si="33"/>
        <v>7.8620689655172429</v>
      </c>
      <c r="U41" s="8">
        <f t="shared" si="33"/>
        <v>0.3</v>
      </c>
      <c r="V41" s="8">
        <f t="shared" si="33"/>
        <v>12.368421052631579</v>
      </c>
      <c r="W41" s="8">
        <f t="shared" si="33"/>
        <v>0.74</v>
      </c>
      <c r="X41" s="8">
        <f t="shared" si="33"/>
        <v>0.09</v>
      </c>
      <c r="Y41" s="8">
        <f t="shared" si="33"/>
        <v>5</v>
      </c>
      <c r="Z41" s="8">
        <f t="shared" si="33"/>
        <v>0.45</v>
      </c>
      <c r="AA41" s="8">
        <f t="shared" si="33"/>
        <v>0.65</v>
      </c>
      <c r="AB41" s="8">
        <f t="shared" si="33"/>
        <v>0.25752508361204013</v>
      </c>
      <c r="AC41" s="8">
        <f t="shared" si="33"/>
        <v>1.36</v>
      </c>
      <c r="AD41" s="8">
        <f t="shared" si="33"/>
        <v>0.5423728813559322</v>
      </c>
      <c r="AE41" s="8">
        <f t="shared" si="33"/>
        <v>9.7000000000000003E-2</v>
      </c>
      <c r="AF41" s="8">
        <f t="shared" si="33"/>
        <v>8.3211678832116789E-2</v>
      </c>
      <c r="AG41" s="8">
        <f t="shared" si="33"/>
        <v>4.8475762118940537E-2</v>
      </c>
      <c r="AH41" s="8">
        <f t="shared" si="33"/>
        <v>0.62580645161290327</v>
      </c>
      <c r="AI41" s="8">
        <f t="shared" si="33"/>
        <v>9.8000000000000004E-2</v>
      </c>
      <c r="AJ41" s="8">
        <f t="shared" si="33"/>
        <v>5.6000000000000001E-2</v>
      </c>
      <c r="AK41" s="8">
        <f t="shared" si="33"/>
        <v>1.25</v>
      </c>
      <c r="AL41" s="8">
        <f t="shared" si="33"/>
        <v>0.7279411764705882</v>
      </c>
      <c r="AM41" s="8">
        <f t="shared" si="33"/>
        <v>0.58918918918918917</v>
      </c>
      <c r="AN41" s="8">
        <f t="shared" si="33"/>
        <v>7.6803723816912348E-2</v>
      </c>
      <c r="AO41" s="8">
        <f t="shared" si="33"/>
        <v>0.25647058823529412</v>
      </c>
      <c r="AP41" s="8">
        <f t="shared" si="33"/>
        <v>0.24099999999999999</v>
      </c>
      <c r="AQ41" s="8">
        <f t="shared" si="33"/>
        <v>0.1</v>
      </c>
      <c r="AR41" s="8">
        <f t="shared" si="33"/>
        <v>0.10077519379844961</v>
      </c>
      <c r="AS41" s="8">
        <f t="shared" si="33"/>
        <v>1.5350318471337578</v>
      </c>
      <c r="AT41" s="8">
        <f t="shared" si="33"/>
        <v>0.21441281138790033</v>
      </c>
      <c r="AU41" s="8">
        <f t="shared" si="33"/>
        <v>0.104</v>
      </c>
      <c r="AV41" s="8">
        <f t="shared" si="33"/>
        <v>0.114</v>
      </c>
      <c r="AW41" s="8">
        <f t="shared" si="33"/>
        <v>0.67096774193548381</v>
      </c>
      <c r="AX41" s="8">
        <f t="shared" si="33"/>
        <v>1.8682170542635659</v>
      </c>
      <c r="AY41" s="9"/>
      <c r="AZ41" s="9">
        <f>MIN(AZ3:AZ40)</f>
        <v>9</v>
      </c>
    </row>
    <row r="42" spans="2:55" ht="12.75" customHeight="1" x14ac:dyDescent="0.2">
      <c r="E42" s="2" t="s">
        <v>26</v>
      </c>
      <c r="F42" s="8">
        <f t="shared" ref="F42:AX42" si="34">MAX(F3:F40)</f>
        <v>3</v>
      </c>
      <c r="G42" s="8">
        <f t="shared" si="34"/>
        <v>5.8629999999999995</v>
      </c>
      <c r="H42" s="8">
        <f t="shared" si="34"/>
        <v>2.3459357277882797</v>
      </c>
      <c r="I42" s="8">
        <f t="shared" si="34"/>
        <v>0.15</v>
      </c>
      <c r="J42" s="8">
        <f t="shared" si="34"/>
        <v>0.08</v>
      </c>
      <c r="K42" s="8">
        <f t="shared" si="34"/>
        <v>1.37</v>
      </c>
      <c r="L42" s="8">
        <f t="shared" si="34"/>
        <v>1.069</v>
      </c>
      <c r="M42" s="8">
        <f t="shared" si="34"/>
        <v>1.0409999999999999</v>
      </c>
      <c r="N42" s="8">
        <f t="shared" si="34"/>
        <v>0.185</v>
      </c>
      <c r="O42" s="8">
        <f t="shared" si="34"/>
        <v>2.1739999999999999</v>
      </c>
      <c r="P42" s="8">
        <f t="shared" si="34"/>
        <v>2.331</v>
      </c>
      <c r="Q42" s="8">
        <f t="shared" si="34"/>
        <v>2.0614425645592163</v>
      </c>
      <c r="R42" s="8">
        <f t="shared" si="34"/>
        <v>0.87663551401869144</v>
      </c>
      <c r="S42" s="8">
        <f t="shared" si="34"/>
        <v>0.95192307692307687</v>
      </c>
      <c r="T42" s="8">
        <f t="shared" si="34"/>
        <v>14.62686567164179</v>
      </c>
      <c r="U42" s="8">
        <f t="shared" si="34"/>
        <v>0.46</v>
      </c>
      <c r="V42" s="8">
        <f t="shared" si="34"/>
        <v>17.633333333333333</v>
      </c>
      <c r="W42" s="8">
        <f t="shared" si="34"/>
        <v>1.03</v>
      </c>
      <c r="X42" s="8">
        <f t="shared" si="34"/>
        <v>0.18</v>
      </c>
      <c r="Y42" s="8">
        <f t="shared" si="34"/>
        <v>10.299999999999999</v>
      </c>
      <c r="Z42" s="8">
        <f t="shared" si="34"/>
        <v>0.67</v>
      </c>
      <c r="AA42" s="8">
        <f t="shared" si="34"/>
        <v>0.9</v>
      </c>
      <c r="AB42" s="8">
        <f t="shared" si="34"/>
        <v>0.3380281690140845</v>
      </c>
      <c r="AC42" s="8">
        <f t="shared" si="34"/>
        <v>1.89</v>
      </c>
      <c r="AD42" s="8">
        <f t="shared" si="34"/>
        <v>0.72748447204968947</v>
      </c>
      <c r="AE42" s="8">
        <f t="shared" si="34"/>
        <v>0.13600000000000001</v>
      </c>
      <c r="AF42" s="8">
        <f t="shared" si="34"/>
        <v>0.10831889081455806</v>
      </c>
      <c r="AG42" s="8">
        <f t="shared" si="34"/>
        <v>7.5875486381322965E-2</v>
      </c>
      <c r="AH42" s="8">
        <f t="shared" si="34"/>
        <v>0.84732824427480913</v>
      </c>
      <c r="AI42" s="8">
        <f t="shared" si="34"/>
        <v>0.12</v>
      </c>
      <c r="AJ42" s="8">
        <f t="shared" si="34"/>
        <v>0.09</v>
      </c>
      <c r="AK42" s="8">
        <f t="shared" si="34"/>
        <v>1.8</v>
      </c>
      <c r="AL42" s="8">
        <f t="shared" si="34"/>
        <v>1.0909090909090908</v>
      </c>
      <c r="AM42" s="8">
        <f t="shared" si="34"/>
        <v>0.8</v>
      </c>
      <c r="AN42" s="8">
        <f t="shared" si="34"/>
        <v>9.9999999999999992E-2</v>
      </c>
      <c r="AO42" s="8">
        <f t="shared" si="34"/>
        <v>0.40740740740740738</v>
      </c>
      <c r="AP42" s="8">
        <f t="shared" si="34"/>
        <v>0.42499999999999999</v>
      </c>
      <c r="AQ42" s="8">
        <f t="shared" si="34"/>
        <v>0.219</v>
      </c>
      <c r="AR42" s="8">
        <f t="shared" si="34"/>
        <v>0.17605633802816903</v>
      </c>
      <c r="AS42" s="8">
        <f t="shared" si="34"/>
        <v>2.8999999999999995</v>
      </c>
      <c r="AT42" s="8">
        <f t="shared" si="34"/>
        <v>0.36574870912220309</v>
      </c>
      <c r="AU42" s="8">
        <f t="shared" si="34"/>
        <v>0.153</v>
      </c>
      <c r="AV42" s="8">
        <f t="shared" si="34"/>
        <v>0.19</v>
      </c>
      <c r="AW42" s="8">
        <f t="shared" si="34"/>
        <v>1.1461538461538461</v>
      </c>
      <c r="AX42" s="8">
        <f t="shared" si="34"/>
        <v>3.166666666666667</v>
      </c>
      <c r="AY42" s="9"/>
      <c r="AZ42" s="9">
        <f>MAX(AZ3:AZ40)</f>
        <v>15</v>
      </c>
    </row>
    <row r="43" spans="2:55" ht="12.75" customHeight="1" x14ac:dyDescent="0.2"/>
    <row r="44" spans="2:55" ht="12.75" customHeight="1" x14ac:dyDescent="0.2"/>
    <row r="45" spans="2:55" ht="12.75" customHeight="1" x14ac:dyDescent="0.2"/>
    <row r="46" spans="2:55" ht="12.75" customHeight="1" x14ac:dyDescent="0.2"/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BC56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2" width="18.7109375" style="46" customWidth="1"/>
    <col min="3" max="4" width="18.7109375" style="1" customWidth="1"/>
    <col min="5" max="5" width="36.7109375" style="1" customWidth="1"/>
    <col min="6" max="52" width="8.7109375" style="1" customWidth="1"/>
    <col min="53" max="55" width="10.7109375" style="1" customWidth="1"/>
    <col min="56" max="16384" width="9.140625" style="1"/>
  </cols>
  <sheetData>
    <row r="1" spans="2:55" ht="12" customHeight="1" x14ac:dyDescent="0.2"/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">
      <c r="B3" s="61">
        <v>15101</v>
      </c>
      <c r="C3" s="62" t="s">
        <v>306</v>
      </c>
      <c r="D3" s="63" t="s">
        <v>142</v>
      </c>
      <c r="E3" s="63" t="s">
        <v>303</v>
      </c>
      <c r="F3" s="64">
        <v>1.3109999999999999</v>
      </c>
      <c r="G3" s="146" t="s">
        <v>75</v>
      </c>
      <c r="H3" s="146" t="s">
        <v>75</v>
      </c>
      <c r="I3" s="64">
        <v>7.9000000000000001E-2</v>
      </c>
      <c r="J3" s="66" t="s">
        <v>75</v>
      </c>
      <c r="K3" s="64">
        <v>0.73799999999999999</v>
      </c>
      <c r="L3" s="64">
        <v>0.52200000000000002</v>
      </c>
      <c r="M3" s="64">
        <v>0.51400000000000001</v>
      </c>
      <c r="N3" s="64">
        <v>9.5000000000000001E-2</v>
      </c>
      <c r="O3" s="66" t="s">
        <v>75</v>
      </c>
      <c r="P3" s="66" t="s">
        <v>75</v>
      </c>
      <c r="Q3" s="146" t="s">
        <v>75</v>
      </c>
      <c r="R3" s="65">
        <f t="shared" ref="R3:R51" si="0">M3/K3</f>
        <v>0.69647696476964771</v>
      </c>
      <c r="S3" s="65">
        <f t="shared" ref="S3:S51" si="1">L3/K3</f>
        <v>0.70731707317073178</v>
      </c>
      <c r="T3" s="146" t="s">
        <v>75</v>
      </c>
      <c r="U3" s="64">
        <v>0.248</v>
      </c>
      <c r="V3" s="66" t="s">
        <v>75</v>
      </c>
      <c r="W3" s="64">
        <v>0.45500000000000002</v>
      </c>
      <c r="X3" s="64">
        <v>6.2E-2</v>
      </c>
      <c r="Y3" s="64">
        <f>W:W/X:X</f>
        <v>7.338709677419355</v>
      </c>
      <c r="Z3" s="64">
        <v>0.32600000000000001</v>
      </c>
      <c r="AA3" s="64">
        <v>0.45600000000000002</v>
      </c>
      <c r="AB3" s="64">
        <f>AA3/F3</f>
        <v>0.34782608695652178</v>
      </c>
      <c r="AC3" s="64">
        <v>0.91</v>
      </c>
      <c r="AD3" s="64">
        <f t="shared" ref="AD3:AD10" si="2">AC3/F3</f>
        <v>0.69412662090007637</v>
      </c>
      <c r="AE3" s="64">
        <v>8.1000000000000003E-2</v>
      </c>
      <c r="AF3" s="64">
        <f>AE:AE/K:K</f>
        <v>0.10975609756097561</v>
      </c>
      <c r="AG3" s="66" t="s">
        <v>75</v>
      </c>
      <c r="AH3" s="64">
        <f t="shared" ref="AH3:AH10" si="3">AE3/N3</f>
        <v>0.85263157894736841</v>
      </c>
      <c r="AI3" s="66" t="s">
        <v>75</v>
      </c>
      <c r="AJ3" s="66" t="s">
        <v>75</v>
      </c>
      <c r="AK3" s="66" t="s">
        <v>75</v>
      </c>
      <c r="AL3" s="66" t="s">
        <v>75</v>
      </c>
      <c r="AM3" s="66" t="s">
        <v>75</v>
      </c>
      <c r="AN3" s="66" t="s">
        <v>75</v>
      </c>
      <c r="AO3" s="66" t="s">
        <v>75</v>
      </c>
      <c r="AP3" s="64">
        <v>0.182</v>
      </c>
      <c r="AQ3" s="64">
        <v>8.4000000000000005E-2</v>
      </c>
      <c r="AR3" s="64">
        <f t="shared" ref="AR3:AR34" si="4">AP3/F3</f>
        <v>0.13882532418001525</v>
      </c>
      <c r="AS3" s="64">
        <f t="shared" ref="AS3:AS51" si="5">AP3/AQ3</f>
        <v>2.1666666666666665</v>
      </c>
      <c r="AT3" s="64">
        <f t="shared" ref="AT3:AT34" si="6">AP3/K3</f>
        <v>0.24661246612466126</v>
      </c>
      <c r="AU3" s="64">
        <v>8.7999999999999995E-2</v>
      </c>
      <c r="AV3" s="64">
        <v>0.109</v>
      </c>
      <c r="AW3" s="66" t="s">
        <v>75</v>
      </c>
      <c r="AX3" s="65">
        <f t="shared" ref="AX3:AX10" si="7">AP3/AU3</f>
        <v>2.0681818181818183</v>
      </c>
      <c r="AY3" s="146" t="s">
        <v>75</v>
      </c>
      <c r="AZ3" s="67">
        <v>8</v>
      </c>
      <c r="BA3" s="254" t="s">
        <v>75</v>
      </c>
      <c r="BB3" s="254" t="s">
        <v>75</v>
      </c>
      <c r="BC3" s="255" t="s">
        <v>75</v>
      </c>
    </row>
    <row r="4" spans="2:55" ht="12.75" customHeight="1" x14ac:dyDescent="0.2">
      <c r="B4" s="69"/>
      <c r="C4" s="71"/>
      <c r="D4" s="71"/>
      <c r="E4" s="71"/>
      <c r="F4" s="72">
        <v>1.3109999999999999</v>
      </c>
      <c r="G4" s="82">
        <f t="shared" ref="G4:G51" si="8">I4+J4+K4+L4+M4+N4+O4</f>
        <v>3.4950000000000001</v>
      </c>
      <c r="H4" s="82">
        <f t="shared" ref="H4:H51" si="9">G4/F4</f>
        <v>2.6659038901601835</v>
      </c>
      <c r="I4" s="72">
        <v>9.6000000000000002E-2</v>
      </c>
      <c r="J4" s="72">
        <v>4.7E-2</v>
      </c>
      <c r="K4" s="72">
        <v>0.72</v>
      </c>
      <c r="L4" s="72">
        <v>0.499</v>
      </c>
      <c r="M4" s="72">
        <v>0.49199999999999999</v>
      </c>
      <c r="N4" s="72">
        <v>9.4E-2</v>
      </c>
      <c r="O4" s="72">
        <v>1.5469999999999999</v>
      </c>
      <c r="P4" s="72">
        <f>N:N+O:O</f>
        <v>1.641</v>
      </c>
      <c r="Q4" s="82">
        <f t="shared" ref="Q4:Q51" si="10">(N4+O4)/K4</f>
        <v>2.2791666666666668</v>
      </c>
      <c r="R4" s="82">
        <f t="shared" si="0"/>
        <v>0.68333333333333335</v>
      </c>
      <c r="S4" s="82">
        <f t="shared" si="1"/>
        <v>0.69305555555555554</v>
      </c>
      <c r="T4" s="82">
        <f t="shared" ref="T4:T51" si="11">O4/N4</f>
        <v>16.457446808510639</v>
      </c>
      <c r="U4" s="72">
        <v>0.248</v>
      </c>
      <c r="V4" s="72">
        <f t="shared" ref="V4:V51" si="12">G4/U4</f>
        <v>14.092741935483872</v>
      </c>
      <c r="W4" s="72">
        <v>0.46</v>
      </c>
      <c r="X4" s="72">
        <v>5.2999999999999999E-2</v>
      </c>
      <c r="Y4" s="72">
        <f>W:W/X:X</f>
        <v>8.6792452830188687</v>
      </c>
      <c r="Z4" s="72">
        <v>0.32600000000000001</v>
      </c>
      <c r="AA4" s="72">
        <v>0.442</v>
      </c>
      <c r="AB4" s="72">
        <f>AA4/F4</f>
        <v>0.33714721586575136</v>
      </c>
      <c r="AC4" s="72">
        <v>0.878</v>
      </c>
      <c r="AD4" s="72">
        <f t="shared" si="2"/>
        <v>0.66971777269260113</v>
      </c>
      <c r="AE4" s="72">
        <v>7.8E-2</v>
      </c>
      <c r="AF4" s="72">
        <f>AE:AE/K:K</f>
        <v>0.10833333333333334</v>
      </c>
      <c r="AG4" s="72">
        <f>AE:AE/P:P</f>
        <v>4.7531992687385741E-2</v>
      </c>
      <c r="AH4" s="72">
        <f t="shared" si="3"/>
        <v>0.82978723404255317</v>
      </c>
      <c r="AI4" s="73" t="s">
        <v>75</v>
      </c>
      <c r="AJ4" s="73" t="s">
        <v>75</v>
      </c>
      <c r="AK4" s="73" t="s">
        <v>75</v>
      </c>
      <c r="AL4" s="73" t="s">
        <v>75</v>
      </c>
      <c r="AM4" s="73" t="s">
        <v>75</v>
      </c>
      <c r="AN4" s="73" t="s">
        <v>75</v>
      </c>
      <c r="AO4" s="73" t="s">
        <v>75</v>
      </c>
      <c r="AP4" s="72">
        <v>0.184</v>
      </c>
      <c r="AQ4" s="72">
        <v>8.2000000000000003E-2</v>
      </c>
      <c r="AR4" s="72">
        <f t="shared" si="4"/>
        <v>0.14035087719298245</v>
      </c>
      <c r="AS4" s="72">
        <f t="shared" si="5"/>
        <v>2.24390243902439</v>
      </c>
      <c r="AT4" s="72">
        <f t="shared" si="6"/>
        <v>0.25555555555555554</v>
      </c>
      <c r="AU4" s="72">
        <v>8.7999999999999995E-2</v>
      </c>
      <c r="AV4" s="72">
        <v>0.109</v>
      </c>
      <c r="AW4" s="73" t="s">
        <v>75</v>
      </c>
      <c r="AX4" s="82">
        <f t="shared" si="7"/>
        <v>2.0909090909090908</v>
      </c>
      <c r="AY4" s="110" t="s">
        <v>75</v>
      </c>
      <c r="AZ4" s="225" t="s">
        <v>75</v>
      </c>
      <c r="BA4" s="251" t="s">
        <v>75</v>
      </c>
      <c r="BB4" s="251" t="s">
        <v>75</v>
      </c>
      <c r="BC4" s="256" t="s">
        <v>75</v>
      </c>
    </row>
    <row r="5" spans="2:55" ht="12.75" customHeight="1" x14ac:dyDescent="0.2">
      <c r="B5" s="86">
        <v>15101</v>
      </c>
      <c r="C5" s="76" t="s">
        <v>306</v>
      </c>
      <c r="D5" s="77" t="s">
        <v>159</v>
      </c>
      <c r="E5" s="77" t="s">
        <v>303</v>
      </c>
      <c r="F5" s="78">
        <v>1.528</v>
      </c>
      <c r="G5" s="80">
        <f>I5+J5+K5+L5+M5+N5+O5</f>
        <v>3.6140000000000003</v>
      </c>
      <c r="H5" s="80">
        <f>G5/F5</f>
        <v>2.3651832460732987</v>
      </c>
      <c r="I5" s="78">
        <v>8.5000000000000006E-2</v>
      </c>
      <c r="J5" s="78">
        <v>4.5999999999999999E-2</v>
      </c>
      <c r="K5" s="78">
        <v>0.78900000000000003</v>
      </c>
      <c r="L5" s="78">
        <v>0.50600000000000001</v>
      </c>
      <c r="M5" s="78">
        <v>0.47099999999999997</v>
      </c>
      <c r="N5" s="78">
        <v>0.113</v>
      </c>
      <c r="O5" s="78">
        <f>0.838+0.766</f>
        <v>1.6040000000000001</v>
      </c>
      <c r="P5" s="78">
        <f>N:N+O:O</f>
        <v>1.7170000000000001</v>
      </c>
      <c r="Q5" s="80">
        <f>(N5+O5)/K5</f>
        <v>2.1761723700887199</v>
      </c>
      <c r="R5" s="80">
        <f>M5/K5</f>
        <v>0.59695817490494296</v>
      </c>
      <c r="S5" s="80">
        <f>L5/K5</f>
        <v>0.64131812420785805</v>
      </c>
      <c r="T5" s="80">
        <f>O5/N5</f>
        <v>14.194690265486726</v>
      </c>
      <c r="U5" s="78">
        <v>0.27500000000000002</v>
      </c>
      <c r="V5" s="78">
        <f>G5/U5</f>
        <v>13.141818181818183</v>
      </c>
      <c r="W5" s="78">
        <v>0.46300000000000002</v>
      </c>
      <c r="X5" s="78">
        <v>6.5000000000000002E-2</v>
      </c>
      <c r="Y5" s="78">
        <f>W:W/X:X</f>
        <v>7.1230769230769235</v>
      </c>
      <c r="Z5" s="78">
        <v>0.34200000000000003</v>
      </c>
      <c r="AA5" s="78">
        <v>0.47699999999999998</v>
      </c>
      <c r="AB5" s="78">
        <f>AA5/F5</f>
        <v>0.31217277486910994</v>
      </c>
      <c r="AC5" s="78">
        <v>0.93600000000000005</v>
      </c>
      <c r="AD5" s="78">
        <f>AC5/F5</f>
        <v>0.61256544502617805</v>
      </c>
      <c r="AE5" s="78">
        <v>8.7999999999999995E-2</v>
      </c>
      <c r="AF5" s="78">
        <f>AE:AE/K:K</f>
        <v>0.11153358681875791</v>
      </c>
      <c r="AG5" s="78">
        <f>AE:AE/P:P</f>
        <v>5.1252184041933602E-2</v>
      </c>
      <c r="AH5" s="78">
        <f>AE5/N5</f>
        <v>0.77876106194690253</v>
      </c>
      <c r="AI5" s="79" t="s">
        <v>75</v>
      </c>
      <c r="AJ5" s="79" t="s">
        <v>75</v>
      </c>
      <c r="AK5" s="79" t="s">
        <v>75</v>
      </c>
      <c r="AL5" s="79" t="s">
        <v>75</v>
      </c>
      <c r="AM5" s="79" t="s">
        <v>75</v>
      </c>
      <c r="AN5" s="79" t="s">
        <v>75</v>
      </c>
      <c r="AO5" s="79" t="s">
        <v>75</v>
      </c>
      <c r="AP5" s="78">
        <v>0.16800000000000001</v>
      </c>
      <c r="AQ5" s="78">
        <v>8.6999999999999994E-2</v>
      </c>
      <c r="AR5" s="78">
        <f>AP5/F5</f>
        <v>0.1099476439790576</v>
      </c>
      <c r="AS5" s="78">
        <f>AP5/AQ5</f>
        <v>1.931034482758621</v>
      </c>
      <c r="AT5" s="78">
        <f>AP5/K5</f>
        <v>0.21292775665399241</v>
      </c>
      <c r="AU5" s="78">
        <v>0.114</v>
      </c>
      <c r="AV5" s="78">
        <v>0.11600000000000001</v>
      </c>
      <c r="AW5" s="78">
        <f>AU5/AV5</f>
        <v>0.98275862068965514</v>
      </c>
      <c r="AX5" s="80">
        <f>AP5/AU5</f>
        <v>1.4736842105263159</v>
      </c>
      <c r="AY5" s="114" t="s">
        <v>75</v>
      </c>
      <c r="AZ5" s="87">
        <v>10</v>
      </c>
      <c r="BA5" s="252" t="s">
        <v>75</v>
      </c>
      <c r="BB5" s="252" t="s">
        <v>75</v>
      </c>
      <c r="BC5" s="257" t="s">
        <v>75</v>
      </c>
    </row>
    <row r="6" spans="2:55" ht="12.75" customHeight="1" x14ac:dyDescent="0.2">
      <c r="B6" s="75"/>
      <c r="C6" s="77"/>
      <c r="D6" s="77"/>
      <c r="E6" s="77"/>
      <c r="F6" s="78">
        <v>1.528</v>
      </c>
      <c r="G6" s="80">
        <f>I6+J6+K6+L6+M6+N6+O6</f>
        <v>3.625</v>
      </c>
      <c r="H6" s="80">
        <f>G6/F6</f>
        <v>2.3723821989528795</v>
      </c>
      <c r="I6" s="78">
        <v>8.5999999999999993E-2</v>
      </c>
      <c r="J6" s="78">
        <v>5.0999999999999997E-2</v>
      </c>
      <c r="K6" s="78">
        <v>0.77800000000000002</v>
      </c>
      <c r="L6" s="78">
        <v>0.50600000000000001</v>
      </c>
      <c r="M6" s="78">
        <v>0.47099999999999997</v>
      </c>
      <c r="N6" s="78">
        <v>0.11700000000000001</v>
      </c>
      <c r="O6" s="78">
        <f>0.929+0.687</f>
        <v>1.6160000000000001</v>
      </c>
      <c r="P6" s="78">
        <f>N:N+O:O</f>
        <v>1.7330000000000001</v>
      </c>
      <c r="Q6" s="80">
        <f>(N6+O6)/K6</f>
        <v>2.2275064267352187</v>
      </c>
      <c r="R6" s="80">
        <f>M6/K6</f>
        <v>0.60539845758354749</v>
      </c>
      <c r="S6" s="80">
        <f>L6/K6</f>
        <v>0.65038560411311053</v>
      </c>
      <c r="T6" s="80">
        <f>O6/N6</f>
        <v>13.811965811965813</v>
      </c>
      <c r="U6" s="78">
        <v>0.27500000000000002</v>
      </c>
      <c r="V6" s="78">
        <f>G6/U6</f>
        <v>13.18181818181818</v>
      </c>
      <c r="W6" s="78">
        <v>0.436</v>
      </c>
      <c r="X6" s="78">
        <v>6.4000000000000001E-2</v>
      </c>
      <c r="Y6" s="78">
        <f>W:W/X:X</f>
        <v>6.8125</v>
      </c>
      <c r="Z6" s="78">
        <v>0.31900000000000001</v>
      </c>
      <c r="AA6" s="78">
        <v>0.44</v>
      </c>
      <c r="AB6" s="78">
        <f>AA6/F6</f>
        <v>0.28795811518324604</v>
      </c>
      <c r="AC6" s="78">
        <v>0.96599999999999997</v>
      </c>
      <c r="AD6" s="78">
        <f>AC6/F6</f>
        <v>0.63219895287958117</v>
      </c>
      <c r="AE6" s="78">
        <v>9.7000000000000003E-2</v>
      </c>
      <c r="AF6" s="78">
        <f>AE:AE/K:K</f>
        <v>0.12467866323907455</v>
      </c>
      <c r="AG6" s="78">
        <f>AE:AE/P:P</f>
        <v>5.5972302365839582E-2</v>
      </c>
      <c r="AH6" s="78">
        <f>AE6/N6</f>
        <v>0.829059829059829</v>
      </c>
      <c r="AI6" s="79" t="s">
        <v>75</v>
      </c>
      <c r="AJ6" s="79" t="s">
        <v>75</v>
      </c>
      <c r="AK6" s="79" t="s">
        <v>75</v>
      </c>
      <c r="AL6" s="79" t="s">
        <v>75</v>
      </c>
      <c r="AM6" s="79" t="s">
        <v>75</v>
      </c>
      <c r="AN6" s="79" t="s">
        <v>75</v>
      </c>
      <c r="AO6" s="79" t="s">
        <v>75</v>
      </c>
      <c r="AP6" s="78">
        <v>0.17899999999999999</v>
      </c>
      <c r="AQ6" s="78">
        <v>9.1999999999999998E-2</v>
      </c>
      <c r="AR6" s="78">
        <f>AP6/F6</f>
        <v>0.11714659685863874</v>
      </c>
      <c r="AS6" s="78">
        <f>AP6/AQ6</f>
        <v>1.9456521739130435</v>
      </c>
      <c r="AT6" s="78">
        <f>AP6/K6</f>
        <v>0.23007712082262208</v>
      </c>
      <c r="AU6" s="78">
        <v>0.114</v>
      </c>
      <c r="AV6" s="78">
        <v>0.11600000000000001</v>
      </c>
      <c r="AW6" s="78">
        <f>AU6/AV6</f>
        <v>0.98275862068965514</v>
      </c>
      <c r="AX6" s="80">
        <f>AP6/AU6</f>
        <v>1.570175438596491</v>
      </c>
      <c r="AY6" s="114" t="s">
        <v>75</v>
      </c>
      <c r="AZ6" s="216" t="s">
        <v>75</v>
      </c>
      <c r="BA6" s="252" t="s">
        <v>75</v>
      </c>
      <c r="BB6" s="252" t="s">
        <v>75</v>
      </c>
      <c r="BC6" s="257" t="s">
        <v>75</v>
      </c>
    </row>
    <row r="7" spans="2:55" ht="12.75" customHeight="1" x14ac:dyDescent="0.2">
      <c r="B7" s="83">
        <v>15101</v>
      </c>
      <c r="C7" s="70" t="s">
        <v>306</v>
      </c>
      <c r="D7" s="71" t="s">
        <v>159</v>
      </c>
      <c r="E7" s="71" t="s">
        <v>303</v>
      </c>
      <c r="F7" s="72">
        <v>0.99</v>
      </c>
      <c r="G7" s="82">
        <f>I7+J7+K7+L7+M7+N7+O7</f>
        <v>3.6070000000000002</v>
      </c>
      <c r="H7" s="82">
        <f>G7/F7</f>
        <v>3.6434343434343437</v>
      </c>
      <c r="I7" s="72">
        <v>7.9000000000000001E-2</v>
      </c>
      <c r="J7" s="72">
        <v>4.3999999999999997E-2</v>
      </c>
      <c r="K7" s="72">
        <v>0.78700000000000003</v>
      </c>
      <c r="L7" s="72">
        <v>0.52100000000000002</v>
      </c>
      <c r="M7" s="72">
        <v>0.51</v>
      </c>
      <c r="N7" s="72">
        <v>9.9000000000000005E-2</v>
      </c>
      <c r="O7" s="72">
        <v>1.5669999999999999</v>
      </c>
      <c r="P7" s="72">
        <f>N:N+O:O</f>
        <v>1.6659999999999999</v>
      </c>
      <c r="Q7" s="82">
        <f>(N7+O7)/K7</f>
        <v>2.1168996188055909</v>
      </c>
      <c r="R7" s="82">
        <f>M7/K7</f>
        <v>0.64803049555273184</v>
      </c>
      <c r="S7" s="82">
        <f>L7/K7</f>
        <v>0.66200762388818302</v>
      </c>
      <c r="T7" s="82">
        <f>O7/N7</f>
        <v>15.828282828282827</v>
      </c>
      <c r="U7" s="72">
        <v>0.215</v>
      </c>
      <c r="V7" s="72">
        <f>G7/U7</f>
        <v>16.776744186046514</v>
      </c>
      <c r="W7" s="73" t="s">
        <v>75</v>
      </c>
      <c r="X7" s="73" t="s">
        <v>75</v>
      </c>
      <c r="Y7" s="73" t="s">
        <v>75</v>
      </c>
      <c r="Z7" s="73" t="s">
        <v>75</v>
      </c>
      <c r="AA7" s="73" t="s">
        <v>75</v>
      </c>
      <c r="AB7" s="73" t="s">
        <v>75</v>
      </c>
      <c r="AC7" s="73" t="s">
        <v>75</v>
      </c>
      <c r="AD7" s="73" t="s">
        <v>75</v>
      </c>
      <c r="AE7" s="73" t="s">
        <v>75</v>
      </c>
      <c r="AF7" s="73" t="s">
        <v>75</v>
      </c>
      <c r="AG7" s="73" t="s">
        <v>75</v>
      </c>
      <c r="AH7" s="73" t="s">
        <v>75</v>
      </c>
      <c r="AI7" s="73" t="s">
        <v>75</v>
      </c>
      <c r="AJ7" s="73" t="s">
        <v>75</v>
      </c>
      <c r="AK7" s="73" t="s">
        <v>75</v>
      </c>
      <c r="AL7" s="73" t="s">
        <v>75</v>
      </c>
      <c r="AM7" s="73" t="s">
        <v>75</v>
      </c>
      <c r="AN7" s="73" t="s">
        <v>75</v>
      </c>
      <c r="AO7" s="73" t="s">
        <v>75</v>
      </c>
      <c r="AP7" s="72">
        <v>0.17299999999999999</v>
      </c>
      <c r="AQ7" s="72">
        <v>8.1000000000000003E-2</v>
      </c>
      <c r="AR7" s="72">
        <f>AP7/F7</f>
        <v>0.17474747474747473</v>
      </c>
      <c r="AS7" s="72">
        <f>AP7/AQ7</f>
        <v>2.1358024691358022</v>
      </c>
      <c r="AT7" s="72">
        <f>AP7/K7</f>
        <v>0.21982210927573059</v>
      </c>
      <c r="AU7" s="73" t="s">
        <v>75</v>
      </c>
      <c r="AV7" s="73" t="s">
        <v>75</v>
      </c>
      <c r="AW7" s="73" t="s">
        <v>75</v>
      </c>
      <c r="AX7" s="110" t="s">
        <v>75</v>
      </c>
      <c r="AY7" s="110" t="s">
        <v>75</v>
      </c>
      <c r="AZ7" s="84">
        <v>8</v>
      </c>
      <c r="BA7" s="251" t="s">
        <v>75</v>
      </c>
      <c r="BB7" s="251" t="s">
        <v>75</v>
      </c>
      <c r="BC7" s="256" t="s">
        <v>75</v>
      </c>
    </row>
    <row r="8" spans="2:55" ht="12.75" customHeight="1" x14ac:dyDescent="0.2">
      <c r="B8" s="289"/>
      <c r="C8" s="288"/>
      <c r="D8" s="288"/>
      <c r="E8" s="288"/>
      <c r="F8" s="72">
        <v>0.99</v>
      </c>
      <c r="G8" s="82">
        <f>I8+J8+K8+L8+M8+N8+O8</f>
        <v>3.2040000000000002</v>
      </c>
      <c r="H8" s="82">
        <f>G8/F8</f>
        <v>3.2363636363636368</v>
      </c>
      <c r="I8" s="72">
        <v>7.4999999999999997E-2</v>
      </c>
      <c r="J8" s="72">
        <v>0.04</v>
      </c>
      <c r="K8" s="72">
        <v>0.78100000000000003</v>
      </c>
      <c r="L8" s="72">
        <v>0.55000000000000004</v>
      </c>
      <c r="M8" s="72">
        <v>0.48699999999999999</v>
      </c>
      <c r="N8" s="72">
        <v>0.109</v>
      </c>
      <c r="O8" s="72">
        <v>1.1619999999999999</v>
      </c>
      <c r="P8" s="72">
        <f>N:N+O:O</f>
        <v>1.2709999999999999</v>
      </c>
      <c r="Q8" s="82">
        <f>(N8+O8)/K8</f>
        <v>1.6274007682458385</v>
      </c>
      <c r="R8" s="82">
        <f>M8/K8</f>
        <v>0.62355953905249673</v>
      </c>
      <c r="S8" s="82">
        <f>L8/K8</f>
        <v>0.70422535211267612</v>
      </c>
      <c r="T8" s="82">
        <f>O8/N8</f>
        <v>10.660550458715596</v>
      </c>
      <c r="U8" s="72">
        <v>0.215</v>
      </c>
      <c r="V8" s="72">
        <f>G8/U8</f>
        <v>14.902325581395351</v>
      </c>
      <c r="W8" s="73" t="s">
        <v>75</v>
      </c>
      <c r="X8" s="73" t="s">
        <v>75</v>
      </c>
      <c r="Y8" s="73" t="s">
        <v>75</v>
      </c>
      <c r="Z8" s="73" t="s">
        <v>75</v>
      </c>
      <c r="AA8" s="73" t="s">
        <v>75</v>
      </c>
      <c r="AB8" s="73" t="s">
        <v>75</v>
      </c>
      <c r="AC8" s="73" t="s">
        <v>75</v>
      </c>
      <c r="AD8" s="73" t="s">
        <v>75</v>
      </c>
      <c r="AE8" s="73" t="s">
        <v>75</v>
      </c>
      <c r="AF8" s="73" t="s">
        <v>75</v>
      </c>
      <c r="AG8" s="73" t="s">
        <v>75</v>
      </c>
      <c r="AH8" s="73" t="s">
        <v>75</v>
      </c>
      <c r="AI8" s="73" t="s">
        <v>75</v>
      </c>
      <c r="AJ8" s="73" t="s">
        <v>75</v>
      </c>
      <c r="AK8" s="73" t="s">
        <v>75</v>
      </c>
      <c r="AL8" s="73" t="s">
        <v>75</v>
      </c>
      <c r="AM8" s="73" t="s">
        <v>75</v>
      </c>
      <c r="AN8" s="73" t="s">
        <v>75</v>
      </c>
      <c r="AO8" s="73" t="s">
        <v>75</v>
      </c>
      <c r="AP8" s="72">
        <v>0.18</v>
      </c>
      <c r="AQ8" s="72">
        <v>0.09</v>
      </c>
      <c r="AR8" s="72">
        <f>AP8/F8</f>
        <v>0.18181818181818182</v>
      </c>
      <c r="AS8" s="72">
        <f>AP8/AQ8</f>
        <v>2</v>
      </c>
      <c r="AT8" s="72">
        <f>AP8/K8</f>
        <v>0.23047375160051214</v>
      </c>
      <c r="AU8" s="73" t="s">
        <v>75</v>
      </c>
      <c r="AV8" s="73" t="s">
        <v>75</v>
      </c>
      <c r="AW8" s="73" t="s">
        <v>75</v>
      </c>
      <c r="AX8" s="110" t="s">
        <v>75</v>
      </c>
      <c r="AY8" s="110" t="s">
        <v>75</v>
      </c>
      <c r="AZ8" s="84">
        <v>9</v>
      </c>
      <c r="BA8" s="251" t="s">
        <v>75</v>
      </c>
      <c r="BB8" s="251" t="s">
        <v>75</v>
      </c>
      <c r="BC8" s="256" t="s">
        <v>75</v>
      </c>
    </row>
    <row r="9" spans="2:55" ht="12.75" customHeight="1" x14ac:dyDescent="0.2">
      <c r="B9" s="282">
        <v>21844</v>
      </c>
      <c r="C9" s="283" t="s">
        <v>306</v>
      </c>
      <c r="D9" s="284" t="s">
        <v>237</v>
      </c>
      <c r="E9" s="284" t="s">
        <v>305</v>
      </c>
      <c r="F9" s="80">
        <f>1.04+0.76</f>
        <v>1.8</v>
      </c>
      <c r="G9" s="114" t="s">
        <v>75</v>
      </c>
      <c r="H9" s="114" t="s">
        <v>75</v>
      </c>
      <c r="I9" s="80">
        <v>0.107</v>
      </c>
      <c r="J9" s="80">
        <v>5.3999999999999999E-2</v>
      </c>
      <c r="K9" s="80">
        <v>0.86</v>
      </c>
      <c r="L9" s="80">
        <v>0.63</v>
      </c>
      <c r="M9" s="80">
        <v>0.69</v>
      </c>
      <c r="N9" s="80">
        <v>0.125</v>
      </c>
      <c r="O9" s="114" t="s">
        <v>75</v>
      </c>
      <c r="P9" s="79" t="s">
        <v>75</v>
      </c>
      <c r="Q9" s="114" t="s">
        <v>75</v>
      </c>
      <c r="R9" s="80">
        <f t="shared" si="0"/>
        <v>0.80232558139534882</v>
      </c>
      <c r="S9" s="80">
        <f t="shared" si="1"/>
        <v>0.73255813953488369</v>
      </c>
      <c r="T9" s="114" t="s">
        <v>75</v>
      </c>
      <c r="U9" s="80">
        <v>0.28999999999999998</v>
      </c>
      <c r="V9" s="79" t="s">
        <v>75</v>
      </c>
      <c r="W9" s="80">
        <v>0.6</v>
      </c>
      <c r="X9" s="80">
        <v>9.1999999999999998E-2</v>
      </c>
      <c r="Y9" s="78">
        <f>W:W/X:X</f>
        <v>6.5217391304347823</v>
      </c>
      <c r="Z9" s="80">
        <v>0.44</v>
      </c>
      <c r="AA9" s="80">
        <v>0.59</v>
      </c>
      <c r="AB9" s="78">
        <f>AA9/F9</f>
        <v>0.32777777777777778</v>
      </c>
      <c r="AC9" s="80">
        <v>1.163</v>
      </c>
      <c r="AD9" s="78">
        <f t="shared" si="2"/>
        <v>0.64611111111111108</v>
      </c>
      <c r="AE9" s="80">
        <v>8.5999999999999993E-2</v>
      </c>
      <c r="AF9" s="78">
        <f t="shared" ref="AF9:AF29" si="13">AE:AE/K:K</f>
        <v>9.9999999999999992E-2</v>
      </c>
      <c r="AG9" s="79" t="s">
        <v>75</v>
      </c>
      <c r="AH9" s="78">
        <f t="shared" si="3"/>
        <v>0.68799999999999994</v>
      </c>
      <c r="AI9" s="114" t="s">
        <v>75</v>
      </c>
      <c r="AJ9" s="114" t="s">
        <v>75</v>
      </c>
      <c r="AK9" s="79" t="s">
        <v>75</v>
      </c>
      <c r="AL9" s="79" t="s">
        <v>75</v>
      </c>
      <c r="AM9" s="79" t="s">
        <v>75</v>
      </c>
      <c r="AN9" s="79" t="s">
        <v>75</v>
      </c>
      <c r="AO9" s="79" t="s">
        <v>75</v>
      </c>
      <c r="AP9" s="80">
        <v>0.21099999999999999</v>
      </c>
      <c r="AQ9" s="80">
        <v>0.111</v>
      </c>
      <c r="AR9" s="78">
        <f t="shared" si="4"/>
        <v>0.11722222222222221</v>
      </c>
      <c r="AS9" s="78">
        <f t="shared" si="5"/>
        <v>1.9009009009009008</v>
      </c>
      <c r="AT9" s="78">
        <f t="shared" si="6"/>
        <v>0.24534883720930231</v>
      </c>
      <c r="AU9" s="80">
        <v>8.5999999999999993E-2</v>
      </c>
      <c r="AV9" s="80">
        <v>0.11</v>
      </c>
      <c r="AW9" s="78">
        <f>AU9/AV9</f>
        <v>0.78181818181818175</v>
      </c>
      <c r="AX9" s="80">
        <f t="shared" si="7"/>
        <v>2.4534883720930232</v>
      </c>
      <c r="AY9" s="114" t="s">
        <v>75</v>
      </c>
      <c r="AZ9" s="180">
        <v>10</v>
      </c>
      <c r="BA9" s="252" t="s">
        <v>75</v>
      </c>
      <c r="BB9" s="252" t="s">
        <v>75</v>
      </c>
      <c r="BC9" s="257" t="s">
        <v>75</v>
      </c>
    </row>
    <row r="10" spans="2:55" ht="12.75" customHeight="1" x14ac:dyDescent="0.2">
      <c r="B10" s="285"/>
      <c r="C10" s="284"/>
      <c r="D10" s="284"/>
      <c r="E10" s="284"/>
      <c r="F10" s="80">
        <f>1.04+0.76</f>
        <v>1.8</v>
      </c>
      <c r="G10" s="80">
        <f t="shared" si="8"/>
        <v>3.5220000000000002</v>
      </c>
      <c r="H10" s="80">
        <f t="shared" si="9"/>
        <v>1.9566666666666668</v>
      </c>
      <c r="I10" s="80">
        <v>0.10100000000000001</v>
      </c>
      <c r="J10" s="80">
        <v>5.8999999999999997E-2</v>
      </c>
      <c r="K10" s="80">
        <v>0.89</v>
      </c>
      <c r="L10" s="80">
        <v>0.61</v>
      </c>
      <c r="M10" s="80">
        <v>0.71</v>
      </c>
      <c r="N10" s="80">
        <v>0.12</v>
      </c>
      <c r="O10" s="80">
        <v>1.032</v>
      </c>
      <c r="P10" s="78">
        <f t="shared" ref="P10:P15" si="14">N:N+O:O</f>
        <v>1.1520000000000001</v>
      </c>
      <c r="Q10" s="80">
        <f t="shared" si="10"/>
        <v>1.2943820224719103</v>
      </c>
      <c r="R10" s="80">
        <f t="shared" si="0"/>
        <v>0.797752808988764</v>
      </c>
      <c r="S10" s="80">
        <f t="shared" si="1"/>
        <v>0.6853932584269663</v>
      </c>
      <c r="T10" s="80">
        <f t="shared" si="11"/>
        <v>8.6000000000000014</v>
      </c>
      <c r="U10" s="80">
        <v>0.28999999999999998</v>
      </c>
      <c r="V10" s="78">
        <f t="shared" si="12"/>
        <v>12.144827586206898</v>
      </c>
      <c r="W10" s="114" t="s">
        <v>75</v>
      </c>
      <c r="X10" s="114" t="s">
        <v>75</v>
      </c>
      <c r="Y10" s="79" t="s">
        <v>75</v>
      </c>
      <c r="Z10" s="114" t="s">
        <v>75</v>
      </c>
      <c r="AA10" s="114" t="s">
        <v>75</v>
      </c>
      <c r="AB10" s="79" t="s">
        <v>75</v>
      </c>
      <c r="AC10" s="80">
        <v>1.115</v>
      </c>
      <c r="AD10" s="78">
        <f t="shared" si="2"/>
        <v>0.61944444444444446</v>
      </c>
      <c r="AE10" s="80">
        <v>9.2999999999999999E-2</v>
      </c>
      <c r="AF10" s="78">
        <f t="shared" si="13"/>
        <v>0.10449438202247191</v>
      </c>
      <c r="AG10" s="78">
        <f t="shared" ref="AG10:AG15" si="15">AE:AE/P:P</f>
        <v>8.0729166666666657E-2</v>
      </c>
      <c r="AH10" s="78">
        <f t="shared" si="3"/>
        <v>0.77500000000000002</v>
      </c>
      <c r="AI10" s="114" t="s">
        <v>75</v>
      </c>
      <c r="AJ10" s="114" t="s">
        <v>75</v>
      </c>
      <c r="AK10" s="79" t="s">
        <v>75</v>
      </c>
      <c r="AL10" s="79" t="s">
        <v>75</v>
      </c>
      <c r="AM10" s="79" t="s">
        <v>75</v>
      </c>
      <c r="AN10" s="79" t="s">
        <v>75</v>
      </c>
      <c r="AO10" s="79" t="s">
        <v>75</v>
      </c>
      <c r="AP10" s="80">
        <v>0.19700000000000001</v>
      </c>
      <c r="AQ10" s="80">
        <v>0.11700000000000001</v>
      </c>
      <c r="AR10" s="78">
        <f t="shared" si="4"/>
        <v>0.10944444444444444</v>
      </c>
      <c r="AS10" s="78">
        <f t="shared" si="5"/>
        <v>1.6837606837606838</v>
      </c>
      <c r="AT10" s="78">
        <f t="shared" si="6"/>
        <v>0.22134831460674159</v>
      </c>
      <c r="AU10" s="80">
        <v>8.5999999999999993E-2</v>
      </c>
      <c r="AV10" s="80">
        <v>0.11</v>
      </c>
      <c r="AW10" s="78">
        <f>AU10/AV10</f>
        <v>0.78181818181818175</v>
      </c>
      <c r="AX10" s="80">
        <f t="shared" si="7"/>
        <v>2.2906976744186047</v>
      </c>
      <c r="AY10" s="114" t="s">
        <v>75</v>
      </c>
      <c r="AZ10" s="180">
        <v>11</v>
      </c>
      <c r="BA10" s="252" t="s">
        <v>75</v>
      </c>
      <c r="BB10" s="252" t="s">
        <v>75</v>
      </c>
      <c r="BC10" s="257" t="s">
        <v>75</v>
      </c>
    </row>
    <row r="11" spans="2:55" ht="12.75" customHeight="1" x14ac:dyDescent="0.2">
      <c r="B11" s="286">
        <v>24325</v>
      </c>
      <c r="C11" s="287" t="s">
        <v>306</v>
      </c>
      <c r="D11" s="288" t="s">
        <v>156</v>
      </c>
      <c r="E11" s="288" t="s">
        <v>304</v>
      </c>
      <c r="F11" s="72">
        <v>1.2589999999999999</v>
      </c>
      <c r="G11" s="82">
        <f t="shared" si="8"/>
        <v>3.9390000000000001</v>
      </c>
      <c r="H11" s="82">
        <f t="shared" si="9"/>
        <v>3.1286735504368548</v>
      </c>
      <c r="I11" s="72">
        <v>0.108</v>
      </c>
      <c r="J11" s="72">
        <v>4.8000000000000001E-2</v>
      </c>
      <c r="K11" s="72">
        <v>0.81299999999999994</v>
      </c>
      <c r="L11" s="72">
        <v>0.55700000000000005</v>
      </c>
      <c r="M11" s="72">
        <v>0.55800000000000005</v>
      </c>
      <c r="N11" s="72">
        <v>0.123</v>
      </c>
      <c r="O11" s="72">
        <f>0.448+0.456+0.828</f>
        <v>1.732</v>
      </c>
      <c r="P11" s="72">
        <f t="shared" si="14"/>
        <v>1.855</v>
      </c>
      <c r="Q11" s="82">
        <f t="shared" si="10"/>
        <v>2.2816728167281672</v>
      </c>
      <c r="R11" s="82">
        <f t="shared" si="0"/>
        <v>0.68634686346863483</v>
      </c>
      <c r="S11" s="82">
        <f t="shared" si="1"/>
        <v>0.68511685116851184</v>
      </c>
      <c r="T11" s="82">
        <f t="shared" si="11"/>
        <v>14.081300813008131</v>
      </c>
      <c r="U11" s="72">
        <v>0.24299999999999999</v>
      </c>
      <c r="V11" s="72">
        <f t="shared" si="12"/>
        <v>16.209876543209877</v>
      </c>
      <c r="W11" s="72">
        <v>0.49099999999999999</v>
      </c>
      <c r="X11" s="72">
        <v>7.2999999999999995E-2</v>
      </c>
      <c r="Y11" s="72">
        <f>W:W/X:X</f>
        <v>6.7260273972602747</v>
      </c>
      <c r="Z11" s="72">
        <v>0.33100000000000002</v>
      </c>
      <c r="AA11" s="72">
        <v>0.439</v>
      </c>
      <c r="AB11" s="72">
        <f t="shared" ref="AB11:AB29" si="16">AA11/F11</f>
        <v>0.3486894360603654</v>
      </c>
      <c r="AC11" s="72">
        <v>0.97699999999999998</v>
      </c>
      <c r="AD11" s="72">
        <f t="shared" ref="AD11:AD29" si="17">AC11/F11</f>
        <v>0.77601270849880866</v>
      </c>
      <c r="AE11" s="72">
        <v>8.1000000000000003E-2</v>
      </c>
      <c r="AF11" s="72">
        <f t="shared" si="13"/>
        <v>9.963099630996311E-2</v>
      </c>
      <c r="AG11" s="72">
        <f t="shared" si="15"/>
        <v>4.366576819407008E-2</v>
      </c>
      <c r="AH11" s="72">
        <f t="shared" ref="AH11:AH29" si="18">AE11/N11</f>
        <v>0.65853658536585369</v>
      </c>
      <c r="AI11" s="72">
        <v>9.2999999999999999E-2</v>
      </c>
      <c r="AJ11" s="72">
        <v>5.6000000000000001E-2</v>
      </c>
      <c r="AK11" s="72">
        <f t="shared" ref="AK11:AK51" si="19">AI11/AJ11</f>
        <v>1.6607142857142856</v>
      </c>
      <c r="AL11" s="72">
        <f t="shared" ref="AL11:AL19" si="20">AI11/AE11</f>
        <v>1.1481481481481481</v>
      </c>
      <c r="AM11" s="72">
        <f t="shared" ref="AM11:AM19" si="21">AI11/N11</f>
        <v>0.75609756097560976</v>
      </c>
      <c r="AN11" s="72">
        <f t="shared" ref="AN11:AN20" si="22">AI:AI/K:K</f>
        <v>0.11439114391143912</v>
      </c>
      <c r="AO11" s="72">
        <f t="shared" ref="AO11:AO19" si="23">AI11/AP11</f>
        <v>0.53448275862068972</v>
      </c>
      <c r="AP11" s="72">
        <v>0.17399999999999999</v>
      </c>
      <c r="AQ11" s="72">
        <v>9.4E-2</v>
      </c>
      <c r="AR11" s="72">
        <f t="shared" si="4"/>
        <v>0.13820492454328834</v>
      </c>
      <c r="AS11" s="72">
        <f t="shared" si="5"/>
        <v>1.8510638297872339</v>
      </c>
      <c r="AT11" s="72">
        <f t="shared" si="6"/>
        <v>0.2140221402214022</v>
      </c>
      <c r="AU11" s="72">
        <v>9.0999999999999998E-2</v>
      </c>
      <c r="AV11" s="72">
        <v>0.104</v>
      </c>
      <c r="AW11" s="72">
        <f>AU11/AV11</f>
        <v>0.875</v>
      </c>
      <c r="AX11" s="82">
        <f t="shared" ref="AX11:AX18" si="24">AP11/AU11</f>
        <v>1.912087912087912</v>
      </c>
      <c r="AY11" s="110" t="s">
        <v>75</v>
      </c>
      <c r="AZ11" s="84">
        <v>11</v>
      </c>
      <c r="BA11" s="251" t="s">
        <v>75</v>
      </c>
      <c r="BB11" s="251" t="s">
        <v>75</v>
      </c>
      <c r="BC11" s="256" t="s">
        <v>75</v>
      </c>
    </row>
    <row r="12" spans="2:55" ht="12.75" customHeight="1" x14ac:dyDescent="0.2">
      <c r="B12" s="289"/>
      <c r="C12" s="288"/>
      <c r="D12" s="288"/>
      <c r="E12" s="288"/>
      <c r="F12" s="72">
        <v>1.2589999999999999</v>
      </c>
      <c r="G12" s="82">
        <f t="shared" si="8"/>
        <v>3.4589999999999996</v>
      </c>
      <c r="H12" s="82">
        <f t="shared" si="9"/>
        <v>2.7474185861795073</v>
      </c>
      <c r="I12" s="72">
        <v>0.107</v>
      </c>
      <c r="J12" s="72">
        <v>5.1999999999999998E-2</v>
      </c>
      <c r="K12" s="72">
        <v>0.80500000000000005</v>
      </c>
      <c r="L12" s="72">
        <v>0.54500000000000004</v>
      </c>
      <c r="M12" s="72">
        <v>0.60399999999999998</v>
      </c>
      <c r="N12" s="72">
        <v>0.11</v>
      </c>
      <c r="O12" s="72">
        <v>1.236</v>
      </c>
      <c r="P12" s="72">
        <f t="shared" si="14"/>
        <v>1.3460000000000001</v>
      </c>
      <c r="Q12" s="82">
        <f t="shared" si="10"/>
        <v>1.6720496894409937</v>
      </c>
      <c r="R12" s="82">
        <f t="shared" si="0"/>
        <v>0.75031055900621113</v>
      </c>
      <c r="S12" s="82">
        <f t="shared" si="1"/>
        <v>0.67701863354037273</v>
      </c>
      <c r="T12" s="82">
        <f t="shared" si="11"/>
        <v>11.236363636363636</v>
      </c>
      <c r="U12" s="72">
        <v>0.24299999999999999</v>
      </c>
      <c r="V12" s="72">
        <f t="shared" si="12"/>
        <v>14.234567901234566</v>
      </c>
      <c r="W12" s="72">
        <v>0.504</v>
      </c>
      <c r="X12" s="72">
        <v>6.9000000000000006E-2</v>
      </c>
      <c r="Y12" s="72">
        <f>W:W/X:X</f>
        <v>7.3043478260869561</v>
      </c>
      <c r="Z12" s="73" t="s">
        <v>75</v>
      </c>
      <c r="AA12" s="72">
        <v>0.439</v>
      </c>
      <c r="AB12" s="72">
        <f t="shared" si="16"/>
        <v>0.3486894360603654</v>
      </c>
      <c r="AC12" s="72">
        <v>0.96099999999999997</v>
      </c>
      <c r="AD12" s="72">
        <f t="shared" si="17"/>
        <v>0.76330420969023038</v>
      </c>
      <c r="AE12" s="72">
        <v>8.8999999999999996E-2</v>
      </c>
      <c r="AF12" s="72">
        <f t="shared" si="13"/>
        <v>0.11055900621118012</v>
      </c>
      <c r="AG12" s="72">
        <f t="shared" si="15"/>
        <v>6.6121842496285277E-2</v>
      </c>
      <c r="AH12" s="72">
        <f t="shared" si="18"/>
        <v>0.80909090909090908</v>
      </c>
      <c r="AI12" s="72">
        <v>9.2999999999999999E-2</v>
      </c>
      <c r="AJ12" s="72">
        <v>5.6000000000000001E-2</v>
      </c>
      <c r="AK12" s="72">
        <f t="shared" si="19"/>
        <v>1.6607142857142856</v>
      </c>
      <c r="AL12" s="72">
        <f t="shared" si="20"/>
        <v>1.0449438202247192</v>
      </c>
      <c r="AM12" s="72">
        <f t="shared" si="21"/>
        <v>0.84545454545454546</v>
      </c>
      <c r="AN12" s="72">
        <f t="shared" si="22"/>
        <v>0.115527950310559</v>
      </c>
      <c r="AO12" s="72">
        <f t="shared" si="23"/>
        <v>0.59235668789808915</v>
      </c>
      <c r="AP12" s="72">
        <v>0.157</v>
      </c>
      <c r="AQ12" s="72">
        <v>7.4999999999999997E-2</v>
      </c>
      <c r="AR12" s="72">
        <f t="shared" si="4"/>
        <v>0.12470214455917396</v>
      </c>
      <c r="AS12" s="72">
        <f t="shared" si="5"/>
        <v>2.0933333333333333</v>
      </c>
      <c r="AT12" s="72">
        <f t="shared" si="6"/>
        <v>0.19503105590062111</v>
      </c>
      <c r="AU12" s="72">
        <v>9.0999999999999998E-2</v>
      </c>
      <c r="AV12" s="72">
        <v>0.104</v>
      </c>
      <c r="AW12" s="72">
        <f>AU12/AV12</f>
        <v>0.875</v>
      </c>
      <c r="AX12" s="82">
        <f t="shared" si="24"/>
        <v>1.7252747252747254</v>
      </c>
      <c r="AY12" s="110" t="s">
        <v>75</v>
      </c>
      <c r="AZ12" s="225" t="s">
        <v>75</v>
      </c>
      <c r="BA12" s="251" t="s">
        <v>75</v>
      </c>
      <c r="BB12" s="251" t="s">
        <v>75</v>
      </c>
      <c r="BC12" s="256" t="s">
        <v>75</v>
      </c>
    </row>
    <row r="13" spans="2:55" ht="12.75" customHeight="1" x14ac:dyDescent="0.2">
      <c r="B13" s="282">
        <v>24325</v>
      </c>
      <c r="C13" s="283" t="s">
        <v>306</v>
      </c>
      <c r="D13" s="284" t="s">
        <v>156</v>
      </c>
      <c r="E13" s="284" t="s">
        <v>304</v>
      </c>
      <c r="F13" s="78">
        <v>1.391</v>
      </c>
      <c r="G13" s="80">
        <f t="shared" si="8"/>
        <v>4.1920000000000002</v>
      </c>
      <c r="H13" s="80">
        <f t="shared" si="9"/>
        <v>3.0136592379583034</v>
      </c>
      <c r="I13" s="78">
        <v>0.104</v>
      </c>
      <c r="J13" s="78">
        <v>5.3999999999999999E-2</v>
      </c>
      <c r="K13" s="78">
        <v>0.77500000000000002</v>
      </c>
      <c r="L13" s="78">
        <v>0.52800000000000002</v>
      </c>
      <c r="M13" s="78">
        <v>0.623</v>
      </c>
      <c r="N13" s="78">
        <v>0.13</v>
      </c>
      <c r="O13" s="78">
        <v>1.978</v>
      </c>
      <c r="P13" s="78">
        <f t="shared" si="14"/>
        <v>2.1080000000000001</v>
      </c>
      <c r="Q13" s="80">
        <f t="shared" si="10"/>
        <v>2.72</v>
      </c>
      <c r="R13" s="80">
        <f t="shared" si="0"/>
        <v>0.80387096774193545</v>
      </c>
      <c r="S13" s="80">
        <f t="shared" si="1"/>
        <v>0.68129032258064515</v>
      </c>
      <c r="T13" s="80">
        <f t="shared" si="11"/>
        <v>15.215384615384615</v>
      </c>
      <c r="U13" s="78">
        <v>0.26700000000000002</v>
      </c>
      <c r="V13" s="78">
        <f t="shared" si="12"/>
        <v>15.700374531835205</v>
      </c>
      <c r="W13" s="78">
        <v>0.50900000000000001</v>
      </c>
      <c r="X13" s="78">
        <v>6.4000000000000001E-2</v>
      </c>
      <c r="Y13" s="78">
        <f>W:W/X:X</f>
        <v>7.953125</v>
      </c>
      <c r="Z13" s="78">
        <v>0.312</v>
      </c>
      <c r="AA13" s="78">
        <v>0.44400000000000001</v>
      </c>
      <c r="AB13" s="78">
        <f t="shared" si="16"/>
        <v>0.31919482386772108</v>
      </c>
      <c r="AC13" s="78">
        <v>1.0289999999999999</v>
      </c>
      <c r="AD13" s="78">
        <f t="shared" si="17"/>
        <v>0.73975557153127236</v>
      </c>
      <c r="AE13" s="78">
        <v>8.7999999999999995E-2</v>
      </c>
      <c r="AF13" s="78">
        <f t="shared" si="13"/>
        <v>0.11354838709677419</v>
      </c>
      <c r="AG13" s="78">
        <f t="shared" si="15"/>
        <v>4.1745730550284625E-2</v>
      </c>
      <c r="AH13" s="78">
        <f t="shared" si="18"/>
        <v>0.67692307692307685</v>
      </c>
      <c r="AI13" s="78">
        <v>8.6999999999999994E-2</v>
      </c>
      <c r="AJ13" s="78">
        <v>5.2999999999999999E-2</v>
      </c>
      <c r="AK13" s="78">
        <f t="shared" si="19"/>
        <v>1.641509433962264</v>
      </c>
      <c r="AL13" s="78">
        <f t="shared" si="20"/>
        <v>0.98863636363636365</v>
      </c>
      <c r="AM13" s="78">
        <f t="shared" si="21"/>
        <v>0.66923076923076918</v>
      </c>
      <c r="AN13" s="78">
        <f t="shared" si="22"/>
        <v>0.11225806451612902</v>
      </c>
      <c r="AO13" s="78">
        <f t="shared" si="23"/>
        <v>0.54037267080745333</v>
      </c>
      <c r="AP13" s="78">
        <v>0.161</v>
      </c>
      <c r="AQ13" s="78">
        <v>8.5999999999999993E-2</v>
      </c>
      <c r="AR13" s="78">
        <f t="shared" si="4"/>
        <v>0.11574406901509705</v>
      </c>
      <c r="AS13" s="78">
        <f t="shared" si="5"/>
        <v>1.8720930232558142</v>
      </c>
      <c r="AT13" s="78">
        <f t="shared" si="6"/>
        <v>0.20774193548387096</v>
      </c>
      <c r="AU13" s="78">
        <v>9.4E-2</v>
      </c>
      <c r="AV13" s="79" t="s">
        <v>75</v>
      </c>
      <c r="AW13" s="79" t="s">
        <v>75</v>
      </c>
      <c r="AX13" s="80">
        <f t="shared" si="24"/>
        <v>1.7127659574468086</v>
      </c>
      <c r="AY13" s="114" t="s">
        <v>75</v>
      </c>
      <c r="AZ13" s="87">
        <v>9</v>
      </c>
      <c r="BA13" s="252" t="s">
        <v>75</v>
      </c>
      <c r="BB13" s="252" t="s">
        <v>75</v>
      </c>
      <c r="BC13" s="257" t="s">
        <v>75</v>
      </c>
    </row>
    <row r="14" spans="2:55" ht="12.75" customHeight="1" x14ac:dyDescent="0.2">
      <c r="B14" s="285"/>
      <c r="C14" s="284"/>
      <c r="D14" s="284"/>
      <c r="E14" s="284"/>
      <c r="F14" s="78">
        <v>1.391</v>
      </c>
      <c r="G14" s="80">
        <f t="shared" si="8"/>
        <v>4.18</v>
      </c>
      <c r="H14" s="80">
        <f t="shared" si="9"/>
        <v>3.0050323508267431</v>
      </c>
      <c r="I14" s="78">
        <v>9.7000000000000003E-2</v>
      </c>
      <c r="J14" s="78">
        <v>5.3999999999999999E-2</v>
      </c>
      <c r="K14" s="78">
        <v>0.79</v>
      </c>
      <c r="L14" s="78">
        <v>0.53900000000000003</v>
      </c>
      <c r="M14" s="78">
        <v>0.629</v>
      </c>
      <c r="N14" s="78">
        <v>0.121</v>
      </c>
      <c r="O14" s="78">
        <f>1.235+0.715</f>
        <v>1.9500000000000002</v>
      </c>
      <c r="P14" s="78">
        <f t="shared" si="14"/>
        <v>2.0710000000000002</v>
      </c>
      <c r="Q14" s="80">
        <f t="shared" si="10"/>
        <v>2.6215189873417724</v>
      </c>
      <c r="R14" s="80">
        <f t="shared" si="0"/>
        <v>0.79620253164556964</v>
      </c>
      <c r="S14" s="80">
        <f t="shared" si="1"/>
        <v>0.6822784810126582</v>
      </c>
      <c r="T14" s="80">
        <f t="shared" si="11"/>
        <v>16.115702479338847</v>
      </c>
      <c r="U14" s="78">
        <v>0.26700000000000002</v>
      </c>
      <c r="V14" s="78">
        <f t="shared" si="12"/>
        <v>15.655430711610485</v>
      </c>
      <c r="W14" s="79" t="s">
        <v>75</v>
      </c>
      <c r="X14" s="79" t="s">
        <v>75</v>
      </c>
      <c r="Y14" s="79" t="s">
        <v>75</v>
      </c>
      <c r="Z14" s="79" t="s">
        <v>75</v>
      </c>
      <c r="AA14" s="78">
        <v>0.47</v>
      </c>
      <c r="AB14" s="78">
        <f t="shared" si="16"/>
        <v>0.33788641265276775</v>
      </c>
      <c r="AC14" s="78">
        <v>1.0389999999999999</v>
      </c>
      <c r="AD14" s="78">
        <f t="shared" si="17"/>
        <v>0.74694464414090578</v>
      </c>
      <c r="AE14" s="78">
        <v>7.9000000000000001E-2</v>
      </c>
      <c r="AF14" s="78">
        <f t="shared" si="13"/>
        <v>9.9999999999999992E-2</v>
      </c>
      <c r="AG14" s="78">
        <f t="shared" si="15"/>
        <v>3.8145823273780778E-2</v>
      </c>
      <c r="AH14" s="78">
        <f t="shared" si="18"/>
        <v>0.65289256198347112</v>
      </c>
      <c r="AI14" s="78">
        <v>8.6999999999999994E-2</v>
      </c>
      <c r="AJ14" s="78">
        <v>5.2999999999999999E-2</v>
      </c>
      <c r="AK14" s="78">
        <f t="shared" si="19"/>
        <v>1.641509433962264</v>
      </c>
      <c r="AL14" s="78">
        <f t="shared" si="20"/>
        <v>1.10126582278481</v>
      </c>
      <c r="AM14" s="78">
        <f t="shared" si="21"/>
        <v>0.71900826446280985</v>
      </c>
      <c r="AN14" s="78">
        <f t="shared" si="22"/>
        <v>0.110126582278481</v>
      </c>
      <c r="AO14" s="78">
        <f t="shared" si="23"/>
        <v>0.52727272727272723</v>
      </c>
      <c r="AP14" s="78">
        <v>0.16500000000000001</v>
      </c>
      <c r="AQ14" s="78">
        <v>7.6999999999999999E-2</v>
      </c>
      <c r="AR14" s="78">
        <f t="shared" si="4"/>
        <v>0.1186196980589504</v>
      </c>
      <c r="AS14" s="78">
        <f t="shared" si="5"/>
        <v>2.1428571428571428</v>
      </c>
      <c r="AT14" s="78">
        <f t="shared" si="6"/>
        <v>0.20886075949367089</v>
      </c>
      <c r="AU14" s="78">
        <v>9.4E-2</v>
      </c>
      <c r="AV14" s="79" t="s">
        <v>75</v>
      </c>
      <c r="AW14" s="79" t="s">
        <v>75</v>
      </c>
      <c r="AX14" s="80">
        <f t="shared" si="24"/>
        <v>1.7553191489361704</v>
      </c>
      <c r="AY14" s="114" t="s">
        <v>75</v>
      </c>
      <c r="AZ14" s="87">
        <v>10</v>
      </c>
      <c r="BA14" s="252" t="s">
        <v>75</v>
      </c>
      <c r="BB14" s="252" t="s">
        <v>75</v>
      </c>
      <c r="BC14" s="257" t="s">
        <v>75</v>
      </c>
    </row>
    <row r="15" spans="2:55" ht="12.75" customHeight="1" x14ac:dyDescent="0.2">
      <c r="B15" s="286">
        <v>24325</v>
      </c>
      <c r="C15" s="287" t="s">
        <v>306</v>
      </c>
      <c r="D15" s="288" t="s">
        <v>156</v>
      </c>
      <c r="E15" s="288" t="s">
        <v>304</v>
      </c>
      <c r="F15" s="72">
        <v>1.375</v>
      </c>
      <c r="G15" s="82">
        <f t="shared" si="8"/>
        <v>3.698</v>
      </c>
      <c r="H15" s="82">
        <f t="shared" si="9"/>
        <v>2.6894545454545455</v>
      </c>
      <c r="I15" s="72">
        <v>9.6000000000000002E-2</v>
      </c>
      <c r="J15" s="72">
        <v>5.6000000000000001E-2</v>
      </c>
      <c r="K15" s="72">
        <v>0.77400000000000002</v>
      </c>
      <c r="L15" s="72">
        <v>0.504</v>
      </c>
      <c r="M15" s="72">
        <v>0.51400000000000001</v>
      </c>
      <c r="N15" s="72">
        <v>0.104</v>
      </c>
      <c r="O15" s="72">
        <v>1.65</v>
      </c>
      <c r="P15" s="72">
        <f t="shared" si="14"/>
        <v>1.754</v>
      </c>
      <c r="Q15" s="82">
        <f t="shared" si="10"/>
        <v>2.2661498708010335</v>
      </c>
      <c r="R15" s="82">
        <f t="shared" si="0"/>
        <v>0.66408268733850129</v>
      </c>
      <c r="S15" s="82">
        <f t="shared" si="1"/>
        <v>0.65116279069767435</v>
      </c>
      <c r="T15" s="82">
        <f t="shared" si="11"/>
        <v>15.865384615384615</v>
      </c>
      <c r="U15" s="72">
        <v>0.24199999999999999</v>
      </c>
      <c r="V15" s="72">
        <f t="shared" si="12"/>
        <v>15.28099173553719</v>
      </c>
      <c r="W15" s="72">
        <v>0.47299999999999998</v>
      </c>
      <c r="X15" s="72">
        <v>6.5000000000000002E-2</v>
      </c>
      <c r="Y15" s="72">
        <f>W:W/X:X</f>
        <v>7.2769230769230759</v>
      </c>
      <c r="Z15" s="72">
        <v>0.315</v>
      </c>
      <c r="AA15" s="72">
        <v>0.41899999999999998</v>
      </c>
      <c r="AB15" s="72">
        <f t="shared" si="16"/>
        <v>0.30472727272727274</v>
      </c>
      <c r="AC15" s="72">
        <v>0.82799999999999996</v>
      </c>
      <c r="AD15" s="72">
        <f t="shared" si="17"/>
        <v>0.60218181818181815</v>
      </c>
      <c r="AE15" s="72">
        <v>8.5000000000000006E-2</v>
      </c>
      <c r="AF15" s="72">
        <f t="shared" si="13"/>
        <v>0.10981912144702843</v>
      </c>
      <c r="AG15" s="72">
        <f t="shared" si="15"/>
        <v>4.8460661345496016E-2</v>
      </c>
      <c r="AH15" s="72">
        <f t="shared" si="18"/>
        <v>0.8173076923076924</v>
      </c>
      <c r="AI15" s="72">
        <v>8.8999999999999996E-2</v>
      </c>
      <c r="AJ15" s="72">
        <v>5.7000000000000002E-2</v>
      </c>
      <c r="AK15" s="72">
        <f t="shared" si="19"/>
        <v>1.5614035087719298</v>
      </c>
      <c r="AL15" s="72">
        <f t="shared" si="20"/>
        <v>1.0470588235294116</v>
      </c>
      <c r="AM15" s="72">
        <f t="shared" si="21"/>
        <v>0.85576923076923073</v>
      </c>
      <c r="AN15" s="72">
        <f t="shared" si="22"/>
        <v>0.11498708010335916</v>
      </c>
      <c r="AO15" s="72">
        <f t="shared" si="23"/>
        <v>0.59731543624161076</v>
      </c>
      <c r="AP15" s="72">
        <v>0.14899999999999999</v>
      </c>
      <c r="AQ15" s="72">
        <v>7.1999999999999995E-2</v>
      </c>
      <c r="AR15" s="72">
        <f t="shared" si="4"/>
        <v>0.10836363636363636</v>
      </c>
      <c r="AS15" s="72">
        <f t="shared" si="5"/>
        <v>2.0694444444444446</v>
      </c>
      <c r="AT15" s="72">
        <f t="shared" si="6"/>
        <v>0.19250645994832041</v>
      </c>
      <c r="AU15" s="72">
        <v>0.107</v>
      </c>
      <c r="AV15" s="72">
        <v>0.112</v>
      </c>
      <c r="AW15" s="72">
        <f>AU15/AV15</f>
        <v>0.95535714285714279</v>
      </c>
      <c r="AX15" s="82">
        <f t="shared" si="24"/>
        <v>1.3925233644859814</v>
      </c>
      <c r="AY15" s="110" t="s">
        <v>75</v>
      </c>
      <c r="AZ15" s="84">
        <v>7</v>
      </c>
      <c r="BA15" s="251" t="s">
        <v>75</v>
      </c>
      <c r="BB15" s="251" t="s">
        <v>75</v>
      </c>
      <c r="BC15" s="256" t="s">
        <v>75</v>
      </c>
    </row>
    <row r="16" spans="2:55" ht="12.75" customHeight="1" x14ac:dyDescent="0.2">
      <c r="B16" s="289"/>
      <c r="C16" s="288"/>
      <c r="D16" s="288"/>
      <c r="E16" s="288"/>
      <c r="F16" s="72">
        <v>1.375</v>
      </c>
      <c r="G16" s="110" t="s">
        <v>75</v>
      </c>
      <c r="H16" s="110" t="s">
        <v>75</v>
      </c>
      <c r="I16" s="72">
        <v>9.6000000000000002E-2</v>
      </c>
      <c r="J16" s="72">
        <v>5.7000000000000002E-2</v>
      </c>
      <c r="K16" s="72">
        <v>0.73299999999999998</v>
      </c>
      <c r="L16" s="72">
        <v>0.503</v>
      </c>
      <c r="M16" s="72">
        <v>0.51300000000000001</v>
      </c>
      <c r="N16" s="72">
        <v>0.109</v>
      </c>
      <c r="O16" s="73" t="s">
        <v>75</v>
      </c>
      <c r="P16" s="73" t="s">
        <v>75</v>
      </c>
      <c r="Q16" s="110" t="s">
        <v>75</v>
      </c>
      <c r="R16" s="82">
        <f t="shared" si="0"/>
        <v>0.69986357435197821</v>
      </c>
      <c r="S16" s="82">
        <f t="shared" si="1"/>
        <v>0.68622100954979537</v>
      </c>
      <c r="T16" s="110" t="s">
        <v>75</v>
      </c>
      <c r="U16" s="72">
        <v>0.24199999999999999</v>
      </c>
      <c r="V16" s="73" t="s">
        <v>75</v>
      </c>
      <c r="W16" s="72">
        <v>0.47499999999999998</v>
      </c>
      <c r="X16" s="72">
        <v>7.2999999999999995E-2</v>
      </c>
      <c r="Y16" s="72">
        <f>W:W/X:X</f>
        <v>6.506849315068493</v>
      </c>
      <c r="Z16" s="73" t="s">
        <v>75</v>
      </c>
      <c r="AA16" s="72">
        <v>0.439</v>
      </c>
      <c r="AB16" s="72">
        <f t="shared" si="16"/>
        <v>0.31927272727272726</v>
      </c>
      <c r="AC16" s="72">
        <v>0.82299999999999995</v>
      </c>
      <c r="AD16" s="72">
        <f t="shared" si="17"/>
        <v>0.59854545454545449</v>
      </c>
      <c r="AE16" s="72">
        <v>9.0999999999999998E-2</v>
      </c>
      <c r="AF16" s="72">
        <f t="shared" si="13"/>
        <v>0.12414733969986358</v>
      </c>
      <c r="AG16" s="73" t="s">
        <v>75</v>
      </c>
      <c r="AH16" s="72">
        <f t="shared" si="18"/>
        <v>0.83486238532110091</v>
      </c>
      <c r="AI16" s="72">
        <v>8.8999999999999996E-2</v>
      </c>
      <c r="AJ16" s="72">
        <v>5.7000000000000002E-2</v>
      </c>
      <c r="AK16" s="72">
        <f t="shared" si="19"/>
        <v>1.5614035087719298</v>
      </c>
      <c r="AL16" s="72">
        <f t="shared" si="20"/>
        <v>0.97802197802197799</v>
      </c>
      <c r="AM16" s="72">
        <f t="shared" si="21"/>
        <v>0.8165137614678899</v>
      </c>
      <c r="AN16" s="72">
        <f t="shared" si="22"/>
        <v>0.12141882673942701</v>
      </c>
      <c r="AO16" s="72">
        <f t="shared" si="23"/>
        <v>0.59731543624161076</v>
      </c>
      <c r="AP16" s="72">
        <v>0.14899999999999999</v>
      </c>
      <c r="AQ16" s="72">
        <v>8.4000000000000005E-2</v>
      </c>
      <c r="AR16" s="72">
        <f t="shared" si="4"/>
        <v>0.10836363636363636</v>
      </c>
      <c r="AS16" s="72">
        <f t="shared" si="5"/>
        <v>1.7738095238095237</v>
      </c>
      <c r="AT16" s="72">
        <f t="shared" si="6"/>
        <v>0.20327421555252387</v>
      </c>
      <c r="AU16" s="72">
        <v>0.107</v>
      </c>
      <c r="AV16" s="72">
        <v>0.112</v>
      </c>
      <c r="AW16" s="72">
        <f>AU16/AV16</f>
        <v>0.95535714285714279</v>
      </c>
      <c r="AX16" s="82">
        <f t="shared" si="24"/>
        <v>1.3925233644859814</v>
      </c>
      <c r="AY16" s="110" t="s">
        <v>75</v>
      </c>
      <c r="AZ16" s="84">
        <v>8</v>
      </c>
      <c r="BA16" s="251" t="s">
        <v>75</v>
      </c>
      <c r="BB16" s="251" t="s">
        <v>75</v>
      </c>
      <c r="BC16" s="256" t="s">
        <v>75</v>
      </c>
    </row>
    <row r="17" spans="2:55" ht="12.75" customHeight="1" x14ac:dyDescent="0.2">
      <c r="B17" s="282">
        <v>24325</v>
      </c>
      <c r="C17" s="283" t="s">
        <v>306</v>
      </c>
      <c r="D17" s="284" t="s">
        <v>156</v>
      </c>
      <c r="E17" s="284" t="s">
        <v>304</v>
      </c>
      <c r="F17" s="78">
        <v>1.631</v>
      </c>
      <c r="G17" s="80">
        <f t="shared" ref="G17:G18" si="25">I17+J17+K17+L17+M17+N17+O17</f>
        <v>3.2309999999999999</v>
      </c>
      <c r="H17" s="80">
        <f t="shared" ref="H17:H18" si="26">G17/F17</f>
        <v>1.9809932556713672</v>
      </c>
      <c r="I17" s="78">
        <v>0.108</v>
      </c>
      <c r="J17" s="78">
        <v>5.6000000000000001E-2</v>
      </c>
      <c r="K17" s="78">
        <v>0.86299999999999999</v>
      </c>
      <c r="L17" s="78">
        <v>0.55200000000000005</v>
      </c>
      <c r="M17" s="78">
        <v>0.627</v>
      </c>
      <c r="N17" s="78">
        <v>0.125</v>
      </c>
      <c r="O17" s="78">
        <v>0.9</v>
      </c>
      <c r="P17" s="78">
        <f>N:N+O:O</f>
        <v>1.0249999999999999</v>
      </c>
      <c r="Q17" s="80">
        <f t="shared" si="10"/>
        <v>1.1877172653534183</v>
      </c>
      <c r="R17" s="80">
        <f t="shared" si="0"/>
        <v>0.72653534183082269</v>
      </c>
      <c r="S17" s="80">
        <f t="shared" si="1"/>
        <v>0.63962920046349947</v>
      </c>
      <c r="T17" s="80">
        <f t="shared" si="11"/>
        <v>7.2</v>
      </c>
      <c r="U17" s="78">
        <v>0.26500000000000001</v>
      </c>
      <c r="V17" s="78">
        <f t="shared" si="12"/>
        <v>12.192452830188678</v>
      </c>
      <c r="W17" s="78">
        <v>0.54400000000000004</v>
      </c>
      <c r="X17" s="78">
        <v>7.0999999999999994E-2</v>
      </c>
      <c r="Y17" s="78">
        <f>W:W/X:X</f>
        <v>7.6619718309859168</v>
      </c>
      <c r="Z17" s="78">
        <v>0.34599999999999997</v>
      </c>
      <c r="AA17" s="78">
        <v>0.48499999999999999</v>
      </c>
      <c r="AB17" s="78">
        <f t="shared" si="16"/>
        <v>0.29736358062538321</v>
      </c>
      <c r="AC17" s="78">
        <v>1.0900000000000001</v>
      </c>
      <c r="AD17" s="78">
        <f t="shared" si="17"/>
        <v>0.66830165542611897</v>
      </c>
      <c r="AE17" s="78">
        <v>8.8999999999999996E-2</v>
      </c>
      <c r="AF17" s="78">
        <f t="shared" si="13"/>
        <v>0.10312862108922363</v>
      </c>
      <c r="AG17" s="78">
        <f>AE:AE/P:P</f>
        <v>8.6829268292682935E-2</v>
      </c>
      <c r="AH17" s="78">
        <f t="shared" si="18"/>
        <v>0.71199999999999997</v>
      </c>
      <c r="AI17" s="78">
        <v>9.2999999999999999E-2</v>
      </c>
      <c r="AJ17" s="78">
        <v>6.0999999999999999E-2</v>
      </c>
      <c r="AK17" s="78">
        <f t="shared" si="19"/>
        <v>1.5245901639344261</v>
      </c>
      <c r="AL17" s="78">
        <f t="shared" si="20"/>
        <v>1.0449438202247192</v>
      </c>
      <c r="AM17" s="78">
        <f t="shared" si="21"/>
        <v>0.74399999999999999</v>
      </c>
      <c r="AN17" s="78">
        <f t="shared" si="22"/>
        <v>0.10776361529548088</v>
      </c>
      <c r="AO17" s="78">
        <f t="shared" si="23"/>
        <v>0.64137931034482765</v>
      </c>
      <c r="AP17" s="78">
        <v>0.14499999999999999</v>
      </c>
      <c r="AQ17" s="78">
        <v>9.7000000000000003E-2</v>
      </c>
      <c r="AR17" s="78">
        <f t="shared" si="4"/>
        <v>8.8902513795217658E-2</v>
      </c>
      <c r="AS17" s="78">
        <f t="shared" si="5"/>
        <v>1.4948453608247421</v>
      </c>
      <c r="AT17" s="78">
        <f t="shared" si="6"/>
        <v>0.16801853997682503</v>
      </c>
      <c r="AU17" s="78">
        <v>9.5000000000000001E-2</v>
      </c>
      <c r="AV17" s="78">
        <v>0.122</v>
      </c>
      <c r="AW17" s="78">
        <f>AU17/AV17</f>
        <v>0.77868852459016391</v>
      </c>
      <c r="AX17" s="80">
        <f t="shared" si="24"/>
        <v>1.5263157894736841</v>
      </c>
      <c r="AY17" s="114" t="s">
        <v>75</v>
      </c>
      <c r="AZ17" s="87">
        <v>9</v>
      </c>
      <c r="BA17" s="252" t="s">
        <v>75</v>
      </c>
      <c r="BB17" s="252" t="s">
        <v>75</v>
      </c>
      <c r="BC17" s="257" t="s">
        <v>75</v>
      </c>
    </row>
    <row r="18" spans="2:55" ht="12.75" customHeight="1" x14ac:dyDescent="0.2">
      <c r="B18" s="285"/>
      <c r="C18" s="284"/>
      <c r="D18" s="284"/>
      <c r="E18" s="284"/>
      <c r="F18" s="78">
        <v>1.631</v>
      </c>
      <c r="G18" s="80">
        <f t="shared" si="25"/>
        <v>3.5369999999999999</v>
      </c>
      <c r="H18" s="80">
        <f t="shared" si="26"/>
        <v>2.1686082158185163</v>
      </c>
      <c r="I18" s="78">
        <v>0.11</v>
      </c>
      <c r="J18" s="78">
        <v>5.8000000000000003E-2</v>
      </c>
      <c r="K18" s="78">
        <v>0.86499999999999999</v>
      </c>
      <c r="L18" s="78">
        <v>0.54800000000000004</v>
      </c>
      <c r="M18" s="78">
        <v>0.622</v>
      </c>
      <c r="N18" s="78">
        <v>0.122</v>
      </c>
      <c r="O18" s="78">
        <v>1.212</v>
      </c>
      <c r="P18" s="78">
        <f>N:N+O:O</f>
        <v>1.3340000000000001</v>
      </c>
      <c r="Q18" s="80">
        <f t="shared" si="10"/>
        <v>1.5421965317919075</v>
      </c>
      <c r="R18" s="80">
        <f t="shared" si="0"/>
        <v>0.71907514450867049</v>
      </c>
      <c r="S18" s="80">
        <f t="shared" si="1"/>
        <v>0.63352601156069366</v>
      </c>
      <c r="T18" s="80">
        <f t="shared" si="11"/>
        <v>9.9344262295081975</v>
      </c>
      <c r="U18" s="78">
        <v>0.26500000000000001</v>
      </c>
      <c r="V18" s="78">
        <f t="shared" si="12"/>
        <v>13.347169811320754</v>
      </c>
      <c r="W18" s="78">
        <v>0.55600000000000005</v>
      </c>
      <c r="X18" s="78">
        <v>7.5999999999999998E-2</v>
      </c>
      <c r="Y18" s="78">
        <f>W:W/X:X</f>
        <v>7.3157894736842115</v>
      </c>
      <c r="Z18" s="79" t="s">
        <v>75</v>
      </c>
      <c r="AA18" s="78">
        <v>0.50700000000000001</v>
      </c>
      <c r="AB18" s="78">
        <f t="shared" si="16"/>
        <v>0.31085223789086452</v>
      </c>
      <c r="AC18" s="78">
        <v>1.0780000000000001</v>
      </c>
      <c r="AD18" s="78">
        <f t="shared" si="17"/>
        <v>0.66094420600858372</v>
      </c>
      <c r="AE18" s="78">
        <v>8.3000000000000004E-2</v>
      </c>
      <c r="AF18" s="78">
        <f t="shared" si="13"/>
        <v>9.5953757225433534E-2</v>
      </c>
      <c r="AG18" s="78">
        <f>AE:AE/P:P</f>
        <v>6.2218890554722642E-2</v>
      </c>
      <c r="AH18" s="78">
        <f t="shared" si="18"/>
        <v>0.68032786885245911</v>
      </c>
      <c r="AI18" s="78">
        <v>9.2999999999999999E-2</v>
      </c>
      <c r="AJ18" s="78">
        <v>6.0999999999999999E-2</v>
      </c>
      <c r="AK18" s="78">
        <f t="shared" si="19"/>
        <v>1.5245901639344261</v>
      </c>
      <c r="AL18" s="78">
        <f t="shared" si="20"/>
        <v>1.1204819277108433</v>
      </c>
      <c r="AM18" s="78">
        <f t="shared" si="21"/>
        <v>0.76229508196721307</v>
      </c>
      <c r="AN18" s="78">
        <f t="shared" si="22"/>
        <v>0.10751445086705202</v>
      </c>
      <c r="AO18" s="78">
        <f t="shared" si="23"/>
        <v>0.52542372881355937</v>
      </c>
      <c r="AP18" s="78">
        <v>0.17699999999999999</v>
      </c>
      <c r="AQ18" s="78">
        <v>8.5999999999999993E-2</v>
      </c>
      <c r="AR18" s="78">
        <f t="shared" si="4"/>
        <v>0.108522378908645</v>
      </c>
      <c r="AS18" s="78">
        <f t="shared" si="5"/>
        <v>2.058139534883721</v>
      </c>
      <c r="AT18" s="78">
        <f t="shared" si="6"/>
        <v>0.20462427745664738</v>
      </c>
      <c r="AU18" s="78">
        <v>9.5000000000000001E-2</v>
      </c>
      <c r="AV18" s="78">
        <v>0.122</v>
      </c>
      <c r="AW18" s="78">
        <f>AU18/AV18</f>
        <v>0.77868852459016391</v>
      </c>
      <c r="AX18" s="80">
        <f t="shared" si="24"/>
        <v>1.8631578947368419</v>
      </c>
      <c r="AY18" s="114" t="s">
        <v>75</v>
      </c>
      <c r="AZ18" s="216" t="s">
        <v>75</v>
      </c>
      <c r="BA18" s="252" t="s">
        <v>75</v>
      </c>
      <c r="BB18" s="252" t="s">
        <v>75</v>
      </c>
      <c r="BC18" s="257" t="s">
        <v>75</v>
      </c>
    </row>
    <row r="19" spans="2:55" ht="12.75" customHeight="1" x14ac:dyDescent="0.2">
      <c r="B19" s="286">
        <v>24325</v>
      </c>
      <c r="C19" s="287" t="s">
        <v>306</v>
      </c>
      <c r="D19" s="288" t="s">
        <v>307</v>
      </c>
      <c r="E19" s="288" t="s">
        <v>304</v>
      </c>
      <c r="F19" s="72">
        <v>1.4</v>
      </c>
      <c r="G19" s="82">
        <f t="shared" si="8"/>
        <v>4.16</v>
      </c>
      <c r="H19" s="82">
        <f t="shared" si="9"/>
        <v>2.9714285714285715</v>
      </c>
      <c r="I19" s="72">
        <v>0.1</v>
      </c>
      <c r="J19" s="72">
        <v>0.06</v>
      </c>
      <c r="K19" s="72">
        <v>0.77</v>
      </c>
      <c r="L19" s="72">
        <v>0.53</v>
      </c>
      <c r="M19" s="72">
        <v>0.61</v>
      </c>
      <c r="N19" s="72">
        <v>0.12</v>
      </c>
      <c r="O19" s="72">
        <v>1.97</v>
      </c>
      <c r="P19" s="72">
        <f>N:N+O:O</f>
        <v>2.09</v>
      </c>
      <c r="Q19" s="82">
        <f t="shared" si="10"/>
        <v>2.714285714285714</v>
      </c>
      <c r="R19" s="82">
        <f t="shared" si="0"/>
        <v>0.79220779220779214</v>
      </c>
      <c r="S19" s="82">
        <f t="shared" si="1"/>
        <v>0.68831168831168832</v>
      </c>
      <c r="T19" s="82">
        <f t="shared" si="11"/>
        <v>16.416666666666668</v>
      </c>
      <c r="U19" s="72">
        <v>0.25</v>
      </c>
      <c r="V19" s="72">
        <f t="shared" si="12"/>
        <v>16.64</v>
      </c>
      <c r="W19" s="72">
        <v>0.48</v>
      </c>
      <c r="X19" s="72">
        <v>7.0000000000000007E-2</v>
      </c>
      <c r="Y19" s="72">
        <f>W:W/X:X</f>
        <v>6.8571428571428559</v>
      </c>
      <c r="Z19" s="72">
        <v>0.32</v>
      </c>
      <c r="AA19" s="72">
        <v>0.45</v>
      </c>
      <c r="AB19" s="72">
        <f t="shared" si="16"/>
        <v>0.32142857142857145</v>
      </c>
      <c r="AC19" s="72">
        <v>1.04</v>
      </c>
      <c r="AD19" s="72">
        <f t="shared" si="17"/>
        <v>0.74285714285714288</v>
      </c>
      <c r="AE19" s="72">
        <v>0.09</v>
      </c>
      <c r="AF19" s="72">
        <f t="shared" si="13"/>
        <v>0.11688311688311688</v>
      </c>
      <c r="AG19" s="72">
        <f>AE:AE/P:P</f>
        <v>4.3062200956937802E-2</v>
      </c>
      <c r="AH19" s="72">
        <f t="shared" si="18"/>
        <v>0.75</v>
      </c>
      <c r="AI19" s="72">
        <v>0.09</v>
      </c>
      <c r="AJ19" s="72">
        <v>0.06</v>
      </c>
      <c r="AK19" s="72">
        <f t="shared" si="19"/>
        <v>1.5</v>
      </c>
      <c r="AL19" s="72">
        <f t="shared" si="20"/>
        <v>1</v>
      </c>
      <c r="AM19" s="72">
        <f t="shared" si="21"/>
        <v>0.75</v>
      </c>
      <c r="AN19" s="72">
        <f t="shared" si="22"/>
        <v>0.11688311688311688</v>
      </c>
      <c r="AO19" s="72">
        <f t="shared" si="23"/>
        <v>0.5625</v>
      </c>
      <c r="AP19" s="72">
        <v>0.16</v>
      </c>
      <c r="AQ19" s="72">
        <v>0.09</v>
      </c>
      <c r="AR19" s="72">
        <f t="shared" si="4"/>
        <v>0.1142857142857143</v>
      </c>
      <c r="AS19" s="72">
        <f t="shared" si="5"/>
        <v>1.7777777777777779</v>
      </c>
      <c r="AT19" s="72">
        <f t="shared" si="6"/>
        <v>0.20779220779220778</v>
      </c>
      <c r="AU19" s="73" t="s">
        <v>75</v>
      </c>
      <c r="AV19" s="73" t="s">
        <v>75</v>
      </c>
      <c r="AW19" s="73" t="s">
        <v>75</v>
      </c>
      <c r="AX19" s="110" t="s">
        <v>75</v>
      </c>
      <c r="AY19" s="110" t="s">
        <v>75</v>
      </c>
      <c r="AZ19" s="84">
        <v>9</v>
      </c>
      <c r="BA19" s="251" t="s">
        <v>75</v>
      </c>
      <c r="BB19" s="251" t="s">
        <v>75</v>
      </c>
      <c r="BC19" s="256" t="s">
        <v>75</v>
      </c>
    </row>
    <row r="20" spans="2:55" ht="12.75" customHeight="1" x14ac:dyDescent="0.2">
      <c r="B20" s="289"/>
      <c r="C20" s="288"/>
      <c r="D20" s="288"/>
      <c r="E20" s="288"/>
      <c r="F20" s="72">
        <v>1.4</v>
      </c>
      <c r="G20" s="82">
        <f t="shared" si="8"/>
        <v>4.18</v>
      </c>
      <c r="H20" s="82">
        <f t="shared" si="9"/>
        <v>2.9857142857142858</v>
      </c>
      <c r="I20" s="72">
        <v>0.1</v>
      </c>
      <c r="J20" s="72">
        <v>0.06</v>
      </c>
      <c r="K20" s="72">
        <v>0.79</v>
      </c>
      <c r="L20" s="72">
        <v>0.53</v>
      </c>
      <c r="M20" s="72">
        <v>0.64</v>
      </c>
      <c r="N20" s="72">
        <v>0.12</v>
      </c>
      <c r="O20" s="72">
        <v>1.94</v>
      </c>
      <c r="P20" s="72">
        <f>N:N+O:O</f>
        <v>2.06</v>
      </c>
      <c r="Q20" s="82">
        <f t="shared" si="10"/>
        <v>2.6075949367088609</v>
      </c>
      <c r="R20" s="82">
        <f t="shared" si="0"/>
        <v>0.810126582278481</v>
      </c>
      <c r="S20" s="82">
        <f t="shared" si="1"/>
        <v>0.67088607594936711</v>
      </c>
      <c r="T20" s="82">
        <f t="shared" si="11"/>
        <v>16.166666666666668</v>
      </c>
      <c r="U20" s="72">
        <v>0.25</v>
      </c>
      <c r="V20" s="72">
        <f t="shared" si="12"/>
        <v>16.72</v>
      </c>
      <c r="W20" s="73" t="s">
        <v>75</v>
      </c>
      <c r="X20" s="73" t="s">
        <v>75</v>
      </c>
      <c r="Y20" s="73" t="s">
        <v>75</v>
      </c>
      <c r="Z20" s="73" t="s">
        <v>75</v>
      </c>
      <c r="AA20" s="72">
        <v>0.46</v>
      </c>
      <c r="AB20" s="72">
        <f t="shared" si="16"/>
        <v>0.32857142857142863</v>
      </c>
      <c r="AC20" s="72">
        <v>1.03</v>
      </c>
      <c r="AD20" s="72">
        <f t="shared" si="17"/>
        <v>0.73571428571428577</v>
      </c>
      <c r="AE20" s="72">
        <v>0.09</v>
      </c>
      <c r="AF20" s="72">
        <f t="shared" si="13"/>
        <v>0.11392405063291139</v>
      </c>
      <c r="AG20" s="72">
        <f>AE:AE/P:P</f>
        <v>4.3689320388349509E-2</v>
      </c>
      <c r="AH20" s="72">
        <f t="shared" si="18"/>
        <v>0.75</v>
      </c>
      <c r="AI20" s="72">
        <v>0.09</v>
      </c>
      <c r="AJ20" s="72">
        <v>0.06</v>
      </c>
      <c r="AK20" s="72">
        <f t="shared" ref="AK20" si="27">AI20/AJ20</f>
        <v>1.5</v>
      </c>
      <c r="AL20" s="72">
        <f t="shared" ref="AL20" si="28">AI20/AE20</f>
        <v>1</v>
      </c>
      <c r="AM20" s="72">
        <f t="shared" ref="AM20" si="29">AI20/N20</f>
        <v>0.75</v>
      </c>
      <c r="AN20" s="72">
        <f t="shared" si="22"/>
        <v>0.11392405063291139</v>
      </c>
      <c r="AO20" s="72">
        <f t="shared" ref="AO20" si="30">AI20/AP20</f>
        <v>0.6</v>
      </c>
      <c r="AP20" s="72">
        <v>0.15</v>
      </c>
      <c r="AQ20" s="72">
        <v>0.08</v>
      </c>
      <c r="AR20" s="72">
        <f t="shared" si="4"/>
        <v>0.10714285714285715</v>
      </c>
      <c r="AS20" s="72">
        <f t="shared" si="5"/>
        <v>1.875</v>
      </c>
      <c r="AT20" s="72">
        <f t="shared" si="6"/>
        <v>0.18987341772151897</v>
      </c>
      <c r="AU20" s="73" t="s">
        <v>75</v>
      </c>
      <c r="AV20" s="73" t="s">
        <v>75</v>
      </c>
      <c r="AW20" s="73" t="s">
        <v>75</v>
      </c>
      <c r="AX20" s="110" t="s">
        <v>75</v>
      </c>
      <c r="AY20" s="110" t="s">
        <v>75</v>
      </c>
      <c r="AZ20" s="84">
        <v>10</v>
      </c>
      <c r="BA20" s="251" t="s">
        <v>75</v>
      </c>
      <c r="BB20" s="251" t="s">
        <v>75</v>
      </c>
      <c r="BC20" s="256" t="s">
        <v>75</v>
      </c>
    </row>
    <row r="21" spans="2:55" ht="12.75" customHeight="1" x14ac:dyDescent="0.2">
      <c r="B21" s="282">
        <v>24325</v>
      </c>
      <c r="C21" s="283" t="s">
        <v>306</v>
      </c>
      <c r="D21" s="284" t="s">
        <v>307</v>
      </c>
      <c r="E21" s="284" t="s">
        <v>304</v>
      </c>
      <c r="F21" s="78">
        <f>0.99+0.4</f>
        <v>1.3900000000000001</v>
      </c>
      <c r="G21" s="114" t="s">
        <v>75</v>
      </c>
      <c r="H21" s="114" t="s">
        <v>75</v>
      </c>
      <c r="I21" s="78">
        <v>0.08</v>
      </c>
      <c r="J21" s="78">
        <v>0.05</v>
      </c>
      <c r="K21" s="78">
        <v>0.77</v>
      </c>
      <c r="L21" s="78">
        <v>0.5</v>
      </c>
      <c r="M21" s="78">
        <v>0.51</v>
      </c>
      <c r="N21" s="78">
        <v>0.11</v>
      </c>
      <c r="O21" s="79" t="s">
        <v>75</v>
      </c>
      <c r="P21" s="79" t="s">
        <v>75</v>
      </c>
      <c r="Q21" s="114" t="s">
        <v>75</v>
      </c>
      <c r="R21" s="80">
        <f t="shared" si="0"/>
        <v>0.66233766233766234</v>
      </c>
      <c r="S21" s="80">
        <f t="shared" si="1"/>
        <v>0.64935064935064934</v>
      </c>
      <c r="T21" s="114" t="s">
        <v>75</v>
      </c>
      <c r="U21" s="78">
        <v>0.24</v>
      </c>
      <c r="V21" s="79" t="s">
        <v>75</v>
      </c>
      <c r="W21" s="78">
        <v>0.46</v>
      </c>
      <c r="X21" s="78">
        <v>7.0000000000000007E-2</v>
      </c>
      <c r="Y21" s="78">
        <f t="shared" ref="Y21:Y47" si="31">W:W/X:X</f>
        <v>6.5714285714285712</v>
      </c>
      <c r="Z21" s="78">
        <v>0.32</v>
      </c>
      <c r="AA21" s="78">
        <v>0.42</v>
      </c>
      <c r="AB21" s="78">
        <f t="shared" si="16"/>
        <v>0.30215827338129492</v>
      </c>
      <c r="AC21" s="78">
        <v>0.82</v>
      </c>
      <c r="AD21" s="78">
        <f t="shared" si="17"/>
        <v>0.58992805755395672</v>
      </c>
      <c r="AE21" s="78">
        <v>0.08</v>
      </c>
      <c r="AF21" s="78">
        <f t="shared" si="13"/>
        <v>0.10389610389610389</v>
      </c>
      <c r="AG21" s="79" t="s">
        <v>75</v>
      </c>
      <c r="AH21" s="78">
        <f t="shared" si="18"/>
        <v>0.72727272727272729</v>
      </c>
      <c r="AI21" s="79" t="s">
        <v>75</v>
      </c>
      <c r="AJ21" s="79" t="s">
        <v>75</v>
      </c>
      <c r="AK21" s="79" t="s">
        <v>75</v>
      </c>
      <c r="AL21" s="79" t="s">
        <v>75</v>
      </c>
      <c r="AM21" s="79" t="s">
        <v>75</v>
      </c>
      <c r="AN21" s="79" t="s">
        <v>75</v>
      </c>
      <c r="AO21" s="79" t="s">
        <v>75</v>
      </c>
      <c r="AP21" s="78">
        <v>0.15</v>
      </c>
      <c r="AQ21" s="78">
        <v>0.08</v>
      </c>
      <c r="AR21" s="78">
        <f t="shared" si="4"/>
        <v>0.10791366906474818</v>
      </c>
      <c r="AS21" s="78">
        <f t="shared" si="5"/>
        <v>1.875</v>
      </c>
      <c r="AT21" s="78">
        <f t="shared" si="6"/>
        <v>0.19480519480519479</v>
      </c>
      <c r="AU21" s="78">
        <v>0.08</v>
      </c>
      <c r="AV21" s="78">
        <v>0.1</v>
      </c>
      <c r="AW21" s="78">
        <f>AU21/AV21</f>
        <v>0.79999999999999993</v>
      </c>
      <c r="AX21" s="80">
        <f>AP21/AU21</f>
        <v>1.875</v>
      </c>
      <c r="AY21" s="114" t="s">
        <v>75</v>
      </c>
      <c r="AZ21" s="87">
        <v>7</v>
      </c>
      <c r="BA21" s="252" t="s">
        <v>75</v>
      </c>
      <c r="BB21" s="252" t="s">
        <v>75</v>
      </c>
      <c r="BC21" s="257" t="s">
        <v>75</v>
      </c>
    </row>
    <row r="22" spans="2:55" ht="12.75" customHeight="1" x14ac:dyDescent="0.2">
      <c r="B22" s="285"/>
      <c r="C22" s="284"/>
      <c r="D22" s="284"/>
      <c r="E22" s="284"/>
      <c r="F22" s="78">
        <f>0.99+0.4</f>
        <v>1.3900000000000001</v>
      </c>
      <c r="G22" s="80">
        <f t="shared" si="8"/>
        <v>3.6599999999999997</v>
      </c>
      <c r="H22" s="80">
        <f t="shared" si="9"/>
        <v>2.6330935251798557</v>
      </c>
      <c r="I22" s="78">
        <v>0.08</v>
      </c>
      <c r="J22" s="78">
        <v>0.05</v>
      </c>
      <c r="K22" s="78">
        <v>0.74</v>
      </c>
      <c r="L22" s="78">
        <v>0.51</v>
      </c>
      <c r="M22" s="78">
        <v>0.52</v>
      </c>
      <c r="N22" s="78">
        <v>0.11</v>
      </c>
      <c r="O22" s="78">
        <f>0.78+0.87</f>
        <v>1.65</v>
      </c>
      <c r="P22" s="78">
        <f>N:N+O:O</f>
        <v>1.76</v>
      </c>
      <c r="Q22" s="80">
        <f t="shared" si="10"/>
        <v>2.3783783783783785</v>
      </c>
      <c r="R22" s="80">
        <f t="shared" si="0"/>
        <v>0.70270270270270274</v>
      </c>
      <c r="S22" s="80">
        <f t="shared" si="1"/>
        <v>0.68918918918918926</v>
      </c>
      <c r="T22" s="80">
        <f t="shared" si="11"/>
        <v>15</v>
      </c>
      <c r="U22" s="78">
        <v>0.24</v>
      </c>
      <c r="V22" s="78">
        <f t="shared" si="12"/>
        <v>15.25</v>
      </c>
      <c r="W22" s="78">
        <v>0.46</v>
      </c>
      <c r="X22" s="78">
        <v>7.0000000000000007E-2</v>
      </c>
      <c r="Y22" s="78">
        <f t="shared" si="31"/>
        <v>6.5714285714285712</v>
      </c>
      <c r="Z22" s="79" t="s">
        <v>75</v>
      </c>
      <c r="AA22" s="78">
        <v>0.43</v>
      </c>
      <c r="AB22" s="78">
        <f t="shared" si="16"/>
        <v>0.30935251798561147</v>
      </c>
      <c r="AC22" s="78">
        <v>0.83</v>
      </c>
      <c r="AD22" s="78">
        <f t="shared" si="17"/>
        <v>0.59712230215827333</v>
      </c>
      <c r="AE22" s="78">
        <v>0.08</v>
      </c>
      <c r="AF22" s="78">
        <f t="shared" si="13"/>
        <v>0.10810810810810811</v>
      </c>
      <c r="AG22" s="78">
        <f>AE:AE/P:P</f>
        <v>4.5454545454545456E-2</v>
      </c>
      <c r="AH22" s="78">
        <f t="shared" si="18"/>
        <v>0.72727272727272729</v>
      </c>
      <c r="AI22" s="79" t="s">
        <v>75</v>
      </c>
      <c r="AJ22" s="79" t="s">
        <v>75</v>
      </c>
      <c r="AK22" s="79" t="s">
        <v>75</v>
      </c>
      <c r="AL22" s="79" t="s">
        <v>75</v>
      </c>
      <c r="AM22" s="79" t="s">
        <v>75</v>
      </c>
      <c r="AN22" s="79" t="s">
        <v>75</v>
      </c>
      <c r="AO22" s="79" t="s">
        <v>75</v>
      </c>
      <c r="AP22" s="78">
        <v>0.15</v>
      </c>
      <c r="AQ22" s="78">
        <v>7.0000000000000007E-2</v>
      </c>
      <c r="AR22" s="78">
        <f t="shared" si="4"/>
        <v>0.10791366906474818</v>
      </c>
      <c r="AS22" s="78">
        <f t="shared" si="5"/>
        <v>2.1428571428571428</v>
      </c>
      <c r="AT22" s="78">
        <f t="shared" si="6"/>
        <v>0.20270270270270269</v>
      </c>
      <c r="AU22" s="78">
        <v>0.08</v>
      </c>
      <c r="AV22" s="78">
        <v>0.1</v>
      </c>
      <c r="AW22" s="78">
        <f>AU22/AV22</f>
        <v>0.79999999999999993</v>
      </c>
      <c r="AX22" s="80">
        <f>AP22/AU22</f>
        <v>1.875</v>
      </c>
      <c r="AY22" s="114" t="s">
        <v>75</v>
      </c>
      <c r="AZ22" s="87">
        <v>8</v>
      </c>
      <c r="BA22" s="252" t="s">
        <v>75</v>
      </c>
      <c r="BB22" s="252" t="s">
        <v>75</v>
      </c>
      <c r="BC22" s="257" t="s">
        <v>75</v>
      </c>
    </row>
    <row r="23" spans="2:55" ht="12.75" customHeight="1" x14ac:dyDescent="0.2">
      <c r="B23" s="286">
        <v>24325</v>
      </c>
      <c r="C23" s="287" t="s">
        <v>306</v>
      </c>
      <c r="D23" s="288" t="s">
        <v>307</v>
      </c>
      <c r="E23" s="288" t="s">
        <v>304</v>
      </c>
      <c r="F23" s="72">
        <f>0.96+0.69</f>
        <v>1.65</v>
      </c>
      <c r="G23" s="110" t="s">
        <v>75</v>
      </c>
      <c r="H23" s="110" t="s">
        <v>75</v>
      </c>
      <c r="I23" s="72">
        <v>0.11</v>
      </c>
      <c r="J23" s="72">
        <v>0.06</v>
      </c>
      <c r="K23" s="72">
        <v>0.87</v>
      </c>
      <c r="L23" s="72">
        <v>0.56000000000000005</v>
      </c>
      <c r="M23" s="72">
        <v>0.63</v>
      </c>
      <c r="N23" s="72">
        <v>0.12</v>
      </c>
      <c r="O23" s="73" t="s">
        <v>75</v>
      </c>
      <c r="P23" s="73" t="s">
        <v>75</v>
      </c>
      <c r="Q23" s="110" t="s">
        <v>75</v>
      </c>
      <c r="R23" s="82">
        <f t="shared" si="0"/>
        <v>0.72413793103448276</v>
      </c>
      <c r="S23" s="82">
        <f t="shared" si="1"/>
        <v>0.64367816091954033</v>
      </c>
      <c r="T23" s="110" t="s">
        <v>75</v>
      </c>
      <c r="U23" s="73" t="s">
        <v>75</v>
      </c>
      <c r="V23" s="73" t="s">
        <v>75</v>
      </c>
      <c r="W23" s="72">
        <v>0.54</v>
      </c>
      <c r="X23" s="72">
        <v>7.0000000000000007E-2</v>
      </c>
      <c r="Y23" s="72">
        <f t="shared" si="31"/>
        <v>7.7142857142857144</v>
      </c>
      <c r="Z23" s="72">
        <v>0.33</v>
      </c>
      <c r="AA23" s="72">
        <v>0.48</v>
      </c>
      <c r="AB23" s="72">
        <f t="shared" si="16"/>
        <v>0.29090909090909089</v>
      </c>
      <c r="AC23" s="72">
        <v>1.0900000000000001</v>
      </c>
      <c r="AD23" s="72">
        <f t="shared" si="17"/>
        <v>0.66060606060606064</v>
      </c>
      <c r="AE23" s="72">
        <v>0.09</v>
      </c>
      <c r="AF23" s="72">
        <f t="shared" si="13"/>
        <v>0.10344827586206896</v>
      </c>
      <c r="AG23" s="73" t="s">
        <v>75</v>
      </c>
      <c r="AH23" s="72">
        <f t="shared" si="18"/>
        <v>0.75</v>
      </c>
      <c r="AI23" s="73" t="s">
        <v>75</v>
      </c>
      <c r="AJ23" s="73" t="s">
        <v>75</v>
      </c>
      <c r="AK23" s="73" t="s">
        <v>75</v>
      </c>
      <c r="AL23" s="73" t="s">
        <v>75</v>
      </c>
      <c r="AM23" s="73" t="s">
        <v>75</v>
      </c>
      <c r="AN23" s="73" t="s">
        <v>75</v>
      </c>
      <c r="AO23" s="73" t="s">
        <v>75</v>
      </c>
      <c r="AP23" s="72">
        <v>0.15</v>
      </c>
      <c r="AQ23" s="72">
        <v>0.1</v>
      </c>
      <c r="AR23" s="72">
        <f t="shared" si="4"/>
        <v>9.0909090909090912E-2</v>
      </c>
      <c r="AS23" s="72">
        <f t="shared" si="5"/>
        <v>1.4999999999999998</v>
      </c>
      <c r="AT23" s="72">
        <f t="shared" si="6"/>
        <v>0.17241379310344826</v>
      </c>
      <c r="AU23" s="73" t="s">
        <v>75</v>
      </c>
      <c r="AV23" s="73" t="s">
        <v>75</v>
      </c>
      <c r="AW23" s="73" t="s">
        <v>75</v>
      </c>
      <c r="AX23" s="110" t="s">
        <v>75</v>
      </c>
      <c r="AY23" s="110" t="s">
        <v>75</v>
      </c>
      <c r="AZ23" s="84">
        <v>9</v>
      </c>
      <c r="BA23" s="251" t="s">
        <v>75</v>
      </c>
      <c r="BB23" s="251" t="s">
        <v>75</v>
      </c>
      <c r="BC23" s="256" t="s">
        <v>75</v>
      </c>
    </row>
    <row r="24" spans="2:55" ht="12.75" customHeight="1" x14ac:dyDescent="0.2">
      <c r="B24" s="289"/>
      <c r="C24" s="288"/>
      <c r="D24" s="288"/>
      <c r="E24" s="288"/>
      <c r="F24" s="72">
        <f>0.96+0.69</f>
        <v>1.65</v>
      </c>
      <c r="G24" s="110" t="s">
        <v>75</v>
      </c>
      <c r="H24" s="110" t="s">
        <v>75</v>
      </c>
      <c r="I24" s="72">
        <v>0.1</v>
      </c>
      <c r="J24" s="72">
        <v>0.06</v>
      </c>
      <c r="K24" s="72">
        <v>0.87</v>
      </c>
      <c r="L24" s="72">
        <v>0.55000000000000004</v>
      </c>
      <c r="M24" s="72">
        <v>0.62</v>
      </c>
      <c r="N24" s="72">
        <v>0.12</v>
      </c>
      <c r="O24" s="73" t="s">
        <v>75</v>
      </c>
      <c r="P24" s="73" t="s">
        <v>75</v>
      </c>
      <c r="Q24" s="110" t="s">
        <v>75</v>
      </c>
      <c r="R24" s="82">
        <f t="shared" si="0"/>
        <v>0.71264367816091956</v>
      </c>
      <c r="S24" s="82">
        <f t="shared" si="1"/>
        <v>0.63218390804597702</v>
      </c>
      <c r="T24" s="110" t="s">
        <v>75</v>
      </c>
      <c r="U24" s="73" t="s">
        <v>75</v>
      </c>
      <c r="V24" s="73" t="s">
        <v>75</v>
      </c>
      <c r="W24" s="72">
        <v>0.56000000000000005</v>
      </c>
      <c r="X24" s="72">
        <v>0.08</v>
      </c>
      <c r="Y24" s="72">
        <f t="shared" si="31"/>
        <v>7.0000000000000009</v>
      </c>
      <c r="Z24" s="73" t="s">
        <v>75</v>
      </c>
      <c r="AA24" s="72">
        <v>0.5</v>
      </c>
      <c r="AB24" s="72">
        <f t="shared" si="16"/>
        <v>0.30303030303030304</v>
      </c>
      <c r="AC24" s="72">
        <v>1.07</v>
      </c>
      <c r="AD24" s="72">
        <f t="shared" si="17"/>
        <v>0.64848484848484855</v>
      </c>
      <c r="AE24" s="72">
        <v>0.09</v>
      </c>
      <c r="AF24" s="72">
        <f t="shared" si="13"/>
        <v>0.10344827586206896</v>
      </c>
      <c r="AG24" s="73" t="s">
        <v>75</v>
      </c>
      <c r="AH24" s="72">
        <f t="shared" si="18"/>
        <v>0.75</v>
      </c>
      <c r="AI24" s="73" t="s">
        <v>75</v>
      </c>
      <c r="AJ24" s="73" t="s">
        <v>75</v>
      </c>
      <c r="AK24" s="73" t="s">
        <v>75</v>
      </c>
      <c r="AL24" s="73" t="s">
        <v>75</v>
      </c>
      <c r="AM24" s="73" t="s">
        <v>75</v>
      </c>
      <c r="AN24" s="73" t="s">
        <v>75</v>
      </c>
      <c r="AO24" s="73" t="s">
        <v>75</v>
      </c>
      <c r="AP24" s="72">
        <v>0.17</v>
      </c>
      <c r="AQ24" s="72">
        <v>0.09</v>
      </c>
      <c r="AR24" s="72">
        <f t="shared" si="4"/>
        <v>0.10303030303030304</v>
      </c>
      <c r="AS24" s="72">
        <f t="shared" si="5"/>
        <v>1.8888888888888891</v>
      </c>
      <c r="AT24" s="72">
        <f t="shared" si="6"/>
        <v>0.19540229885057472</v>
      </c>
      <c r="AU24" s="73" t="s">
        <v>75</v>
      </c>
      <c r="AV24" s="73" t="s">
        <v>75</v>
      </c>
      <c r="AW24" s="73" t="s">
        <v>75</v>
      </c>
      <c r="AX24" s="110" t="s">
        <v>75</v>
      </c>
      <c r="AY24" s="110" t="s">
        <v>75</v>
      </c>
      <c r="AZ24" s="225" t="s">
        <v>75</v>
      </c>
      <c r="BA24" s="251" t="s">
        <v>75</v>
      </c>
      <c r="BB24" s="251" t="s">
        <v>75</v>
      </c>
      <c r="BC24" s="256" t="s">
        <v>75</v>
      </c>
    </row>
    <row r="25" spans="2:55" ht="12.75" customHeight="1" x14ac:dyDescent="0.2">
      <c r="B25" s="282">
        <v>24325</v>
      </c>
      <c r="C25" s="283" t="s">
        <v>306</v>
      </c>
      <c r="D25" s="284" t="s">
        <v>307</v>
      </c>
      <c r="E25" s="284" t="s">
        <v>304</v>
      </c>
      <c r="F25" s="78">
        <f>0.78+0.57</f>
        <v>1.35</v>
      </c>
      <c r="G25" s="80">
        <f t="shared" si="8"/>
        <v>4.01</v>
      </c>
      <c r="H25" s="80">
        <f t="shared" si="9"/>
        <v>2.9703703703703699</v>
      </c>
      <c r="I25" s="78">
        <v>0.1</v>
      </c>
      <c r="J25" s="78">
        <v>0.05</v>
      </c>
      <c r="K25" s="78">
        <v>0.8</v>
      </c>
      <c r="L25" s="78">
        <v>0.56000000000000005</v>
      </c>
      <c r="M25" s="78">
        <v>0.56999999999999995</v>
      </c>
      <c r="N25" s="78">
        <v>0.11</v>
      </c>
      <c r="O25" s="78">
        <v>1.82</v>
      </c>
      <c r="P25" s="78">
        <f t="shared" ref="P25:P30" si="32">N:N+O:O</f>
        <v>1.9300000000000002</v>
      </c>
      <c r="Q25" s="80">
        <f t="shared" si="10"/>
        <v>2.4125000000000001</v>
      </c>
      <c r="R25" s="80">
        <f t="shared" si="0"/>
        <v>0.71249999999999991</v>
      </c>
      <c r="S25" s="80">
        <f t="shared" si="1"/>
        <v>0.70000000000000007</v>
      </c>
      <c r="T25" s="80">
        <f t="shared" si="11"/>
        <v>16.545454545454547</v>
      </c>
      <c r="U25" s="78">
        <v>0.25</v>
      </c>
      <c r="V25" s="78">
        <f t="shared" si="12"/>
        <v>16.04</v>
      </c>
      <c r="W25" s="78">
        <v>0.49</v>
      </c>
      <c r="X25" s="78">
        <v>0.06</v>
      </c>
      <c r="Y25" s="78">
        <f t="shared" si="31"/>
        <v>8.1666666666666661</v>
      </c>
      <c r="Z25" s="78">
        <v>0.31</v>
      </c>
      <c r="AA25" s="78">
        <v>0.44</v>
      </c>
      <c r="AB25" s="78">
        <f t="shared" si="16"/>
        <v>0.3259259259259259</v>
      </c>
      <c r="AC25" s="78">
        <v>0.96</v>
      </c>
      <c r="AD25" s="78">
        <f t="shared" si="17"/>
        <v>0.71111111111111103</v>
      </c>
      <c r="AE25" s="78">
        <v>0.08</v>
      </c>
      <c r="AF25" s="78">
        <f t="shared" si="13"/>
        <v>9.9999999999999992E-2</v>
      </c>
      <c r="AG25" s="78">
        <f>AE:AE/P:P</f>
        <v>4.1450777202072533E-2</v>
      </c>
      <c r="AH25" s="78">
        <f t="shared" si="18"/>
        <v>0.72727272727272729</v>
      </c>
      <c r="AI25" s="78">
        <v>0.09</v>
      </c>
      <c r="AJ25" s="78">
        <v>0.06</v>
      </c>
      <c r="AK25" s="78">
        <f t="shared" si="19"/>
        <v>1.5</v>
      </c>
      <c r="AL25" s="78">
        <f>AI25/AE25</f>
        <v>1.125</v>
      </c>
      <c r="AM25" s="78">
        <f>AI25/N25</f>
        <v>0.81818181818181812</v>
      </c>
      <c r="AN25" s="78">
        <f>AI:AI/K:K</f>
        <v>0.11249999999999999</v>
      </c>
      <c r="AO25" s="78">
        <f>AI25/AP25</f>
        <v>0.5625</v>
      </c>
      <c r="AP25" s="78">
        <v>0.16</v>
      </c>
      <c r="AQ25" s="78">
        <v>7.0000000000000007E-2</v>
      </c>
      <c r="AR25" s="78">
        <f t="shared" si="4"/>
        <v>0.11851851851851851</v>
      </c>
      <c r="AS25" s="78">
        <f t="shared" si="5"/>
        <v>2.2857142857142856</v>
      </c>
      <c r="AT25" s="78">
        <f t="shared" si="6"/>
        <v>0.19999999999999998</v>
      </c>
      <c r="AU25" s="78">
        <v>0.09</v>
      </c>
      <c r="AV25" s="78">
        <v>0.11</v>
      </c>
      <c r="AW25" s="78">
        <f t="shared" ref="AW25:AW36" si="33">AU25/AV25</f>
        <v>0.81818181818181812</v>
      </c>
      <c r="AX25" s="80">
        <f t="shared" ref="AX25:AX36" si="34">AP25/AU25</f>
        <v>1.7777777777777779</v>
      </c>
      <c r="AY25" s="114" t="s">
        <v>75</v>
      </c>
      <c r="AZ25" s="216" t="s">
        <v>75</v>
      </c>
      <c r="BA25" s="252" t="s">
        <v>75</v>
      </c>
      <c r="BB25" s="252" t="s">
        <v>75</v>
      </c>
      <c r="BC25" s="257" t="s">
        <v>75</v>
      </c>
    </row>
    <row r="26" spans="2:55" ht="12.75" customHeight="1" x14ac:dyDescent="0.2">
      <c r="B26" s="285"/>
      <c r="C26" s="284"/>
      <c r="D26" s="284"/>
      <c r="E26" s="284"/>
      <c r="F26" s="78">
        <f>0.78+0.57</f>
        <v>1.35</v>
      </c>
      <c r="G26" s="80">
        <f t="shared" si="8"/>
        <v>3.4699999999999998</v>
      </c>
      <c r="H26" s="80">
        <f t="shared" si="9"/>
        <v>2.57037037037037</v>
      </c>
      <c r="I26" s="78">
        <v>0.09</v>
      </c>
      <c r="J26" s="78">
        <v>0.05</v>
      </c>
      <c r="K26" s="78">
        <v>0.8</v>
      </c>
      <c r="L26" s="78">
        <v>0.56000000000000005</v>
      </c>
      <c r="M26" s="78">
        <v>0.59</v>
      </c>
      <c r="N26" s="78">
        <v>0.12</v>
      </c>
      <c r="O26" s="78">
        <v>1.26</v>
      </c>
      <c r="P26" s="78">
        <f t="shared" si="32"/>
        <v>1.38</v>
      </c>
      <c r="Q26" s="80">
        <f t="shared" si="10"/>
        <v>1.7249999999999999</v>
      </c>
      <c r="R26" s="80">
        <f t="shared" si="0"/>
        <v>0.73749999999999993</v>
      </c>
      <c r="S26" s="80">
        <f t="shared" si="1"/>
        <v>0.70000000000000007</v>
      </c>
      <c r="T26" s="80">
        <f t="shared" si="11"/>
        <v>10.5</v>
      </c>
      <c r="U26" s="78">
        <v>0.25</v>
      </c>
      <c r="V26" s="78">
        <f t="shared" si="12"/>
        <v>13.879999999999999</v>
      </c>
      <c r="W26" s="78">
        <v>0.49</v>
      </c>
      <c r="X26" s="78">
        <v>7.0000000000000007E-2</v>
      </c>
      <c r="Y26" s="78">
        <f t="shared" si="31"/>
        <v>6.9999999999999991</v>
      </c>
      <c r="Z26" s="79" t="s">
        <v>75</v>
      </c>
      <c r="AA26" s="78">
        <v>0.46</v>
      </c>
      <c r="AB26" s="78">
        <f t="shared" si="16"/>
        <v>0.34074074074074073</v>
      </c>
      <c r="AC26" s="78">
        <v>0.95</v>
      </c>
      <c r="AD26" s="78">
        <f t="shared" si="17"/>
        <v>0.70370370370370361</v>
      </c>
      <c r="AE26" s="78">
        <v>0.08</v>
      </c>
      <c r="AF26" s="78">
        <f t="shared" si="13"/>
        <v>9.9999999999999992E-2</v>
      </c>
      <c r="AG26" s="78">
        <f>AE:AE/P:P</f>
        <v>5.7971014492753631E-2</v>
      </c>
      <c r="AH26" s="78">
        <f t="shared" si="18"/>
        <v>0.66666666666666674</v>
      </c>
      <c r="AI26" s="78">
        <v>0.09</v>
      </c>
      <c r="AJ26" s="78">
        <v>0.06</v>
      </c>
      <c r="AK26" s="78">
        <f t="shared" ref="AK26" si="35">AI26/AJ26</f>
        <v>1.5</v>
      </c>
      <c r="AL26" s="78">
        <f>AI26/AE26</f>
        <v>1.125</v>
      </c>
      <c r="AM26" s="78">
        <f>AI26/N26</f>
        <v>0.75</v>
      </c>
      <c r="AN26" s="78">
        <f>AI:AI/K:K</f>
        <v>0.11249999999999999</v>
      </c>
      <c r="AO26" s="78">
        <f>AI26/AP26</f>
        <v>0.5625</v>
      </c>
      <c r="AP26" s="78">
        <v>0.16</v>
      </c>
      <c r="AQ26" s="78">
        <v>0.08</v>
      </c>
      <c r="AR26" s="78">
        <f t="shared" si="4"/>
        <v>0.11851851851851851</v>
      </c>
      <c r="AS26" s="78">
        <f t="shared" si="5"/>
        <v>2</v>
      </c>
      <c r="AT26" s="78">
        <f t="shared" si="6"/>
        <v>0.19999999999999998</v>
      </c>
      <c r="AU26" s="78">
        <v>0.09</v>
      </c>
      <c r="AV26" s="78">
        <v>0.11</v>
      </c>
      <c r="AW26" s="78">
        <f t="shared" si="33"/>
        <v>0.81818181818181812</v>
      </c>
      <c r="AX26" s="80">
        <f t="shared" si="34"/>
        <v>1.7777777777777779</v>
      </c>
      <c r="AY26" s="114" t="s">
        <v>75</v>
      </c>
      <c r="AZ26" s="216" t="s">
        <v>75</v>
      </c>
      <c r="BA26" s="252" t="s">
        <v>75</v>
      </c>
      <c r="BB26" s="252" t="s">
        <v>75</v>
      </c>
      <c r="BC26" s="257" t="s">
        <v>75</v>
      </c>
    </row>
    <row r="27" spans="2:55" ht="12.75" customHeight="1" x14ac:dyDescent="0.2">
      <c r="B27" s="286">
        <v>24325</v>
      </c>
      <c r="C27" s="287" t="s">
        <v>306</v>
      </c>
      <c r="D27" s="288" t="s">
        <v>308</v>
      </c>
      <c r="E27" s="288" t="s">
        <v>304</v>
      </c>
      <c r="F27" s="72">
        <f>0.97+0.58</f>
        <v>1.5499999999999998</v>
      </c>
      <c r="G27" s="82">
        <f t="shared" si="8"/>
        <v>3.34</v>
      </c>
      <c r="H27" s="82">
        <f t="shared" si="9"/>
        <v>2.1548387096774193</v>
      </c>
      <c r="I27" s="72">
        <v>0.1</v>
      </c>
      <c r="J27" s="72">
        <v>0.05</v>
      </c>
      <c r="K27" s="72">
        <v>0.77</v>
      </c>
      <c r="L27" s="72">
        <v>0.48</v>
      </c>
      <c r="M27" s="72">
        <v>0.55000000000000004</v>
      </c>
      <c r="N27" s="72">
        <v>0.11</v>
      </c>
      <c r="O27" s="72">
        <v>1.28</v>
      </c>
      <c r="P27" s="72">
        <f t="shared" si="32"/>
        <v>1.3900000000000001</v>
      </c>
      <c r="Q27" s="82">
        <f t="shared" si="10"/>
        <v>1.8051948051948052</v>
      </c>
      <c r="R27" s="82">
        <f t="shared" si="0"/>
        <v>0.7142857142857143</v>
      </c>
      <c r="S27" s="82">
        <f t="shared" si="1"/>
        <v>0.62337662337662336</v>
      </c>
      <c r="T27" s="82">
        <f t="shared" si="11"/>
        <v>11.636363636363637</v>
      </c>
      <c r="U27" s="72">
        <v>0.28000000000000003</v>
      </c>
      <c r="V27" s="72">
        <f t="shared" si="12"/>
        <v>11.928571428571427</v>
      </c>
      <c r="W27" s="72">
        <v>0.51</v>
      </c>
      <c r="X27" s="72">
        <v>0.09</v>
      </c>
      <c r="Y27" s="72">
        <f t="shared" si="31"/>
        <v>5.666666666666667</v>
      </c>
      <c r="Z27" s="72">
        <v>0.31</v>
      </c>
      <c r="AA27" s="72">
        <v>0.44</v>
      </c>
      <c r="AB27" s="72">
        <f t="shared" si="16"/>
        <v>0.28387096774193554</v>
      </c>
      <c r="AC27" s="72">
        <v>0.92</v>
      </c>
      <c r="AD27" s="72">
        <f t="shared" si="17"/>
        <v>0.59354838709677427</v>
      </c>
      <c r="AE27" s="72">
        <v>0.09</v>
      </c>
      <c r="AF27" s="72">
        <f t="shared" si="13"/>
        <v>0.11688311688311688</v>
      </c>
      <c r="AG27" s="72">
        <f>AE:AE/P:P</f>
        <v>6.4748201438848907E-2</v>
      </c>
      <c r="AH27" s="72">
        <f t="shared" si="18"/>
        <v>0.81818181818181812</v>
      </c>
      <c r="AI27" s="73" t="s">
        <v>75</v>
      </c>
      <c r="AJ27" s="73" t="s">
        <v>75</v>
      </c>
      <c r="AK27" s="73" t="s">
        <v>75</v>
      </c>
      <c r="AL27" s="73" t="s">
        <v>75</v>
      </c>
      <c r="AM27" s="73" t="s">
        <v>75</v>
      </c>
      <c r="AN27" s="73" t="s">
        <v>75</v>
      </c>
      <c r="AO27" s="73" t="s">
        <v>75</v>
      </c>
      <c r="AP27" s="72">
        <v>0.16</v>
      </c>
      <c r="AQ27" s="72">
        <v>0.11</v>
      </c>
      <c r="AR27" s="72">
        <f t="shared" si="4"/>
        <v>0.10322580645161292</v>
      </c>
      <c r="AS27" s="72">
        <f t="shared" si="5"/>
        <v>1.4545454545454546</v>
      </c>
      <c r="AT27" s="72">
        <f t="shared" si="6"/>
        <v>0.20779220779220778</v>
      </c>
      <c r="AU27" s="72">
        <v>0.09</v>
      </c>
      <c r="AV27" s="72">
        <v>0.11</v>
      </c>
      <c r="AW27" s="72">
        <f t="shared" si="33"/>
        <v>0.81818181818181812</v>
      </c>
      <c r="AX27" s="82">
        <f t="shared" si="34"/>
        <v>1.7777777777777779</v>
      </c>
      <c r="AY27" s="110" t="s">
        <v>75</v>
      </c>
      <c r="AZ27" s="84">
        <v>8</v>
      </c>
      <c r="BA27" s="251" t="s">
        <v>75</v>
      </c>
      <c r="BB27" s="251" t="s">
        <v>75</v>
      </c>
      <c r="BC27" s="256" t="s">
        <v>75</v>
      </c>
    </row>
    <row r="28" spans="2:55" ht="12.75" customHeight="1" x14ac:dyDescent="0.2">
      <c r="B28" s="289"/>
      <c r="C28" s="288"/>
      <c r="D28" s="288"/>
      <c r="E28" s="288"/>
      <c r="F28" s="72">
        <f>0.97+0.58</f>
        <v>1.5499999999999998</v>
      </c>
      <c r="G28" s="82">
        <f t="shared" si="8"/>
        <v>3.6399999999999997</v>
      </c>
      <c r="H28" s="82">
        <f t="shared" si="9"/>
        <v>2.3483870967741938</v>
      </c>
      <c r="I28" s="72">
        <v>0.1</v>
      </c>
      <c r="J28" s="72">
        <v>0.05</v>
      </c>
      <c r="K28" s="72">
        <v>0.75</v>
      </c>
      <c r="L28" s="72">
        <v>0.5</v>
      </c>
      <c r="M28" s="72">
        <v>0.55000000000000004</v>
      </c>
      <c r="N28" s="72">
        <v>0.12</v>
      </c>
      <c r="O28" s="72">
        <v>1.57</v>
      </c>
      <c r="P28" s="72">
        <f t="shared" si="32"/>
        <v>1.69</v>
      </c>
      <c r="Q28" s="82">
        <f t="shared" si="10"/>
        <v>2.2533333333333334</v>
      </c>
      <c r="R28" s="82">
        <f t="shared" si="0"/>
        <v>0.73333333333333339</v>
      </c>
      <c r="S28" s="82">
        <f t="shared" si="1"/>
        <v>0.66666666666666663</v>
      </c>
      <c r="T28" s="82">
        <f t="shared" si="11"/>
        <v>13.083333333333334</v>
      </c>
      <c r="U28" s="72">
        <v>0.28000000000000003</v>
      </c>
      <c r="V28" s="72">
        <f t="shared" si="12"/>
        <v>12.999999999999998</v>
      </c>
      <c r="W28" s="72">
        <v>0.51</v>
      </c>
      <c r="X28" s="72">
        <v>7.0000000000000007E-2</v>
      </c>
      <c r="Y28" s="72">
        <f t="shared" si="31"/>
        <v>7.2857142857142856</v>
      </c>
      <c r="Z28" s="72">
        <v>0.33</v>
      </c>
      <c r="AA28" s="72">
        <v>0.46</v>
      </c>
      <c r="AB28" s="72">
        <f t="shared" si="16"/>
        <v>0.29677419354838713</v>
      </c>
      <c r="AC28" s="72">
        <v>0.97</v>
      </c>
      <c r="AD28" s="72">
        <f t="shared" si="17"/>
        <v>0.62580645161290327</v>
      </c>
      <c r="AE28" s="72">
        <v>0.09</v>
      </c>
      <c r="AF28" s="72">
        <f t="shared" si="13"/>
        <v>0.12</v>
      </c>
      <c r="AG28" s="72">
        <f>AE:AE/P:P</f>
        <v>5.3254437869822487E-2</v>
      </c>
      <c r="AH28" s="72">
        <f t="shared" si="18"/>
        <v>0.75</v>
      </c>
      <c r="AI28" s="73" t="s">
        <v>75</v>
      </c>
      <c r="AJ28" s="73" t="s">
        <v>75</v>
      </c>
      <c r="AK28" s="73" t="s">
        <v>75</v>
      </c>
      <c r="AL28" s="73" t="s">
        <v>75</v>
      </c>
      <c r="AM28" s="73" t="s">
        <v>75</v>
      </c>
      <c r="AN28" s="73" t="s">
        <v>75</v>
      </c>
      <c r="AO28" s="73" t="s">
        <v>75</v>
      </c>
      <c r="AP28" s="72">
        <v>0.16</v>
      </c>
      <c r="AQ28" s="72">
        <v>0.1</v>
      </c>
      <c r="AR28" s="72">
        <f t="shared" si="4"/>
        <v>0.10322580645161292</v>
      </c>
      <c r="AS28" s="72">
        <f t="shared" si="5"/>
        <v>1.5999999999999999</v>
      </c>
      <c r="AT28" s="72">
        <f t="shared" si="6"/>
        <v>0.21333333333333335</v>
      </c>
      <c r="AU28" s="72">
        <v>0.09</v>
      </c>
      <c r="AV28" s="72">
        <v>0.11</v>
      </c>
      <c r="AW28" s="72">
        <f t="shared" si="33"/>
        <v>0.81818181818181812</v>
      </c>
      <c r="AX28" s="82">
        <f t="shared" si="34"/>
        <v>1.7777777777777779</v>
      </c>
      <c r="AY28" s="110" t="s">
        <v>75</v>
      </c>
      <c r="AZ28" s="84">
        <v>9</v>
      </c>
      <c r="BA28" s="251" t="s">
        <v>75</v>
      </c>
      <c r="BB28" s="251" t="s">
        <v>75</v>
      </c>
      <c r="BC28" s="256" t="s">
        <v>75</v>
      </c>
    </row>
    <row r="29" spans="2:55" ht="12.75" customHeight="1" x14ac:dyDescent="0.2">
      <c r="B29" s="282">
        <v>24325</v>
      </c>
      <c r="C29" s="283" t="s">
        <v>306</v>
      </c>
      <c r="D29" s="284" t="s">
        <v>308</v>
      </c>
      <c r="E29" s="284" t="s">
        <v>304</v>
      </c>
      <c r="F29" s="78">
        <f>0.96+0.34</f>
        <v>1.3</v>
      </c>
      <c r="G29" s="80">
        <f t="shared" si="8"/>
        <v>3.51</v>
      </c>
      <c r="H29" s="80">
        <f t="shared" si="9"/>
        <v>2.6999999999999997</v>
      </c>
      <c r="I29" s="78">
        <v>0.09</v>
      </c>
      <c r="J29" s="78">
        <v>0.05</v>
      </c>
      <c r="K29" s="78">
        <v>0.73</v>
      </c>
      <c r="L29" s="78">
        <v>0.49</v>
      </c>
      <c r="M29" s="78">
        <v>0.54</v>
      </c>
      <c r="N29" s="78">
        <v>0.11</v>
      </c>
      <c r="O29" s="78">
        <v>1.5</v>
      </c>
      <c r="P29" s="78">
        <f t="shared" si="32"/>
        <v>1.61</v>
      </c>
      <c r="Q29" s="80">
        <f t="shared" si="10"/>
        <v>2.2054794520547949</v>
      </c>
      <c r="R29" s="80">
        <f t="shared" si="0"/>
        <v>0.73972602739726034</v>
      </c>
      <c r="S29" s="80">
        <f t="shared" si="1"/>
        <v>0.67123287671232879</v>
      </c>
      <c r="T29" s="80">
        <f t="shared" si="11"/>
        <v>13.636363636363637</v>
      </c>
      <c r="U29" s="78">
        <v>0.28000000000000003</v>
      </c>
      <c r="V29" s="78">
        <f t="shared" si="12"/>
        <v>12.535714285714283</v>
      </c>
      <c r="W29" s="78">
        <v>0.48</v>
      </c>
      <c r="X29" s="78">
        <v>7.0000000000000007E-2</v>
      </c>
      <c r="Y29" s="78">
        <f t="shared" si="31"/>
        <v>6.8571428571428559</v>
      </c>
      <c r="Z29" s="78">
        <v>0.31</v>
      </c>
      <c r="AA29" s="78">
        <v>0.44</v>
      </c>
      <c r="AB29" s="78">
        <f t="shared" si="16"/>
        <v>0.33846153846153842</v>
      </c>
      <c r="AC29" s="78">
        <v>0.89</v>
      </c>
      <c r="AD29" s="78">
        <f t="shared" si="17"/>
        <v>0.68461538461538463</v>
      </c>
      <c r="AE29" s="78">
        <v>0.08</v>
      </c>
      <c r="AF29" s="78">
        <f t="shared" si="13"/>
        <v>0.10958904109589042</v>
      </c>
      <c r="AG29" s="78">
        <f>AE:AE/P:P</f>
        <v>4.9689440993788817E-2</v>
      </c>
      <c r="AH29" s="78">
        <f t="shared" si="18"/>
        <v>0.72727272727272729</v>
      </c>
      <c r="AI29" s="78">
        <v>0.09</v>
      </c>
      <c r="AJ29" s="78">
        <v>0.06</v>
      </c>
      <c r="AK29" s="78">
        <f t="shared" si="19"/>
        <v>1.5</v>
      </c>
      <c r="AL29" s="78">
        <f>AI29/AE29</f>
        <v>1.125</v>
      </c>
      <c r="AM29" s="78">
        <f t="shared" ref="AM29:AM34" si="36">AI29/N29</f>
        <v>0.81818181818181812</v>
      </c>
      <c r="AN29" s="78">
        <f t="shared" ref="AN29:AN34" si="37">AI:AI/K:K</f>
        <v>0.12328767123287671</v>
      </c>
      <c r="AO29" s="78">
        <f t="shared" ref="AO29:AO34" si="38">AI29/AP29</f>
        <v>0.69230769230769229</v>
      </c>
      <c r="AP29" s="78">
        <v>0.13</v>
      </c>
      <c r="AQ29" s="78">
        <v>0.1</v>
      </c>
      <c r="AR29" s="78">
        <f t="shared" si="4"/>
        <v>0.1</v>
      </c>
      <c r="AS29" s="78">
        <f t="shared" si="5"/>
        <v>1.3</v>
      </c>
      <c r="AT29" s="78">
        <f t="shared" si="6"/>
        <v>0.17808219178082194</v>
      </c>
      <c r="AU29" s="78">
        <v>0.08</v>
      </c>
      <c r="AV29" s="78">
        <v>0.09</v>
      </c>
      <c r="AW29" s="78">
        <f t="shared" si="33"/>
        <v>0.88888888888888895</v>
      </c>
      <c r="AX29" s="80">
        <f t="shared" si="34"/>
        <v>1.625</v>
      </c>
      <c r="AY29" s="114" t="s">
        <v>75</v>
      </c>
      <c r="AZ29" s="87">
        <v>8</v>
      </c>
      <c r="BA29" s="252" t="s">
        <v>75</v>
      </c>
      <c r="BB29" s="252" t="s">
        <v>75</v>
      </c>
      <c r="BC29" s="257" t="s">
        <v>75</v>
      </c>
    </row>
    <row r="30" spans="2:55" ht="12.75" customHeight="1" x14ac:dyDescent="0.2">
      <c r="B30" s="285"/>
      <c r="C30" s="284"/>
      <c r="D30" s="284"/>
      <c r="E30" s="284"/>
      <c r="F30" s="78">
        <f>0.96+0.34</f>
        <v>1.3</v>
      </c>
      <c r="G30" s="80">
        <f t="shared" si="8"/>
        <v>3.18</v>
      </c>
      <c r="H30" s="80">
        <f t="shared" si="9"/>
        <v>2.4461538461538463</v>
      </c>
      <c r="I30" s="78">
        <v>0.09</v>
      </c>
      <c r="J30" s="78">
        <v>0.05</v>
      </c>
      <c r="K30" s="78">
        <v>0.71</v>
      </c>
      <c r="L30" s="78">
        <v>0.5</v>
      </c>
      <c r="M30" s="78">
        <v>0.52</v>
      </c>
      <c r="N30" s="78">
        <v>0.11</v>
      </c>
      <c r="O30" s="78">
        <v>1.2</v>
      </c>
      <c r="P30" s="78">
        <f t="shared" si="32"/>
        <v>1.31</v>
      </c>
      <c r="Q30" s="80">
        <f t="shared" si="10"/>
        <v>1.8450704225352115</v>
      </c>
      <c r="R30" s="80">
        <f t="shared" si="0"/>
        <v>0.73239436619718312</v>
      </c>
      <c r="S30" s="80">
        <f t="shared" si="1"/>
        <v>0.70422535211267612</v>
      </c>
      <c r="T30" s="80">
        <f t="shared" si="11"/>
        <v>10.909090909090908</v>
      </c>
      <c r="U30" s="78">
        <v>0.28000000000000003</v>
      </c>
      <c r="V30" s="78">
        <f t="shared" si="12"/>
        <v>11.357142857142856</v>
      </c>
      <c r="W30" s="78">
        <v>0.49</v>
      </c>
      <c r="X30" s="78">
        <v>0.08</v>
      </c>
      <c r="Y30" s="78">
        <f t="shared" si="31"/>
        <v>6.125</v>
      </c>
      <c r="Z30" s="78">
        <v>0.31</v>
      </c>
      <c r="AA30" s="79" t="s">
        <v>75</v>
      </c>
      <c r="AB30" s="79" t="s">
        <v>75</v>
      </c>
      <c r="AC30" s="79" t="s">
        <v>75</v>
      </c>
      <c r="AD30" s="79" t="s">
        <v>75</v>
      </c>
      <c r="AE30" s="79" t="s">
        <v>75</v>
      </c>
      <c r="AF30" s="79" t="s">
        <v>75</v>
      </c>
      <c r="AG30" s="79" t="s">
        <v>75</v>
      </c>
      <c r="AH30" s="79" t="s">
        <v>75</v>
      </c>
      <c r="AI30" s="78">
        <v>0.09</v>
      </c>
      <c r="AJ30" s="78">
        <v>0.06</v>
      </c>
      <c r="AK30" s="78">
        <f t="shared" ref="AK30" si="39">AI30/AJ30</f>
        <v>1.5</v>
      </c>
      <c r="AL30" s="79" t="s">
        <v>75</v>
      </c>
      <c r="AM30" s="78">
        <f t="shared" si="36"/>
        <v>0.81818181818181812</v>
      </c>
      <c r="AN30" s="78">
        <f t="shared" si="37"/>
        <v>0.12676056338028169</v>
      </c>
      <c r="AO30" s="78">
        <f t="shared" si="38"/>
        <v>0.64285714285714279</v>
      </c>
      <c r="AP30" s="78">
        <v>0.14000000000000001</v>
      </c>
      <c r="AQ30" s="78">
        <v>0.09</v>
      </c>
      <c r="AR30" s="78">
        <f t="shared" si="4"/>
        <v>0.1076923076923077</v>
      </c>
      <c r="AS30" s="78">
        <f t="shared" si="5"/>
        <v>1.5555555555555558</v>
      </c>
      <c r="AT30" s="78">
        <f t="shared" si="6"/>
        <v>0.19718309859154931</v>
      </c>
      <c r="AU30" s="78">
        <v>0.08</v>
      </c>
      <c r="AV30" s="78">
        <v>0.09</v>
      </c>
      <c r="AW30" s="78">
        <f t="shared" si="33"/>
        <v>0.88888888888888895</v>
      </c>
      <c r="AX30" s="80">
        <f t="shared" si="34"/>
        <v>1.7500000000000002</v>
      </c>
      <c r="AY30" s="114" t="s">
        <v>75</v>
      </c>
      <c r="AZ30" s="216" t="s">
        <v>75</v>
      </c>
      <c r="BA30" s="252" t="s">
        <v>75</v>
      </c>
      <c r="BB30" s="252" t="s">
        <v>75</v>
      </c>
      <c r="BC30" s="257" t="s">
        <v>75</v>
      </c>
    </row>
    <row r="31" spans="2:55" ht="12.75" customHeight="1" x14ac:dyDescent="0.2">
      <c r="B31" s="286">
        <v>24325</v>
      </c>
      <c r="C31" s="287" t="s">
        <v>306</v>
      </c>
      <c r="D31" s="288" t="s">
        <v>308</v>
      </c>
      <c r="E31" s="288" t="s">
        <v>304</v>
      </c>
      <c r="F31" s="72">
        <f>1.05+0.37</f>
        <v>1.42</v>
      </c>
      <c r="G31" s="110" t="s">
        <v>75</v>
      </c>
      <c r="H31" s="110" t="s">
        <v>75</v>
      </c>
      <c r="I31" s="72">
        <v>0.09</v>
      </c>
      <c r="J31" s="72">
        <v>0.06</v>
      </c>
      <c r="K31" s="72">
        <v>0.75</v>
      </c>
      <c r="L31" s="72">
        <v>0.51</v>
      </c>
      <c r="M31" s="72">
        <v>0.49</v>
      </c>
      <c r="N31" s="72">
        <v>0.13</v>
      </c>
      <c r="O31" s="73" t="s">
        <v>75</v>
      </c>
      <c r="P31" s="73" t="s">
        <v>75</v>
      </c>
      <c r="Q31" s="110" t="s">
        <v>75</v>
      </c>
      <c r="R31" s="82">
        <f t="shared" si="0"/>
        <v>0.65333333333333332</v>
      </c>
      <c r="S31" s="82">
        <f t="shared" si="1"/>
        <v>0.68</v>
      </c>
      <c r="T31" s="110" t="s">
        <v>75</v>
      </c>
      <c r="U31" s="72">
        <v>0.25</v>
      </c>
      <c r="V31" s="73" t="s">
        <v>75</v>
      </c>
      <c r="W31" s="72">
        <v>0.48</v>
      </c>
      <c r="X31" s="72">
        <v>0.08</v>
      </c>
      <c r="Y31" s="72">
        <f t="shared" si="31"/>
        <v>6</v>
      </c>
      <c r="Z31" s="72">
        <v>0.31</v>
      </c>
      <c r="AA31" s="72">
        <v>0.42</v>
      </c>
      <c r="AB31" s="72">
        <f t="shared" ref="AB31:AB51" si="40">AA31/F31</f>
        <v>0.29577464788732394</v>
      </c>
      <c r="AC31" s="72">
        <v>0.95</v>
      </c>
      <c r="AD31" s="72">
        <f t="shared" ref="AD31:AD51" si="41">AC31/F31</f>
        <v>0.66901408450704225</v>
      </c>
      <c r="AE31" s="72">
        <v>0.09</v>
      </c>
      <c r="AF31" s="72">
        <f>AE:AE/K:K</f>
        <v>0.12</v>
      </c>
      <c r="AG31" s="73" t="s">
        <v>75</v>
      </c>
      <c r="AH31" s="72">
        <f t="shared" ref="AH31:AH38" si="42">AE31/N31</f>
        <v>0.69230769230769229</v>
      </c>
      <c r="AI31" s="72">
        <v>0.1</v>
      </c>
      <c r="AJ31" s="72">
        <v>0.06</v>
      </c>
      <c r="AK31" s="72">
        <f t="shared" si="19"/>
        <v>1.6666666666666667</v>
      </c>
      <c r="AL31" s="72">
        <f>AI31/AE31</f>
        <v>1.1111111111111112</v>
      </c>
      <c r="AM31" s="72">
        <f t="shared" si="36"/>
        <v>0.76923076923076927</v>
      </c>
      <c r="AN31" s="72">
        <f t="shared" si="37"/>
        <v>0.13333333333333333</v>
      </c>
      <c r="AO31" s="72">
        <f t="shared" si="38"/>
        <v>0.66666666666666674</v>
      </c>
      <c r="AP31" s="72">
        <v>0.15</v>
      </c>
      <c r="AQ31" s="72">
        <v>0.09</v>
      </c>
      <c r="AR31" s="72">
        <f t="shared" si="4"/>
        <v>0.10563380281690141</v>
      </c>
      <c r="AS31" s="72">
        <f t="shared" si="5"/>
        <v>1.6666666666666667</v>
      </c>
      <c r="AT31" s="72">
        <f t="shared" si="6"/>
        <v>0.19999999999999998</v>
      </c>
      <c r="AU31" s="72">
        <v>0.09</v>
      </c>
      <c r="AV31" s="72">
        <v>0.1</v>
      </c>
      <c r="AW31" s="72">
        <f t="shared" si="33"/>
        <v>0.89999999999999991</v>
      </c>
      <c r="AX31" s="82">
        <f t="shared" si="34"/>
        <v>1.6666666666666667</v>
      </c>
      <c r="AY31" s="110" t="s">
        <v>75</v>
      </c>
      <c r="AZ31" s="84">
        <v>8</v>
      </c>
      <c r="BA31" s="251" t="s">
        <v>75</v>
      </c>
      <c r="BB31" s="251" t="s">
        <v>75</v>
      </c>
      <c r="BC31" s="256" t="s">
        <v>75</v>
      </c>
    </row>
    <row r="32" spans="2:55" ht="12.75" customHeight="1" x14ac:dyDescent="0.2">
      <c r="B32" s="289"/>
      <c r="C32" s="288"/>
      <c r="D32" s="288"/>
      <c r="E32" s="288"/>
      <c r="F32" s="72">
        <f>1.05+0.37</f>
        <v>1.42</v>
      </c>
      <c r="G32" s="110" t="s">
        <v>75</v>
      </c>
      <c r="H32" s="110" t="s">
        <v>75</v>
      </c>
      <c r="I32" s="72">
        <v>0.1</v>
      </c>
      <c r="J32" s="72">
        <v>0.06</v>
      </c>
      <c r="K32" s="72">
        <v>0.72</v>
      </c>
      <c r="L32" s="72">
        <v>0.5</v>
      </c>
      <c r="M32" s="72">
        <v>0.53</v>
      </c>
      <c r="N32" s="72">
        <v>0.12</v>
      </c>
      <c r="O32" s="73" t="s">
        <v>75</v>
      </c>
      <c r="P32" s="73" t="s">
        <v>75</v>
      </c>
      <c r="Q32" s="110" t="s">
        <v>75</v>
      </c>
      <c r="R32" s="82">
        <f t="shared" si="0"/>
        <v>0.73611111111111116</v>
      </c>
      <c r="S32" s="82">
        <f t="shared" si="1"/>
        <v>0.69444444444444442</v>
      </c>
      <c r="T32" s="110" t="s">
        <v>75</v>
      </c>
      <c r="U32" s="72">
        <v>0.25</v>
      </c>
      <c r="V32" s="73" t="s">
        <v>75</v>
      </c>
      <c r="W32" s="72">
        <v>0.47</v>
      </c>
      <c r="X32" s="72">
        <v>7.0000000000000007E-2</v>
      </c>
      <c r="Y32" s="72">
        <f t="shared" si="31"/>
        <v>6.7142857142857135</v>
      </c>
      <c r="Z32" s="72">
        <v>0.33</v>
      </c>
      <c r="AA32" s="72">
        <v>0.43</v>
      </c>
      <c r="AB32" s="72">
        <f t="shared" si="40"/>
        <v>0.30281690140845069</v>
      </c>
      <c r="AC32" s="72">
        <v>0.91</v>
      </c>
      <c r="AD32" s="72">
        <f t="shared" si="41"/>
        <v>0.64084507042253525</v>
      </c>
      <c r="AE32" s="72">
        <v>0.09</v>
      </c>
      <c r="AF32" s="72">
        <f>AE:AE/K:K</f>
        <v>0.125</v>
      </c>
      <c r="AG32" s="73" t="s">
        <v>75</v>
      </c>
      <c r="AH32" s="72">
        <f t="shared" si="42"/>
        <v>0.75</v>
      </c>
      <c r="AI32" s="72">
        <v>0.1</v>
      </c>
      <c r="AJ32" s="72">
        <v>0.06</v>
      </c>
      <c r="AK32" s="72">
        <f t="shared" ref="AK32" si="43">AI32/AJ32</f>
        <v>1.6666666666666667</v>
      </c>
      <c r="AL32" s="72">
        <f>AI32/AE32</f>
        <v>1.1111111111111112</v>
      </c>
      <c r="AM32" s="72">
        <f t="shared" si="36"/>
        <v>0.83333333333333337</v>
      </c>
      <c r="AN32" s="72">
        <f t="shared" si="37"/>
        <v>0.1388888888888889</v>
      </c>
      <c r="AO32" s="72">
        <f t="shared" si="38"/>
        <v>0.625</v>
      </c>
      <c r="AP32" s="72">
        <v>0.16</v>
      </c>
      <c r="AQ32" s="72">
        <v>0.09</v>
      </c>
      <c r="AR32" s="72">
        <f t="shared" si="4"/>
        <v>0.11267605633802817</v>
      </c>
      <c r="AS32" s="72">
        <f t="shared" si="5"/>
        <v>1.7777777777777779</v>
      </c>
      <c r="AT32" s="72">
        <f t="shared" si="6"/>
        <v>0.22222222222222224</v>
      </c>
      <c r="AU32" s="72">
        <v>0.09</v>
      </c>
      <c r="AV32" s="72">
        <v>0.1</v>
      </c>
      <c r="AW32" s="72">
        <f t="shared" si="33"/>
        <v>0.89999999999999991</v>
      </c>
      <c r="AX32" s="82">
        <f t="shared" si="34"/>
        <v>1.7777777777777779</v>
      </c>
      <c r="AY32" s="110" t="s">
        <v>75</v>
      </c>
      <c r="AZ32" s="84">
        <v>10</v>
      </c>
      <c r="BA32" s="251" t="s">
        <v>75</v>
      </c>
      <c r="BB32" s="251" t="s">
        <v>75</v>
      </c>
      <c r="BC32" s="256" t="s">
        <v>75</v>
      </c>
    </row>
    <row r="33" spans="2:55" ht="12.75" customHeight="1" x14ac:dyDescent="0.2">
      <c r="B33" s="282">
        <v>24325</v>
      </c>
      <c r="C33" s="283" t="s">
        <v>306</v>
      </c>
      <c r="D33" s="284" t="s">
        <v>308</v>
      </c>
      <c r="E33" s="284" t="s">
        <v>304</v>
      </c>
      <c r="F33" s="78">
        <f>0.92+0.54</f>
        <v>1.46</v>
      </c>
      <c r="G33" s="114" t="s">
        <v>75</v>
      </c>
      <c r="H33" s="114" t="s">
        <v>75</v>
      </c>
      <c r="I33" s="78">
        <v>0.09</v>
      </c>
      <c r="J33" s="78">
        <v>0.05</v>
      </c>
      <c r="K33" s="78">
        <v>0.76</v>
      </c>
      <c r="L33" s="78">
        <v>0.48</v>
      </c>
      <c r="M33" s="78">
        <v>0.55000000000000004</v>
      </c>
      <c r="N33" s="78">
        <v>0.11</v>
      </c>
      <c r="O33" s="79" t="s">
        <v>75</v>
      </c>
      <c r="P33" s="79" t="s">
        <v>75</v>
      </c>
      <c r="Q33" s="114" t="s">
        <v>75</v>
      </c>
      <c r="R33" s="80">
        <f t="shared" si="0"/>
        <v>0.72368421052631582</v>
      </c>
      <c r="S33" s="80">
        <f t="shared" si="1"/>
        <v>0.63157894736842102</v>
      </c>
      <c r="T33" s="114" t="s">
        <v>75</v>
      </c>
      <c r="U33" s="78">
        <v>0.27</v>
      </c>
      <c r="V33" s="79" t="s">
        <v>75</v>
      </c>
      <c r="W33" s="78">
        <v>0.48</v>
      </c>
      <c r="X33" s="78">
        <v>0.08</v>
      </c>
      <c r="Y33" s="78">
        <f t="shared" si="31"/>
        <v>6</v>
      </c>
      <c r="Z33" s="78">
        <v>0.32</v>
      </c>
      <c r="AA33" s="78">
        <v>0.43</v>
      </c>
      <c r="AB33" s="78">
        <f t="shared" si="40"/>
        <v>0.29452054794520549</v>
      </c>
      <c r="AC33" s="78">
        <v>0.9</v>
      </c>
      <c r="AD33" s="78">
        <f t="shared" si="41"/>
        <v>0.61643835616438358</v>
      </c>
      <c r="AE33" s="78">
        <v>0.08</v>
      </c>
      <c r="AF33" s="78">
        <f>AE:AE/K:K</f>
        <v>0.10526315789473684</v>
      </c>
      <c r="AG33" s="79" t="s">
        <v>75</v>
      </c>
      <c r="AH33" s="78">
        <f t="shared" si="42"/>
        <v>0.72727272727272729</v>
      </c>
      <c r="AI33" s="78">
        <v>0.09</v>
      </c>
      <c r="AJ33" s="78">
        <v>0.06</v>
      </c>
      <c r="AK33" s="78">
        <f t="shared" si="19"/>
        <v>1.5</v>
      </c>
      <c r="AL33" s="78">
        <f>AI33/AE33</f>
        <v>1.125</v>
      </c>
      <c r="AM33" s="78">
        <f t="shared" si="36"/>
        <v>0.81818181818181812</v>
      </c>
      <c r="AN33" s="78">
        <f t="shared" si="37"/>
        <v>0.11842105263157894</v>
      </c>
      <c r="AO33" s="78">
        <f t="shared" si="38"/>
        <v>0.64285714285714279</v>
      </c>
      <c r="AP33" s="78">
        <v>0.14000000000000001</v>
      </c>
      <c r="AQ33" s="78">
        <v>0.09</v>
      </c>
      <c r="AR33" s="78">
        <f t="shared" si="4"/>
        <v>9.5890410958904118E-2</v>
      </c>
      <c r="AS33" s="78">
        <f t="shared" si="5"/>
        <v>1.5555555555555558</v>
      </c>
      <c r="AT33" s="78">
        <f t="shared" si="6"/>
        <v>0.18421052631578949</v>
      </c>
      <c r="AU33" s="78">
        <v>0.08</v>
      </c>
      <c r="AV33" s="78">
        <v>0.09</v>
      </c>
      <c r="AW33" s="78">
        <f t="shared" si="33"/>
        <v>0.88888888888888895</v>
      </c>
      <c r="AX33" s="80">
        <f t="shared" si="34"/>
        <v>1.7500000000000002</v>
      </c>
      <c r="AY33" s="114" t="s">
        <v>75</v>
      </c>
      <c r="AZ33" s="87">
        <v>8</v>
      </c>
      <c r="BA33" s="252" t="s">
        <v>75</v>
      </c>
      <c r="BB33" s="252" t="s">
        <v>75</v>
      </c>
      <c r="BC33" s="257" t="s">
        <v>75</v>
      </c>
    </row>
    <row r="34" spans="2:55" ht="12.75" customHeight="1" x14ac:dyDescent="0.2">
      <c r="B34" s="285"/>
      <c r="C34" s="284"/>
      <c r="D34" s="284"/>
      <c r="E34" s="284"/>
      <c r="F34" s="78">
        <f>0.92+0.54</f>
        <v>1.46</v>
      </c>
      <c r="G34" s="114" t="s">
        <v>75</v>
      </c>
      <c r="H34" s="114" t="s">
        <v>75</v>
      </c>
      <c r="I34" s="78">
        <v>0.1</v>
      </c>
      <c r="J34" s="78">
        <v>0.05</v>
      </c>
      <c r="K34" s="78">
        <v>1.1100000000000001</v>
      </c>
      <c r="L34" s="79" t="s">
        <v>75</v>
      </c>
      <c r="M34" s="78">
        <v>0.59</v>
      </c>
      <c r="N34" s="78">
        <v>0.11</v>
      </c>
      <c r="O34" s="79" t="s">
        <v>75</v>
      </c>
      <c r="P34" s="79" t="s">
        <v>75</v>
      </c>
      <c r="Q34" s="114" t="s">
        <v>75</v>
      </c>
      <c r="R34" s="80">
        <f t="shared" si="0"/>
        <v>0.53153153153153143</v>
      </c>
      <c r="S34" s="114" t="s">
        <v>75</v>
      </c>
      <c r="T34" s="114" t="s">
        <v>75</v>
      </c>
      <c r="U34" s="78">
        <v>0.27</v>
      </c>
      <c r="V34" s="79" t="s">
        <v>75</v>
      </c>
      <c r="W34" s="78">
        <v>0.46</v>
      </c>
      <c r="X34" s="78">
        <v>7.0000000000000007E-2</v>
      </c>
      <c r="Y34" s="78">
        <f t="shared" si="31"/>
        <v>6.5714285714285712</v>
      </c>
      <c r="Z34" s="78">
        <v>0.3</v>
      </c>
      <c r="AA34" s="78">
        <v>0.42</v>
      </c>
      <c r="AB34" s="78">
        <f t="shared" si="40"/>
        <v>0.28767123287671231</v>
      </c>
      <c r="AC34" s="78">
        <v>0.92</v>
      </c>
      <c r="AD34" s="78">
        <f t="shared" si="41"/>
        <v>0.63013698630136994</v>
      </c>
      <c r="AE34" s="78">
        <v>0.08</v>
      </c>
      <c r="AF34" s="79" t="s">
        <v>75</v>
      </c>
      <c r="AG34" s="79" t="s">
        <v>75</v>
      </c>
      <c r="AH34" s="78">
        <f t="shared" si="42"/>
        <v>0.72727272727272729</v>
      </c>
      <c r="AI34" s="78">
        <v>0.09</v>
      </c>
      <c r="AJ34" s="78">
        <v>0.06</v>
      </c>
      <c r="AK34" s="78">
        <f t="shared" ref="AK34" si="44">AI34/AJ34</f>
        <v>1.5</v>
      </c>
      <c r="AL34" s="78">
        <f>AI34/AE34</f>
        <v>1.125</v>
      </c>
      <c r="AM34" s="78">
        <f t="shared" si="36"/>
        <v>0.81818181818181812</v>
      </c>
      <c r="AN34" s="78">
        <f t="shared" si="37"/>
        <v>8.1081081081081072E-2</v>
      </c>
      <c r="AO34" s="78">
        <f t="shared" si="38"/>
        <v>0.64285714285714279</v>
      </c>
      <c r="AP34" s="78">
        <v>0.14000000000000001</v>
      </c>
      <c r="AQ34" s="78">
        <v>0.1</v>
      </c>
      <c r="AR34" s="78">
        <f t="shared" si="4"/>
        <v>9.5890410958904118E-2</v>
      </c>
      <c r="AS34" s="78">
        <f t="shared" si="5"/>
        <v>1.4000000000000001</v>
      </c>
      <c r="AT34" s="78">
        <f t="shared" si="6"/>
        <v>0.12612612612612611</v>
      </c>
      <c r="AU34" s="78">
        <v>0.08</v>
      </c>
      <c r="AV34" s="78">
        <v>0.09</v>
      </c>
      <c r="AW34" s="78">
        <f t="shared" si="33"/>
        <v>0.88888888888888895</v>
      </c>
      <c r="AX34" s="80">
        <f t="shared" si="34"/>
        <v>1.7500000000000002</v>
      </c>
      <c r="AY34" s="114" t="s">
        <v>75</v>
      </c>
      <c r="AZ34" s="87">
        <v>9</v>
      </c>
      <c r="BA34" s="252" t="s">
        <v>75</v>
      </c>
      <c r="BB34" s="252" t="s">
        <v>75</v>
      </c>
      <c r="BC34" s="257" t="s">
        <v>75</v>
      </c>
    </row>
    <row r="35" spans="2:55" ht="12.75" customHeight="1" x14ac:dyDescent="0.2">
      <c r="B35" s="286">
        <v>24325</v>
      </c>
      <c r="C35" s="287" t="s">
        <v>306</v>
      </c>
      <c r="D35" s="288" t="s">
        <v>309</v>
      </c>
      <c r="E35" s="288" t="s">
        <v>304</v>
      </c>
      <c r="F35" s="72">
        <v>1.23</v>
      </c>
      <c r="G35" s="82">
        <f t="shared" si="8"/>
        <v>3.8100000000000005</v>
      </c>
      <c r="H35" s="82">
        <f t="shared" si="9"/>
        <v>3.0975609756097566</v>
      </c>
      <c r="I35" s="72">
        <v>0.09</v>
      </c>
      <c r="J35" s="72">
        <v>0.05</v>
      </c>
      <c r="K35" s="72">
        <v>0.71</v>
      </c>
      <c r="L35" s="72">
        <v>0.5</v>
      </c>
      <c r="M35" s="72">
        <v>0.55000000000000004</v>
      </c>
      <c r="N35" s="72">
        <v>0.11</v>
      </c>
      <c r="O35" s="72">
        <f>0.66+0.65+0.49</f>
        <v>1.8</v>
      </c>
      <c r="P35" s="72">
        <f>N:N+O:O</f>
        <v>1.9100000000000001</v>
      </c>
      <c r="Q35" s="82">
        <f t="shared" si="10"/>
        <v>2.6901408450704229</v>
      </c>
      <c r="R35" s="82">
        <f t="shared" si="0"/>
        <v>0.77464788732394374</v>
      </c>
      <c r="S35" s="82">
        <f t="shared" si="1"/>
        <v>0.70422535211267612</v>
      </c>
      <c r="T35" s="82">
        <f t="shared" si="11"/>
        <v>16.363636363636363</v>
      </c>
      <c r="U35" s="72">
        <v>0.24</v>
      </c>
      <c r="V35" s="72">
        <f t="shared" si="12"/>
        <v>15.875000000000002</v>
      </c>
      <c r="W35" s="72">
        <v>0.48</v>
      </c>
      <c r="X35" s="72">
        <v>0.06</v>
      </c>
      <c r="Y35" s="72">
        <f t="shared" si="31"/>
        <v>8</v>
      </c>
      <c r="Z35" s="72">
        <v>0.3</v>
      </c>
      <c r="AA35" s="72">
        <v>0.4</v>
      </c>
      <c r="AB35" s="72">
        <f t="shared" si="40"/>
        <v>0.32520325203252037</v>
      </c>
      <c r="AC35" s="72">
        <v>0.85</v>
      </c>
      <c r="AD35" s="72">
        <f t="shared" si="41"/>
        <v>0.69105691056910568</v>
      </c>
      <c r="AE35" s="72">
        <v>0.08</v>
      </c>
      <c r="AF35" s="72">
        <f t="shared" ref="AF35:AF51" si="45">AE:AE/K:K</f>
        <v>0.11267605633802817</v>
      </c>
      <c r="AG35" s="72">
        <f>AE:AE/P:P</f>
        <v>4.1884816753926697E-2</v>
      </c>
      <c r="AH35" s="72">
        <f t="shared" si="42"/>
        <v>0.72727272727272729</v>
      </c>
      <c r="AI35" s="73" t="s">
        <v>75</v>
      </c>
      <c r="AJ35" s="73" t="s">
        <v>75</v>
      </c>
      <c r="AK35" s="73" t="s">
        <v>75</v>
      </c>
      <c r="AL35" s="73" t="s">
        <v>75</v>
      </c>
      <c r="AM35" s="73" t="s">
        <v>75</v>
      </c>
      <c r="AN35" s="73" t="s">
        <v>75</v>
      </c>
      <c r="AO35" s="73" t="s">
        <v>75</v>
      </c>
      <c r="AP35" s="72">
        <v>0.14000000000000001</v>
      </c>
      <c r="AQ35" s="72">
        <v>7.0000000000000007E-2</v>
      </c>
      <c r="AR35" s="72">
        <f t="shared" ref="AR35:AR51" si="46">AP35/F35</f>
        <v>0.11382113821138212</v>
      </c>
      <c r="AS35" s="72">
        <f t="shared" si="5"/>
        <v>2</v>
      </c>
      <c r="AT35" s="72">
        <f t="shared" ref="AT35:AT51" si="47">AP35/K35</f>
        <v>0.19718309859154931</v>
      </c>
      <c r="AU35" s="72">
        <v>7.0000000000000007E-2</v>
      </c>
      <c r="AV35" s="72">
        <v>0.09</v>
      </c>
      <c r="AW35" s="72">
        <f t="shared" si="33"/>
        <v>0.7777777777777779</v>
      </c>
      <c r="AX35" s="82">
        <f t="shared" si="34"/>
        <v>2</v>
      </c>
      <c r="AY35" s="110" t="s">
        <v>75</v>
      </c>
      <c r="AZ35" s="84">
        <v>8</v>
      </c>
      <c r="BA35" s="251" t="s">
        <v>75</v>
      </c>
      <c r="BB35" s="251" t="s">
        <v>75</v>
      </c>
      <c r="BC35" s="256" t="s">
        <v>75</v>
      </c>
    </row>
    <row r="36" spans="2:55" ht="12.75" customHeight="1" x14ac:dyDescent="0.2">
      <c r="B36" s="289"/>
      <c r="C36" s="288"/>
      <c r="D36" s="288"/>
      <c r="E36" s="288"/>
      <c r="F36" s="72">
        <v>1.23</v>
      </c>
      <c r="G36" s="82">
        <f t="shared" si="8"/>
        <v>3.37</v>
      </c>
      <c r="H36" s="82">
        <f t="shared" si="9"/>
        <v>2.7398373983739837</v>
      </c>
      <c r="I36" s="72">
        <v>0.09</v>
      </c>
      <c r="J36" s="72">
        <v>0.05</v>
      </c>
      <c r="K36" s="72">
        <v>0.72</v>
      </c>
      <c r="L36" s="72">
        <v>0.52</v>
      </c>
      <c r="M36" s="72">
        <v>0.55000000000000004</v>
      </c>
      <c r="N36" s="72">
        <v>0.11</v>
      </c>
      <c r="O36" s="72">
        <v>1.33</v>
      </c>
      <c r="P36" s="72">
        <f>N:N+O:O</f>
        <v>1.4400000000000002</v>
      </c>
      <c r="Q36" s="82">
        <f t="shared" si="10"/>
        <v>2.0000000000000004</v>
      </c>
      <c r="R36" s="82">
        <f t="shared" si="0"/>
        <v>0.76388888888888895</v>
      </c>
      <c r="S36" s="82">
        <f t="shared" si="1"/>
        <v>0.72222222222222232</v>
      </c>
      <c r="T36" s="82">
        <f t="shared" si="11"/>
        <v>12.090909090909092</v>
      </c>
      <c r="U36" s="72">
        <v>0.24</v>
      </c>
      <c r="V36" s="72">
        <f t="shared" si="12"/>
        <v>14.041666666666668</v>
      </c>
      <c r="W36" s="72">
        <v>0.48</v>
      </c>
      <c r="X36" s="72">
        <v>0.06</v>
      </c>
      <c r="Y36" s="72">
        <f t="shared" si="31"/>
        <v>8</v>
      </c>
      <c r="Z36" s="73" t="s">
        <v>75</v>
      </c>
      <c r="AA36" s="72">
        <v>0.41</v>
      </c>
      <c r="AB36" s="72">
        <f t="shared" si="40"/>
        <v>0.33333333333333331</v>
      </c>
      <c r="AC36" s="72">
        <v>0.86</v>
      </c>
      <c r="AD36" s="72">
        <f t="shared" si="41"/>
        <v>0.69918699186991873</v>
      </c>
      <c r="AE36" s="72">
        <v>0.08</v>
      </c>
      <c r="AF36" s="72">
        <f t="shared" si="45"/>
        <v>0.11111111111111112</v>
      </c>
      <c r="AG36" s="72">
        <f>AE:AE/P:P</f>
        <v>5.5555555555555552E-2</v>
      </c>
      <c r="AH36" s="72">
        <f t="shared" si="42"/>
        <v>0.72727272727272729</v>
      </c>
      <c r="AI36" s="73" t="s">
        <v>75</v>
      </c>
      <c r="AJ36" s="73" t="s">
        <v>75</v>
      </c>
      <c r="AK36" s="73" t="s">
        <v>75</v>
      </c>
      <c r="AL36" s="73" t="s">
        <v>75</v>
      </c>
      <c r="AM36" s="73" t="s">
        <v>75</v>
      </c>
      <c r="AN36" s="73" t="s">
        <v>75</v>
      </c>
      <c r="AO36" s="73" t="s">
        <v>75</v>
      </c>
      <c r="AP36" s="72">
        <v>0.14000000000000001</v>
      </c>
      <c r="AQ36" s="72">
        <v>0.08</v>
      </c>
      <c r="AR36" s="72">
        <f t="shared" si="46"/>
        <v>0.11382113821138212</v>
      </c>
      <c r="AS36" s="72">
        <f t="shared" si="5"/>
        <v>1.7500000000000002</v>
      </c>
      <c r="AT36" s="72">
        <f t="shared" si="47"/>
        <v>0.19444444444444448</v>
      </c>
      <c r="AU36" s="72">
        <v>7.0000000000000007E-2</v>
      </c>
      <c r="AV36" s="72">
        <v>0.09</v>
      </c>
      <c r="AW36" s="72">
        <f t="shared" si="33"/>
        <v>0.7777777777777779</v>
      </c>
      <c r="AX36" s="82">
        <f t="shared" si="34"/>
        <v>2</v>
      </c>
      <c r="AY36" s="110" t="s">
        <v>75</v>
      </c>
      <c r="AZ36" s="84">
        <v>9</v>
      </c>
      <c r="BA36" s="251" t="s">
        <v>75</v>
      </c>
      <c r="BB36" s="251" t="s">
        <v>75</v>
      </c>
      <c r="BC36" s="256" t="s">
        <v>75</v>
      </c>
    </row>
    <row r="37" spans="2:55" ht="12.75" customHeight="1" x14ac:dyDescent="0.2">
      <c r="B37" s="282">
        <v>24325</v>
      </c>
      <c r="C37" s="283" t="s">
        <v>306</v>
      </c>
      <c r="D37" s="284" t="s">
        <v>309</v>
      </c>
      <c r="E37" s="284" t="s">
        <v>304</v>
      </c>
      <c r="F37" s="78">
        <v>1.21</v>
      </c>
      <c r="G37" s="80">
        <f t="shared" si="8"/>
        <v>3.4399999999999995</v>
      </c>
      <c r="H37" s="80">
        <f t="shared" si="9"/>
        <v>2.8429752066115701</v>
      </c>
      <c r="I37" s="78">
        <v>0.09</v>
      </c>
      <c r="J37" s="78">
        <v>0.05</v>
      </c>
      <c r="K37" s="78">
        <v>0.81</v>
      </c>
      <c r="L37" s="78">
        <v>0.53</v>
      </c>
      <c r="M37" s="78">
        <v>0.59</v>
      </c>
      <c r="N37" s="78">
        <v>0.11</v>
      </c>
      <c r="O37" s="78">
        <v>1.26</v>
      </c>
      <c r="P37" s="78">
        <f>N:N+O:O</f>
        <v>1.37</v>
      </c>
      <c r="Q37" s="80">
        <f t="shared" si="10"/>
        <v>1.691358024691358</v>
      </c>
      <c r="R37" s="80">
        <f t="shared" si="0"/>
        <v>0.72839506172839497</v>
      </c>
      <c r="S37" s="80">
        <f t="shared" si="1"/>
        <v>0.65432098765432101</v>
      </c>
      <c r="T37" s="80">
        <f t="shared" si="11"/>
        <v>11.454545454545455</v>
      </c>
      <c r="U37" s="78">
        <v>0.21</v>
      </c>
      <c r="V37" s="78">
        <f t="shared" si="12"/>
        <v>16.38095238095238</v>
      </c>
      <c r="W37" s="78">
        <v>0.52</v>
      </c>
      <c r="X37" s="78">
        <v>7.0000000000000007E-2</v>
      </c>
      <c r="Y37" s="78">
        <f t="shared" si="31"/>
        <v>7.4285714285714279</v>
      </c>
      <c r="Z37" s="78">
        <v>0.31</v>
      </c>
      <c r="AA37" s="78">
        <v>0.48</v>
      </c>
      <c r="AB37" s="78">
        <f t="shared" si="40"/>
        <v>0.39669421487603307</v>
      </c>
      <c r="AC37" s="78">
        <v>1.01</v>
      </c>
      <c r="AD37" s="78">
        <f t="shared" si="41"/>
        <v>0.83471074380165289</v>
      </c>
      <c r="AE37" s="78">
        <v>0.09</v>
      </c>
      <c r="AF37" s="78">
        <f t="shared" si="45"/>
        <v>0.1111111111111111</v>
      </c>
      <c r="AG37" s="78">
        <f>AE:AE/P:P</f>
        <v>6.5693430656934296E-2</v>
      </c>
      <c r="AH37" s="78">
        <f t="shared" si="42"/>
        <v>0.81818181818181812</v>
      </c>
      <c r="AI37" s="78">
        <v>0.09</v>
      </c>
      <c r="AJ37" s="78">
        <v>0.05</v>
      </c>
      <c r="AK37" s="78">
        <f t="shared" si="19"/>
        <v>1.7999999999999998</v>
      </c>
      <c r="AL37" s="78">
        <f t="shared" ref="AL37:AL51" si="48">AI37/AE37</f>
        <v>1</v>
      </c>
      <c r="AM37" s="78">
        <f>AI37/N37</f>
        <v>0.81818181818181812</v>
      </c>
      <c r="AN37" s="78">
        <f t="shared" ref="AN37:AN51" si="49">AI:AI/K:K</f>
        <v>0.1111111111111111</v>
      </c>
      <c r="AO37" s="78">
        <f t="shared" ref="AO37:AO51" si="50">AI37/AP37</f>
        <v>0.52941176470588225</v>
      </c>
      <c r="AP37" s="78">
        <v>0.17</v>
      </c>
      <c r="AQ37" s="78">
        <v>0.08</v>
      </c>
      <c r="AR37" s="78">
        <f t="shared" si="46"/>
        <v>0.14049586776859505</v>
      </c>
      <c r="AS37" s="78">
        <f t="shared" si="5"/>
        <v>2.125</v>
      </c>
      <c r="AT37" s="78">
        <f t="shared" si="47"/>
        <v>0.20987654320987653</v>
      </c>
      <c r="AU37" s="79" t="s">
        <v>75</v>
      </c>
      <c r="AV37" s="79" t="s">
        <v>75</v>
      </c>
      <c r="AW37" s="79" t="s">
        <v>75</v>
      </c>
      <c r="AX37" s="114" t="s">
        <v>75</v>
      </c>
      <c r="AY37" s="114" t="s">
        <v>75</v>
      </c>
      <c r="AZ37" s="87">
        <v>8</v>
      </c>
      <c r="BA37" s="252" t="s">
        <v>75</v>
      </c>
      <c r="BB37" s="252" t="s">
        <v>75</v>
      </c>
      <c r="BC37" s="257" t="s">
        <v>75</v>
      </c>
    </row>
    <row r="38" spans="2:55" ht="12.75" customHeight="1" x14ac:dyDescent="0.2">
      <c r="B38" s="285"/>
      <c r="C38" s="284"/>
      <c r="D38" s="284"/>
      <c r="E38" s="284"/>
      <c r="F38" s="78">
        <v>1.21</v>
      </c>
      <c r="G38" s="80">
        <f t="shared" si="8"/>
        <v>3.4899999999999998</v>
      </c>
      <c r="H38" s="80">
        <f t="shared" si="9"/>
        <v>2.884297520661157</v>
      </c>
      <c r="I38" s="78">
        <v>0.1</v>
      </c>
      <c r="J38" s="78">
        <v>0.06</v>
      </c>
      <c r="K38" s="78">
        <v>0.83</v>
      </c>
      <c r="L38" s="78">
        <v>0.51</v>
      </c>
      <c r="M38" s="78">
        <v>0.55000000000000004</v>
      </c>
      <c r="N38" s="78">
        <v>0.11</v>
      </c>
      <c r="O38" s="78">
        <v>1.33</v>
      </c>
      <c r="P38" s="78">
        <f>N:N+O:O</f>
        <v>1.4400000000000002</v>
      </c>
      <c r="Q38" s="80">
        <f t="shared" si="10"/>
        <v>1.7349397590361448</v>
      </c>
      <c r="R38" s="80">
        <f t="shared" si="0"/>
        <v>0.66265060240963869</v>
      </c>
      <c r="S38" s="80">
        <f t="shared" si="1"/>
        <v>0.6144578313253013</v>
      </c>
      <c r="T38" s="80">
        <f t="shared" si="11"/>
        <v>12.090909090909092</v>
      </c>
      <c r="U38" s="78">
        <v>0.21</v>
      </c>
      <c r="V38" s="78">
        <f t="shared" si="12"/>
        <v>16.619047619047617</v>
      </c>
      <c r="W38" s="78">
        <v>0.53</v>
      </c>
      <c r="X38" s="78">
        <v>7.0000000000000007E-2</v>
      </c>
      <c r="Y38" s="78">
        <f t="shared" si="31"/>
        <v>7.5714285714285712</v>
      </c>
      <c r="Z38" s="78">
        <v>0.3</v>
      </c>
      <c r="AA38" s="78">
        <v>0.48</v>
      </c>
      <c r="AB38" s="78">
        <f t="shared" si="40"/>
        <v>0.39669421487603307</v>
      </c>
      <c r="AC38" s="78">
        <v>0.97</v>
      </c>
      <c r="AD38" s="78">
        <f t="shared" si="41"/>
        <v>0.80165289256198347</v>
      </c>
      <c r="AE38" s="78">
        <v>0.08</v>
      </c>
      <c r="AF38" s="78">
        <f t="shared" si="45"/>
        <v>9.6385542168674704E-2</v>
      </c>
      <c r="AG38" s="78">
        <f>AE:AE/P:P</f>
        <v>5.5555555555555552E-2</v>
      </c>
      <c r="AH38" s="78">
        <f t="shared" si="42"/>
        <v>0.72727272727272729</v>
      </c>
      <c r="AI38" s="78">
        <v>0.09</v>
      </c>
      <c r="AJ38" s="78">
        <v>0.05</v>
      </c>
      <c r="AK38" s="78">
        <f t="shared" ref="AK38" si="51">AI38/AJ38</f>
        <v>1.7999999999999998</v>
      </c>
      <c r="AL38" s="78">
        <f t="shared" si="48"/>
        <v>1.125</v>
      </c>
      <c r="AM38" s="78">
        <f>AI38/N38</f>
        <v>0.81818181818181812</v>
      </c>
      <c r="AN38" s="78">
        <f t="shared" si="49"/>
        <v>0.10843373493975904</v>
      </c>
      <c r="AO38" s="78">
        <f t="shared" si="50"/>
        <v>0.5625</v>
      </c>
      <c r="AP38" s="78">
        <v>0.16</v>
      </c>
      <c r="AQ38" s="78">
        <v>0.09</v>
      </c>
      <c r="AR38" s="78">
        <f t="shared" si="46"/>
        <v>0.13223140495867769</v>
      </c>
      <c r="AS38" s="78">
        <f t="shared" si="5"/>
        <v>1.7777777777777779</v>
      </c>
      <c r="AT38" s="78">
        <f t="shared" si="47"/>
        <v>0.19277108433734941</v>
      </c>
      <c r="AU38" s="79" t="s">
        <v>75</v>
      </c>
      <c r="AV38" s="79" t="s">
        <v>75</v>
      </c>
      <c r="AW38" s="79" t="s">
        <v>75</v>
      </c>
      <c r="AX38" s="114" t="s">
        <v>75</v>
      </c>
      <c r="AY38" s="114" t="s">
        <v>75</v>
      </c>
      <c r="AZ38" s="87">
        <v>9</v>
      </c>
      <c r="BA38" s="252" t="s">
        <v>75</v>
      </c>
      <c r="BB38" s="252" t="s">
        <v>75</v>
      </c>
      <c r="BC38" s="257" t="s">
        <v>75</v>
      </c>
    </row>
    <row r="39" spans="2:55" ht="12.75" customHeight="1" x14ac:dyDescent="0.2">
      <c r="B39" s="286">
        <v>24325</v>
      </c>
      <c r="C39" s="287" t="s">
        <v>306</v>
      </c>
      <c r="D39" s="288" t="s">
        <v>309</v>
      </c>
      <c r="E39" s="288" t="s">
        <v>304</v>
      </c>
      <c r="F39" s="72">
        <f>0.89+0.57</f>
        <v>1.46</v>
      </c>
      <c r="G39" s="110" t="s">
        <v>75</v>
      </c>
      <c r="H39" s="110" t="s">
        <v>75</v>
      </c>
      <c r="I39" s="72">
        <v>0.09</v>
      </c>
      <c r="J39" s="72">
        <v>0.05</v>
      </c>
      <c r="K39" s="72">
        <v>0.8</v>
      </c>
      <c r="L39" s="72">
        <v>0.57999999999999996</v>
      </c>
      <c r="M39" s="73" t="s">
        <v>75</v>
      </c>
      <c r="N39" s="73" t="s">
        <v>75</v>
      </c>
      <c r="O39" s="73" t="s">
        <v>75</v>
      </c>
      <c r="P39" s="73" t="s">
        <v>75</v>
      </c>
      <c r="Q39" s="110" t="s">
        <v>75</v>
      </c>
      <c r="R39" s="110" t="s">
        <v>75</v>
      </c>
      <c r="S39" s="82">
        <f t="shared" si="1"/>
        <v>0.72499999999999987</v>
      </c>
      <c r="T39" s="110" t="s">
        <v>75</v>
      </c>
      <c r="U39" s="72">
        <v>0.25</v>
      </c>
      <c r="V39" s="73" t="s">
        <v>75</v>
      </c>
      <c r="W39" s="72">
        <v>0.48</v>
      </c>
      <c r="X39" s="72">
        <v>0.08</v>
      </c>
      <c r="Y39" s="72">
        <f t="shared" si="31"/>
        <v>6</v>
      </c>
      <c r="Z39" s="73" t="s">
        <v>75</v>
      </c>
      <c r="AA39" s="72">
        <v>0.45</v>
      </c>
      <c r="AB39" s="72">
        <f t="shared" si="40"/>
        <v>0.30821917808219179</v>
      </c>
      <c r="AC39" s="72">
        <v>1.01</v>
      </c>
      <c r="AD39" s="72">
        <f t="shared" si="41"/>
        <v>0.69178082191780821</v>
      </c>
      <c r="AE39" s="72">
        <v>0.09</v>
      </c>
      <c r="AF39" s="72">
        <f t="shared" si="45"/>
        <v>0.11249999999999999</v>
      </c>
      <c r="AG39" s="73" t="s">
        <v>75</v>
      </c>
      <c r="AH39" s="73" t="s">
        <v>75</v>
      </c>
      <c r="AI39" s="72">
        <v>0.09</v>
      </c>
      <c r="AJ39" s="72">
        <v>0.06</v>
      </c>
      <c r="AK39" s="72">
        <f t="shared" si="19"/>
        <v>1.5</v>
      </c>
      <c r="AL39" s="72">
        <f t="shared" si="48"/>
        <v>1</v>
      </c>
      <c r="AM39" s="73" t="s">
        <v>75</v>
      </c>
      <c r="AN39" s="72">
        <f t="shared" si="49"/>
        <v>0.11249999999999999</v>
      </c>
      <c r="AO39" s="72">
        <f t="shared" si="50"/>
        <v>0.6</v>
      </c>
      <c r="AP39" s="72">
        <v>0.15</v>
      </c>
      <c r="AQ39" s="72">
        <v>0.11</v>
      </c>
      <c r="AR39" s="72">
        <f t="shared" si="46"/>
        <v>0.10273972602739725</v>
      </c>
      <c r="AS39" s="72">
        <f t="shared" si="5"/>
        <v>1.3636363636363635</v>
      </c>
      <c r="AT39" s="72">
        <f t="shared" si="47"/>
        <v>0.18749999999999997</v>
      </c>
      <c r="AU39" s="73" t="s">
        <v>75</v>
      </c>
      <c r="AV39" s="73" t="s">
        <v>75</v>
      </c>
      <c r="AW39" s="73" t="s">
        <v>75</v>
      </c>
      <c r="AX39" s="110" t="s">
        <v>75</v>
      </c>
      <c r="AY39" s="110" t="s">
        <v>75</v>
      </c>
      <c r="AZ39" s="84">
        <v>8</v>
      </c>
      <c r="BA39" s="251" t="s">
        <v>75</v>
      </c>
      <c r="BB39" s="251" t="s">
        <v>75</v>
      </c>
      <c r="BC39" s="256" t="s">
        <v>75</v>
      </c>
    </row>
    <row r="40" spans="2:55" ht="12.75" customHeight="1" x14ac:dyDescent="0.2">
      <c r="B40" s="289"/>
      <c r="C40" s="288"/>
      <c r="D40" s="288"/>
      <c r="E40" s="288"/>
      <c r="F40" s="72">
        <f>0.89+0.57</f>
        <v>1.46</v>
      </c>
      <c r="G40" s="82">
        <f t="shared" si="8"/>
        <v>4.05</v>
      </c>
      <c r="H40" s="82">
        <f t="shared" si="9"/>
        <v>2.7739726027397258</v>
      </c>
      <c r="I40" s="72">
        <v>0.1</v>
      </c>
      <c r="J40" s="72">
        <v>0.05</v>
      </c>
      <c r="K40" s="72">
        <v>0.79</v>
      </c>
      <c r="L40" s="72">
        <v>0.56000000000000005</v>
      </c>
      <c r="M40" s="72">
        <v>0.59</v>
      </c>
      <c r="N40" s="72">
        <v>0.12</v>
      </c>
      <c r="O40" s="72">
        <v>1.84</v>
      </c>
      <c r="P40" s="72">
        <f>N:N+O:O</f>
        <v>1.96</v>
      </c>
      <c r="Q40" s="82">
        <f t="shared" si="10"/>
        <v>2.481012658227848</v>
      </c>
      <c r="R40" s="82">
        <f t="shared" si="0"/>
        <v>0.74683544303797456</v>
      </c>
      <c r="S40" s="82">
        <f t="shared" si="1"/>
        <v>0.70886075949367089</v>
      </c>
      <c r="T40" s="82">
        <f t="shared" si="11"/>
        <v>15.333333333333334</v>
      </c>
      <c r="U40" s="72">
        <v>0.25</v>
      </c>
      <c r="V40" s="72">
        <f t="shared" si="12"/>
        <v>16.2</v>
      </c>
      <c r="W40" s="72">
        <v>0.48</v>
      </c>
      <c r="X40" s="72">
        <v>0.09</v>
      </c>
      <c r="Y40" s="72">
        <f t="shared" si="31"/>
        <v>5.333333333333333</v>
      </c>
      <c r="Z40" s="73" t="s">
        <v>75</v>
      </c>
      <c r="AA40" s="72">
        <v>0.46</v>
      </c>
      <c r="AB40" s="72">
        <f t="shared" si="40"/>
        <v>0.31506849315068497</v>
      </c>
      <c r="AC40" s="72">
        <v>0.99</v>
      </c>
      <c r="AD40" s="72">
        <f t="shared" si="41"/>
        <v>0.67808219178082196</v>
      </c>
      <c r="AE40" s="72">
        <v>0.08</v>
      </c>
      <c r="AF40" s="72">
        <f t="shared" si="45"/>
        <v>0.10126582278481013</v>
      </c>
      <c r="AG40" s="72">
        <f>AE:AE/P:P</f>
        <v>4.0816326530612249E-2</v>
      </c>
      <c r="AH40" s="72">
        <f t="shared" ref="AH40:AH51" si="52">AE40/N40</f>
        <v>0.66666666666666674</v>
      </c>
      <c r="AI40" s="72">
        <v>0.09</v>
      </c>
      <c r="AJ40" s="72">
        <v>0.06</v>
      </c>
      <c r="AK40" s="72">
        <f t="shared" ref="AK40" si="53">AI40/AJ40</f>
        <v>1.5</v>
      </c>
      <c r="AL40" s="72">
        <f t="shared" si="48"/>
        <v>1.125</v>
      </c>
      <c r="AM40" s="73" t="s">
        <v>75</v>
      </c>
      <c r="AN40" s="72">
        <f t="shared" si="49"/>
        <v>0.11392405063291139</v>
      </c>
      <c r="AO40" s="72">
        <f t="shared" si="50"/>
        <v>0.5625</v>
      </c>
      <c r="AP40" s="72">
        <v>0.16</v>
      </c>
      <c r="AQ40" s="72">
        <v>0.09</v>
      </c>
      <c r="AR40" s="72">
        <f t="shared" si="46"/>
        <v>0.10958904109589042</v>
      </c>
      <c r="AS40" s="72">
        <f t="shared" si="5"/>
        <v>1.7777777777777779</v>
      </c>
      <c r="AT40" s="72">
        <f t="shared" si="47"/>
        <v>0.20253164556962025</v>
      </c>
      <c r="AU40" s="73" t="s">
        <v>75</v>
      </c>
      <c r="AV40" s="73" t="s">
        <v>75</v>
      </c>
      <c r="AW40" s="73" t="s">
        <v>75</v>
      </c>
      <c r="AX40" s="110" t="s">
        <v>75</v>
      </c>
      <c r="AY40" s="110" t="s">
        <v>75</v>
      </c>
      <c r="AZ40" s="84">
        <v>9</v>
      </c>
      <c r="BA40" s="251" t="s">
        <v>75</v>
      </c>
      <c r="BB40" s="251" t="s">
        <v>75</v>
      </c>
      <c r="BC40" s="256" t="s">
        <v>75</v>
      </c>
    </row>
    <row r="41" spans="2:55" ht="12.75" customHeight="1" x14ac:dyDescent="0.2">
      <c r="B41" s="282">
        <v>24325</v>
      </c>
      <c r="C41" s="283" t="s">
        <v>306</v>
      </c>
      <c r="D41" s="284" t="s">
        <v>309</v>
      </c>
      <c r="E41" s="284" t="s">
        <v>304</v>
      </c>
      <c r="F41" s="78">
        <f>0.82+0.48</f>
        <v>1.2999999999999998</v>
      </c>
      <c r="G41" s="114" t="s">
        <v>75</v>
      </c>
      <c r="H41" s="114" t="s">
        <v>75</v>
      </c>
      <c r="I41" s="78">
        <v>0.09</v>
      </c>
      <c r="J41" s="78">
        <v>0.05</v>
      </c>
      <c r="K41" s="78">
        <v>0.78</v>
      </c>
      <c r="L41" s="78">
        <v>0.55000000000000004</v>
      </c>
      <c r="M41" s="78">
        <v>0.53</v>
      </c>
      <c r="N41" s="78">
        <v>0.1</v>
      </c>
      <c r="O41" s="79" t="s">
        <v>75</v>
      </c>
      <c r="P41" s="79" t="s">
        <v>75</v>
      </c>
      <c r="Q41" s="114" t="s">
        <v>75</v>
      </c>
      <c r="R41" s="80">
        <f t="shared" si="0"/>
        <v>0.67948717948717952</v>
      </c>
      <c r="S41" s="80">
        <f t="shared" si="1"/>
        <v>0.70512820512820518</v>
      </c>
      <c r="T41" s="114" t="s">
        <v>75</v>
      </c>
      <c r="U41" s="78">
        <v>0.26</v>
      </c>
      <c r="V41" s="79" t="s">
        <v>75</v>
      </c>
      <c r="W41" s="78">
        <v>0.47</v>
      </c>
      <c r="X41" s="78">
        <v>7.0000000000000007E-2</v>
      </c>
      <c r="Y41" s="78">
        <f t="shared" si="31"/>
        <v>6.7142857142857135</v>
      </c>
      <c r="Z41" s="78">
        <v>0.3</v>
      </c>
      <c r="AA41" s="78">
        <v>0.43</v>
      </c>
      <c r="AB41" s="78">
        <f t="shared" si="40"/>
        <v>0.33076923076923082</v>
      </c>
      <c r="AC41" s="78">
        <v>0.89</v>
      </c>
      <c r="AD41" s="78">
        <f t="shared" si="41"/>
        <v>0.68461538461538474</v>
      </c>
      <c r="AE41" s="78">
        <v>0.08</v>
      </c>
      <c r="AF41" s="78">
        <f t="shared" si="45"/>
        <v>0.10256410256410256</v>
      </c>
      <c r="AG41" s="79" t="s">
        <v>75</v>
      </c>
      <c r="AH41" s="78">
        <f t="shared" si="52"/>
        <v>0.79999999999999993</v>
      </c>
      <c r="AI41" s="78">
        <v>0.09</v>
      </c>
      <c r="AJ41" s="78">
        <v>0.06</v>
      </c>
      <c r="AK41" s="78">
        <f t="shared" si="19"/>
        <v>1.5</v>
      </c>
      <c r="AL41" s="78">
        <f t="shared" si="48"/>
        <v>1.125</v>
      </c>
      <c r="AM41" s="78">
        <f t="shared" ref="AM41:AM51" si="54">AI41/N41</f>
        <v>0.89999999999999991</v>
      </c>
      <c r="AN41" s="78">
        <f t="shared" si="49"/>
        <v>0.11538461538461538</v>
      </c>
      <c r="AO41" s="78">
        <f t="shared" si="50"/>
        <v>0.6</v>
      </c>
      <c r="AP41" s="78">
        <v>0.15</v>
      </c>
      <c r="AQ41" s="78">
        <v>0.09</v>
      </c>
      <c r="AR41" s="78">
        <f t="shared" si="46"/>
        <v>0.11538461538461539</v>
      </c>
      <c r="AS41" s="78">
        <f t="shared" si="5"/>
        <v>1.6666666666666667</v>
      </c>
      <c r="AT41" s="78">
        <f t="shared" si="47"/>
        <v>0.19230769230769229</v>
      </c>
      <c r="AU41" s="79" t="s">
        <v>75</v>
      </c>
      <c r="AV41" s="79" t="s">
        <v>75</v>
      </c>
      <c r="AW41" s="79" t="s">
        <v>75</v>
      </c>
      <c r="AX41" s="114" t="s">
        <v>75</v>
      </c>
      <c r="AY41" s="114" t="s">
        <v>75</v>
      </c>
      <c r="AZ41" s="87">
        <v>8</v>
      </c>
      <c r="BA41" s="252" t="s">
        <v>75</v>
      </c>
      <c r="BB41" s="252" t="s">
        <v>75</v>
      </c>
      <c r="BC41" s="257" t="s">
        <v>75</v>
      </c>
    </row>
    <row r="42" spans="2:55" ht="12.75" customHeight="1" x14ac:dyDescent="0.2">
      <c r="B42" s="285"/>
      <c r="C42" s="284"/>
      <c r="D42" s="284"/>
      <c r="E42" s="284"/>
      <c r="F42" s="78">
        <f>0.82+0.48</f>
        <v>1.2999999999999998</v>
      </c>
      <c r="G42" s="80">
        <f t="shared" si="8"/>
        <v>3.71</v>
      </c>
      <c r="H42" s="80">
        <f t="shared" si="9"/>
        <v>2.8538461538461544</v>
      </c>
      <c r="I42" s="78">
        <v>0.1</v>
      </c>
      <c r="J42" s="78">
        <v>0.06</v>
      </c>
      <c r="K42" s="78">
        <v>0.79</v>
      </c>
      <c r="L42" s="78">
        <v>0.54</v>
      </c>
      <c r="M42" s="78">
        <v>0.55000000000000004</v>
      </c>
      <c r="N42" s="78">
        <v>0.1</v>
      </c>
      <c r="O42" s="78">
        <v>1.57</v>
      </c>
      <c r="P42" s="78">
        <f>N:N+O:O</f>
        <v>1.6700000000000002</v>
      </c>
      <c r="Q42" s="80">
        <f t="shared" si="10"/>
        <v>2.1139240506329116</v>
      </c>
      <c r="R42" s="80">
        <f t="shared" si="0"/>
        <v>0.69620253164556967</v>
      </c>
      <c r="S42" s="80">
        <f t="shared" si="1"/>
        <v>0.68354430379746833</v>
      </c>
      <c r="T42" s="80">
        <f t="shared" si="11"/>
        <v>15.7</v>
      </c>
      <c r="U42" s="78">
        <v>0.26</v>
      </c>
      <c r="V42" s="78">
        <f t="shared" si="12"/>
        <v>14.269230769230768</v>
      </c>
      <c r="W42" s="78">
        <v>0.48</v>
      </c>
      <c r="X42" s="78">
        <v>7.0000000000000007E-2</v>
      </c>
      <c r="Y42" s="78">
        <f t="shared" si="31"/>
        <v>6.8571428571428559</v>
      </c>
      <c r="Z42" s="79" t="s">
        <v>75</v>
      </c>
      <c r="AA42" s="78">
        <v>0.44</v>
      </c>
      <c r="AB42" s="78">
        <f t="shared" si="40"/>
        <v>0.33846153846153854</v>
      </c>
      <c r="AC42" s="78">
        <v>0.92</v>
      </c>
      <c r="AD42" s="78">
        <f t="shared" si="41"/>
        <v>0.70769230769230784</v>
      </c>
      <c r="AE42" s="78">
        <v>0.08</v>
      </c>
      <c r="AF42" s="78">
        <f t="shared" si="45"/>
        <v>0.10126582278481013</v>
      </c>
      <c r="AG42" s="78">
        <f>AE:AE/P:P</f>
        <v>4.7904191616766463E-2</v>
      </c>
      <c r="AH42" s="78">
        <f t="shared" si="52"/>
        <v>0.79999999999999993</v>
      </c>
      <c r="AI42" s="78">
        <v>0.09</v>
      </c>
      <c r="AJ42" s="78">
        <v>0.06</v>
      </c>
      <c r="AK42" s="78">
        <f t="shared" ref="AK42" si="55">AI42/AJ42</f>
        <v>1.5</v>
      </c>
      <c r="AL42" s="78">
        <f t="shared" si="48"/>
        <v>1.125</v>
      </c>
      <c r="AM42" s="78">
        <f t="shared" si="54"/>
        <v>0.89999999999999991</v>
      </c>
      <c r="AN42" s="78">
        <f t="shared" si="49"/>
        <v>0.11392405063291139</v>
      </c>
      <c r="AO42" s="78">
        <f t="shared" si="50"/>
        <v>0.5625</v>
      </c>
      <c r="AP42" s="78">
        <v>0.16</v>
      </c>
      <c r="AQ42" s="78">
        <v>7.0000000000000007E-2</v>
      </c>
      <c r="AR42" s="78">
        <f t="shared" si="46"/>
        <v>0.1230769230769231</v>
      </c>
      <c r="AS42" s="78">
        <f t="shared" si="5"/>
        <v>2.2857142857142856</v>
      </c>
      <c r="AT42" s="78">
        <f t="shared" si="47"/>
        <v>0.20253164556962025</v>
      </c>
      <c r="AU42" s="79" t="s">
        <v>75</v>
      </c>
      <c r="AV42" s="79" t="s">
        <v>75</v>
      </c>
      <c r="AW42" s="79" t="s">
        <v>75</v>
      </c>
      <c r="AX42" s="114" t="s">
        <v>75</v>
      </c>
      <c r="AY42" s="114" t="s">
        <v>75</v>
      </c>
      <c r="AZ42" s="87">
        <v>10</v>
      </c>
      <c r="BA42" s="252" t="s">
        <v>75</v>
      </c>
      <c r="BB42" s="252" t="s">
        <v>75</v>
      </c>
      <c r="BC42" s="257" t="s">
        <v>75</v>
      </c>
    </row>
    <row r="43" spans="2:55" ht="12.75" customHeight="1" x14ac:dyDescent="0.2">
      <c r="B43" s="286">
        <v>24325</v>
      </c>
      <c r="C43" s="287" t="s">
        <v>306</v>
      </c>
      <c r="D43" s="288" t="s">
        <v>310</v>
      </c>
      <c r="E43" s="288" t="s">
        <v>304</v>
      </c>
      <c r="F43" s="72">
        <f>0.77+0.48</f>
        <v>1.25</v>
      </c>
      <c r="G43" s="82">
        <f t="shared" si="8"/>
        <v>3.1799999999999997</v>
      </c>
      <c r="H43" s="82">
        <f t="shared" si="9"/>
        <v>2.5439999999999996</v>
      </c>
      <c r="I43" s="72">
        <v>0.09</v>
      </c>
      <c r="J43" s="72">
        <v>0.05</v>
      </c>
      <c r="K43" s="72">
        <v>0.7</v>
      </c>
      <c r="L43" s="72">
        <v>0.48</v>
      </c>
      <c r="M43" s="72">
        <v>0.57999999999999996</v>
      </c>
      <c r="N43" s="72">
        <v>0.12</v>
      </c>
      <c r="O43" s="72">
        <v>1.1599999999999999</v>
      </c>
      <c r="P43" s="72">
        <f>N:N+O:O</f>
        <v>1.2799999999999998</v>
      </c>
      <c r="Q43" s="82">
        <f t="shared" si="10"/>
        <v>1.8285714285714285</v>
      </c>
      <c r="R43" s="82">
        <f t="shared" si="0"/>
        <v>0.82857142857142851</v>
      </c>
      <c r="S43" s="82">
        <f t="shared" si="1"/>
        <v>0.68571428571428572</v>
      </c>
      <c r="T43" s="82">
        <f t="shared" si="11"/>
        <v>9.6666666666666661</v>
      </c>
      <c r="U43" s="72">
        <v>0.23</v>
      </c>
      <c r="V43" s="72">
        <f t="shared" si="12"/>
        <v>13.826086956521737</v>
      </c>
      <c r="W43" s="72">
        <v>0.48</v>
      </c>
      <c r="X43" s="72">
        <v>7.0000000000000007E-2</v>
      </c>
      <c r="Y43" s="72">
        <f t="shared" si="31"/>
        <v>6.8571428571428559</v>
      </c>
      <c r="Z43" s="72">
        <v>0.3</v>
      </c>
      <c r="AA43" s="72">
        <v>0.43</v>
      </c>
      <c r="AB43" s="72">
        <f t="shared" si="40"/>
        <v>0.34399999999999997</v>
      </c>
      <c r="AC43" s="72">
        <v>0.89</v>
      </c>
      <c r="AD43" s="72">
        <f t="shared" si="41"/>
        <v>0.71199999999999997</v>
      </c>
      <c r="AE43" s="72">
        <v>0.08</v>
      </c>
      <c r="AF43" s="72">
        <f t="shared" si="45"/>
        <v>0.1142857142857143</v>
      </c>
      <c r="AG43" s="72">
        <f>AE:AE/P:P</f>
        <v>6.2500000000000014E-2</v>
      </c>
      <c r="AH43" s="72">
        <f t="shared" si="52"/>
        <v>0.66666666666666674</v>
      </c>
      <c r="AI43" s="72">
        <v>0.09</v>
      </c>
      <c r="AJ43" s="72">
        <v>0.06</v>
      </c>
      <c r="AK43" s="72">
        <f t="shared" si="19"/>
        <v>1.5</v>
      </c>
      <c r="AL43" s="72">
        <f t="shared" si="48"/>
        <v>1.125</v>
      </c>
      <c r="AM43" s="72">
        <f t="shared" si="54"/>
        <v>0.75</v>
      </c>
      <c r="AN43" s="72">
        <f t="shared" si="49"/>
        <v>0.12857142857142859</v>
      </c>
      <c r="AO43" s="72">
        <f t="shared" si="50"/>
        <v>0.64285714285714279</v>
      </c>
      <c r="AP43" s="72">
        <v>0.14000000000000001</v>
      </c>
      <c r="AQ43" s="72">
        <v>7.0000000000000007E-2</v>
      </c>
      <c r="AR43" s="72">
        <f t="shared" si="46"/>
        <v>0.11200000000000002</v>
      </c>
      <c r="AS43" s="72">
        <f t="shared" si="5"/>
        <v>2</v>
      </c>
      <c r="AT43" s="72">
        <f t="shared" si="47"/>
        <v>0.20000000000000004</v>
      </c>
      <c r="AU43" s="72">
        <v>0.08</v>
      </c>
      <c r="AV43" s="72">
        <v>0.08</v>
      </c>
      <c r="AW43" s="72">
        <f>AU43/AV43</f>
        <v>1</v>
      </c>
      <c r="AX43" s="82">
        <f>AP43/AU43</f>
        <v>1.7500000000000002</v>
      </c>
      <c r="AY43" s="110" t="s">
        <v>75</v>
      </c>
      <c r="AZ43" s="84">
        <v>8</v>
      </c>
      <c r="BA43" s="251" t="s">
        <v>75</v>
      </c>
      <c r="BB43" s="251" t="s">
        <v>75</v>
      </c>
      <c r="BC43" s="256" t="s">
        <v>75</v>
      </c>
    </row>
    <row r="44" spans="2:55" ht="12.75" customHeight="1" x14ac:dyDescent="0.2">
      <c r="B44" s="289"/>
      <c r="C44" s="288"/>
      <c r="D44" s="288"/>
      <c r="E44" s="288"/>
      <c r="F44" s="72">
        <f>0.77+0.48</f>
        <v>1.25</v>
      </c>
      <c r="G44" s="110" t="s">
        <v>75</v>
      </c>
      <c r="H44" s="110" t="s">
        <v>75</v>
      </c>
      <c r="I44" s="72">
        <v>0.1</v>
      </c>
      <c r="J44" s="72">
        <v>0.05</v>
      </c>
      <c r="K44" s="72">
        <v>0.71</v>
      </c>
      <c r="L44" s="72">
        <v>0.47</v>
      </c>
      <c r="M44" s="72">
        <v>0.57999999999999996</v>
      </c>
      <c r="N44" s="72">
        <v>0.11</v>
      </c>
      <c r="O44" s="73" t="s">
        <v>75</v>
      </c>
      <c r="P44" s="73" t="s">
        <v>75</v>
      </c>
      <c r="Q44" s="110" t="s">
        <v>75</v>
      </c>
      <c r="R44" s="82">
        <f t="shared" si="0"/>
        <v>0.81690140845070425</v>
      </c>
      <c r="S44" s="82">
        <f t="shared" si="1"/>
        <v>0.6619718309859155</v>
      </c>
      <c r="T44" s="110" t="s">
        <v>75</v>
      </c>
      <c r="U44" s="72">
        <v>0.23</v>
      </c>
      <c r="V44" s="73" t="s">
        <v>75</v>
      </c>
      <c r="W44" s="72">
        <v>0.49</v>
      </c>
      <c r="X44" s="72">
        <v>7.0000000000000007E-2</v>
      </c>
      <c r="Y44" s="72">
        <f t="shared" si="31"/>
        <v>6.9999999999999991</v>
      </c>
      <c r="Z44" s="73" t="s">
        <v>75</v>
      </c>
      <c r="AA44" s="72">
        <v>0.42</v>
      </c>
      <c r="AB44" s="72">
        <f t="shared" si="40"/>
        <v>0.33599999999999997</v>
      </c>
      <c r="AC44" s="72">
        <v>0.92</v>
      </c>
      <c r="AD44" s="72">
        <f t="shared" si="41"/>
        <v>0.73599999999999999</v>
      </c>
      <c r="AE44" s="72">
        <v>0.08</v>
      </c>
      <c r="AF44" s="72">
        <f t="shared" si="45"/>
        <v>0.11267605633802817</v>
      </c>
      <c r="AG44" s="73" t="s">
        <v>75</v>
      </c>
      <c r="AH44" s="72">
        <f t="shared" si="52"/>
        <v>0.72727272727272729</v>
      </c>
      <c r="AI44" s="72">
        <v>0.09</v>
      </c>
      <c r="AJ44" s="72">
        <v>0.06</v>
      </c>
      <c r="AK44" s="72">
        <f t="shared" ref="AK44" si="56">AI44/AJ44</f>
        <v>1.5</v>
      </c>
      <c r="AL44" s="72">
        <f t="shared" si="48"/>
        <v>1.125</v>
      </c>
      <c r="AM44" s="72">
        <f t="shared" si="54"/>
        <v>0.81818181818181812</v>
      </c>
      <c r="AN44" s="72">
        <f t="shared" si="49"/>
        <v>0.12676056338028169</v>
      </c>
      <c r="AO44" s="72">
        <f t="shared" si="50"/>
        <v>0.64285714285714279</v>
      </c>
      <c r="AP44" s="72">
        <v>0.14000000000000001</v>
      </c>
      <c r="AQ44" s="72">
        <v>0.08</v>
      </c>
      <c r="AR44" s="72">
        <f t="shared" si="46"/>
        <v>0.11200000000000002</v>
      </c>
      <c r="AS44" s="72">
        <f t="shared" si="5"/>
        <v>1.7500000000000002</v>
      </c>
      <c r="AT44" s="72">
        <f t="shared" si="47"/>
        <v>0.19718309859154931</v>
      </c>
      <c r="AU44" s="72">
        <v>0.08</v>
      </c>
      <c r="AV44" s="72">
        <v>0.08</v>
      </c>
      <c r="AW44" s="72">
        <f>AU44/AV44</f>
        <v>1</v>
      </c>
      <c r="AX44" s="82">
        <f>AP44/AU44</f>
        <v>1.7500000000000002</v>
      </c>
      <c r="AY44" s="110" t="s">
        <v>75</v>
      </c>
      <c r="AZ44" s="225" t="s">
        <v>75</v>
      </c>
      <c r="BA44" s="251" t="s">
        <v>75</v>
      </c>
      <c r="BB44" s="251" t="s">
        <v>75</v>
      </c>
      <c r="BC44" s="256" t="s">
        <v>75</v>
      </c>
    </row>
    <row r="45" spans="2:55" ht="12.75" customHeight="1" x14ac:dyDescent="0.2">
      <c r="B45" s="282">
        <v>24325</v>
      </c>
      <c r="C45" s="283" t="s">
        <v>306</v>
      </c>
      <c r="D45" s="284" t="s">
        <v>310</v>
      </c>
      <c r="E45" s="284" t="s">
        <v>304</v>
      </c>
      <c r="F45" s="78">
        <f>0.84+0.18</f>
        <v>1.02</v>
      </c>
      <c r="G45" s="80">
        <f t="shared" si="8"/>
        <v>3.6</v>
      </c>
      <c r="H45" s="80">
        <f t="shared" si="9"/>
        <v>3.5294117647058822</v>
      </c>
      <c r="I45" s="78">
        <v>0.1</v>
      </c>
      <c r="J45" s="78">
        <v>0.05</v>
      </c>
      <c r="K45" s="78">
        <v>0.74</v>
      </c>
      <c r="L45" s="78">
        <v>0.48</v>
      </c>
      <c r="M45" s="78">
        <v>0.55000000000000004</v>
      </c>
      <c r="N45" s="78">
        <v>0.12</v>
      </c>
      <c r="O45" s="78">
        <v>1.56</v>
      </c>
      <c r="P45" s="78">
        <f>N:N+O:O</f>
        <v>1.6800000000000002</v>
      </c>
      <c r="Q45" s="80">
        <f t="shared" si="10"/>
        <v>2.2702702702702706</v>
      </c>
      <c r="R45" s="80">
        <f t="shared" si="0"/>
        <v>0.74324324324324331</v>
      </c>
      <c r="S45" s="80">
        <f t="shared" si="1"/>
        <v>0.64864864864864868</v>
      </c>
      <c r="T45" s="80">
        <f t="shared" si="11"/>
        <v>13.000000000000002</v>
      </c>
      <c r="U45" s="78">
        <v>0.26</v>
      </c>
      <c r="V45" s="78">
        <f t="shared" si="12"/>
        <v>13.846153846153847</v>
      </c>
      <c r="W45" s="78">
        <v>0.5</v>
      </c>
      <c r="X45" s="78">
        <v>0.08</v>
      </c>
      <c r="Y45" s="78">
        <f t="shared" si="31"/>
        <v>6.25</v>
      </c>
      <c r="Z45" s="78">
        <v>0.32</v>
      </c>
      <c r="AA45" s="78">
        <v>0.42</v>
      </c>
      <c r="AB45" s="78">
        <f t="shared" si="40"/>
        <v>0.41176470588235292</v>
      </c>
      <c r="AC45" s="78">
        <v>0.9</v>
      </c>
      <c r="AD45" s="78">
        <f t="shared" si="41"/>
        <v>0.88235294117647056</v>
      </c>
      <c r="AE45" s="78">
        <v>0.09</v>
      </c>
      <c r="AF45" s="78">
        <f t="shared" si="45"/>
        <v>0.12162162162162161</v>
      </c>
      <c r="AG45" s="78">
        <f>AE:AE/P:P</f>
        <v>5.3571428571428562E-2</v>
      </c>
      <c r="AH45" s="78">
        <f t="shared" si="52"/>
        <v>0.75</v>
      </c>
      <c r="AI45" s="78">
        <v>0.09</v>
      </c>
      <c r="AJ45" s="78">
        <v>0.06</v>
      </c>
      <c r="AK45" s="78">
        <f t="shared" si="19"/>
        <v>1.5</v>
      </c>
      <c r="AL45" s="78">
        <f t="shared" si="48"/>
        <v>1</v>
      </c>
      <c r="AM45" s="78">
        <f t="shared" si="54"/>
        <v>0.75</v>
      </c>
      <c r="AN45" s="78">
        <f t="shared" si="49"/>
        <v>0.12162162162162161</v>
      </c>
      <c r="AO45" s="78">
        <f t="shared" si="50"/>
        <v>0.64285714285714279</v>
      </c>
      <c r="AP45" s="78">
        <v>0.14000000000000001</v>
      </c>
      <c r="AQ45" s="78">
        <v>0.1</v>
      </c>
      <c r="AR45" s="78">
        <f t="shared" si="46"/>
        <v>0.13725490196078433</v>
      </c>
      <c r="AS45" s="78">
        <f t="shared" si="5"/>
        <v>1.4000000000000001</v>
      </c>
      <c r="AT45" s="78">
        <f t="shared" si="47"/>
        <v>0.1891891891891892</v>
      </c>
      <c r="AU45" s="79" t="s">
        <v>75</v>
      </c>
      <c r="AV45" s="79" t="s">
        <v>75</v>
      </c>
      <c r="AW45" s="79" t="s">
        <v>75</v>
      </c>
      <c r="AX45" s="114" t="s">
        <v>75</v>
      </c>
      <c r="AY45" s="114" t="s">
        <v>75</v>
      </c>
      <c r="AZ45" s="87">
        <v>9</v>
      </c>
      <c r="BA45" s="252" t="s">
        <v>75</v>
      </c>
      <c r="BB45" s="252" t="s">
        <v>75</v>
      </c>
      <c r="BC45" s="257" t="s">
        <v>75</v>
      </c>
    </row>
    <row r="46" spans="2:55" ht="12.75" customHeight="1" x14ac:dyDescent="0.2">
      <c r="B46" s="285"/>
      <c r="C46" s="283"/>
      <c r="D46" s="284"/>
      <c r="E46" s="284"/>
      <c r="F46" s="78">
        <f>0.84+0.18</f>
        <v>1.02</v>
      </c>
      <c r="G46" s="80">
        <f t="shared" si="8"/>
        <v>3.5</v>
      </c>
      <c r="H46" s="80">
        <f t="shared" si="9"/>
        <v>3.4313725490196076</v>
      </c>
      <c r="I46" s="78">
        <v>0.09</v>
      </c>
      <c r="J46" s="78">
        <v>0.05</v>
      </c>
      <c r="K46" s="78">
        <v>0.72</v>
      </c>
      <c r="L46" s="78">
        <v>0.5</v>
      </c>
      <c r="M46" s="78">
        <v>0.55000000000000004</v>
      </c>
      <c r="N46" s="78">
        <v>0.12</v>
      </c>
      <c r="O46" s="78">
        <v>1.47</v>
      </c>
      <c r="P46" s="78">
        <f>N:N+O:O</f>
        <v>1.5899999999999999</v>
      </c>
      <c r="Q46" s="80">
        <f t="shared" si="10"/>
        <v>2.208333333333333</v>
      </c>
      <c r="R46" s="80">
        <f t="shared" si="0"/>
        <v>0.76388888888888895</v>
      </c>
      <c r="S46" s="80">
        <f t="shared" si="1"/>
        <v>0.69444444444444442</v>
      </c>
      <c r="T46" s="80">
        <f t="shared" si="11"/>
        <v>12.25</v>
      </c>
      <c r="U46" s="78">
        <v>0.26</v>
      </c>
      <c r="V46" s="78">
        <f t="shared" si="12"/>
        <v>13.461538461538462</v>
      </c>
      <c r="W46" s="78">
        <v>0.48</v>
      </c>
      <c r="X46" s="78">
        <v>7.0000000000000007E-2</v>
      </c>
      <c r="Y46" s="78">
        <f t="shared" si="31"/>
        <v>6.8571428571428559</v>
      </c>
      <c r="Z46" s="78">
        <v>0.3</v>
      </c>
      <c r="AA46" s="78">
        <v>0.4</v>
      </c>
      <c r="AB46" s="78">
        <f t="shared" si="40"/>
        <v>0.39215686274509803</v>
      </c>
      <c r="AC46" s="78">
        <v>0.9</v>
      </c>
      <c r="AD46" s="78">
        <f t="shared" si="41"/>
        <v>0.88235294117647056</v>
      </c>
      <c r="AE46" s="78">
        <v>0.08</v>
      </c>
      <c r="AF46" s="78">
        <f t="shared" si="45"/>
        <v>0.11111111111111112</v>
      </c>
      <c r="AG46" s="78">
        <f>AE:AE/P:P</f>
        <v>5.0314465408805034E-2</v>
      </c>
      <c r="AH46" s="78">
        <f t="shared" si="52"/>
        <v>0.66666666666666674</v>
      </c>
      <c r="AI46" s="78">
        <v>0.09</v>
      </c>
      <c r="AJ46" s="78">
        <v>0.06</v>
      </c>
      <c r="AK46" s="78">
        <f t="shared" ref="AK46" si="57">AI46/AJ46</f>
        <v>1.5</v>
      </c>
      <c r="AL46" s="78">
        <f t="shared" si="48"/>
        <v>1.125</v>
      </c>
      <c r="AM46" s="78">
        <f t="shared" si="54"/>
        <v>0.75</v>
      </c>
      <c r="AN46" s="78">
        <f t="shared" si="49"/>
        <v>0.125</v>
      </c>
      <c r="AO46" s="78">
        <f t="shared" si="50"/>
        <v>0.6</v>
      </c>
      <c r="AP46" s="78">
        <v>0.15</v>
      </c>
      <c r="AQ46" s="78">
        <v>0.09</v>
      </c>
      <c r="AR46" s="78">
        <f t="shared" si="46"/>
        <v>0.14705882352941177</v>
      </c>
      <c r="AS46" s="78">
        <f t="shared" si="5"/>
        <v>1.6666666666666667</v>
      </c>
      <c r="AT46" s="78">
        <f t="shared" si="47"/>
        <v>0.20833333333333334</v>
      </c>
      <c r="AU46" s="79" t="s">
        <v>75</v>
      </c>
      <c r="AV46" s="79" t="s">
        <v>75</v>
      </c>
      <c r="AW46" s="79" t="s">
        <v>75</v>
      </c>
      <c r="AX46" s="114" t="s">
        <v>75</v>
      </c>
      <c r="AY46" s="114" t="s">
        <v>75</v>
      </c>
      <c r="AZ46" s="216" t="s">
        <v>75</v>
      </c>
      <c r="BA46" s="252" t="s">
        <v>75</v>
      </c>
      <c r="BB46" s="252" t="s">
        <v>75</v>
      </c>
      <c r="BC46" s="257" t="s">
        <v>75</v>
      </c>
    </row>
    <row r="47" spans="2:55" ht="12.75" customHeight="1" x14ac:dyDescent="0.2">
      <c r="B47" s="286">
        <v>24325</v>
      </c>
      <c r="C47" s="287" t="s">
        <v>306</v>
      </c>
      <c r="D47" s="288" t="s">
        <v>310</v>
      </c>
      <c r="E47" s="288" t="s">
        <v>304</v>
      </c>
      <c r="F47" s="72">
        <v>1.26</v>
      </c>
      <c r="G47" s="82">
        <f t="shared" si="8"/>
        <v>3.1099999999999994</v>
      </c>
      <c r="H47" s="82">
        <f t="shared" si="9"/>
        <v>2.4682539682539679</v>
      </c>
      <c r="I47" s="72">
        <v>0.1</v>
      </c>
      <c r="J47" s="72">
        <v>0.06</v>
      </c>
      <c r="K47" s="72">
        <v>0.75</v>
      </c>
      <c r="L47" s="72">
        <v>0.49</v>
      </c>
      <c r="M47" s="72">
        <v>0.56999999999999995</v>
      </c>
      <c r="N47" s="72">
        <v>0.11</v>
      </c>
      <c r="O47" s="72">
        <v>1.03</v>
      </c>
      <c r="P47" s="72">
        <f>N:N+O:O</f>
        <v>1.1400000000000001</v>
      </c>
      <c r="Q47" s="82">
        <f t="shared" si="10"/>
        <v>1.5200000000000002</v>
      </c>
      <c r="R47" s="82">
        <f t="shared" si="0"/>
        <v>0.7599999999999999</v>
      </c>
      <c r="S47" s="82">
        <f t="shared" si="1"/>
        <v>0.65333333333333332</v>
      </c>
      <c r="T47" s="82">
        <f t="shared" si="11"/>
        <v>9.3636363636363633</v>
      </c>
      <c r="U47" s="72">
        <v>0.25</v>
      </c>
      <c r="V47" s="72">
        <f t="shared" si="12"/>
        <v>12.439999999999998</v>
      </c>
      <c r="W47" s="72">
        <v>0.49</v>
      </c>
      <c r="X47" s="72">
        <v>7.0000000000000007E-2</v>
      </c>
      <c r="Y47" s="72">
        <f t="shared" si="31"/>
        <v>6.9999999999999991</v>
      </c>
      <c r="Z47" s="72">
        <v>0.3</v>
      </c>
      <c r="AA47" s="72">
        <v>0.41</v>
      </c>
      <c r="AB47" s="72">
        <f t="shared" si="40"/>
        <v>0.32539682539682535</v>
      </c>
      <c r="AC47" s="72">
        <v>0.88</v>
      </c>
      <c r="AD47" s="72">
        <f t="shared" si="41"/>
        <v>0.69841269841269837</v>
      </c>
      <c r="AE47" s="72">
        <v>0.08</v>
      </c>
      <c r="AF47" s="72">
        <f t="shared" si="45"/>
        <v>0.10666666666666667</v>
      </c>
      <c r="AG47" s="72">
        <f>AE:AE/P:P</f>
        <v>7.0175438596491224E-2</v>
      </c>
      <c r="AH47" s="72">
        <f t="shared" si="52"/>
        <v>0.72727272727272729</v>
      </c>
      <c r="AI47" s="72">
        <v>0.09</v>
      </c>
      <c r="AJ47" s="72">
        <v>0.06</v>
      </c>
      <c r="AK47" s="72">
        <f t="shared" si="19"/>
        <v>1.5</v>
      </c>
      <c r="AL47" s="72">
        <f t="shared" si="48"/>
        <v>1.125</v>
      </c>
      <c r="AM47" s="72">
        <f t="shared" si="54"/>
        <v>0.81818181818181812</v>
      </c>
      <c r="AN47" s="72">
        <f t="shared" si="49"/>
        <v>0.12</v>
      </c>
      <c r="AO47" s="72">
        <f t="shared" si="50"/>
        <v>0.69230769230769229</v>
      </c>
      <c r="AP47" s="72">
        <v>0.13</v>
      </c>
      <c r="AQ47" s="72">
        <v>0.06</v>
      </c>
      <c r="AR47" s="72">
        <f t="shared" si="46"/>
        <v>0.10317460317460318</v>
      </c>
      <c r="AS47" s="72">
        <f t="shared" si="5"/>
        <v>2.166666666666667</v>
      </c>
      <c r="AT47" s="72">
        <f t="shared" si="47"/>
        <v>0.17333333333333334</v>
      </c>
      <c r="AU47" s="73" t="s">
        <v>75</v>
      </c>
      <c r="AV47" s="73" t="s">
        <v>75</v>
      </c>
      <c r="AW47" s="73" t="s">
        <v>75</v>
      </c>
      <c r="AX47" s="110" t="s">
        <v>75</v>
      </c>
      <c r="AY47" s="110" t="s">
        <v>75</v>
      </c>
      <c r="AZ47" s="84">
        <v>9</v>
      </c>
      <c r="BA47" s="251" t="s">
        <v>75</v>
      </c>
      <c r="BB47" s="251" t="s">
        <v>75</v>
      </c>
      <c r="BC47" s="256" t="s">
        <v>75</v>
      </c>
    </row>
    <row r="48" spans="2:55" ht="12.75" customHeight="1" x14ac:dyDescent="0.2">
      <c r="B48" s="289"/>
      <c r="C48" s="288"/>
      <c r="D48" s="288"/>
      <c r="E48" s="288"/>
      <c r="F48" s="72">
        <v>1.26</v>
      </c>
      <c r="G48" s="82">
        <f t="shared" si="8"/>
        <v>3.21</v>
      </c>
      <c r="H48" s="82">
        <f t="shared" si="9"/>
        <v>2.5476190476190474</v>
      </c>
      <c r="I48" s="72">
        <v>0.1</v>
      </c>
      <c r="J48" s="72">
        <v>0.06</v>
      </c>
      <c r="K48" s="72">
        <v>0.73</v>
      </c>
      <c r="L48" s="72">
        <v>0.49</v>
      </c>
      <c r="M48" s="72">
        <v>0.56999999999999995</v>
      </c>
      <c r="N48" s="72">
        <v>0.12</v>
      </c>
      <c r="O48" s="72">
        <v>1.1399999999999999</v>
      </c>
      <c r="P48" s="72">
        <f>N:N+O:O</f>
        <v>1.2599999999999998</v>
      </c>
      <c r="Q48" s="82">
        <f t="shared" si="10"/>
        <v>1.7260273972602738</v>
      </c>
      <c r="R48" s="82">
        <f t="shared" si="0"/>
        <v>0.78082191780821908</v>
      </c>
      <c r="S48" s="82">
        <f t="shared" si="1"/>
        <v>0.67123287671232879</v>
      </c>
      <c r="T48" s="82">
        <f t="shared" si="11"/>
        <v>9.5</v>
      </c>
      <c r="U48" s="72">
        <v>0.25</v>
      </c>
      <c r="V48" s="72">
        <f t="shared" si="12"/>
        <v>12.84</v>
      </c>
      <c r="W48" s="73" t="s">
        <v>75</v>
      </c>
      <c r="X48" s="73" t="s">
        <v>75</v>
      </c>
      <c r="Y48" s="73" t="s">
        <v>75</v>
      </c>
      <c r="Z48" s="72">
        <v>0.31</v>
      </c>
      <c r="AA48" s="72">
        <v>0.4</v>
      </c>
      <c r="AB48" s="72">
        <f t="shared" si="40"/>
        <v>0.3174603174603175</v>
      </c>
      <c r="AC48" s="72">
        <v>0.88</v>
      </c>
      <c r="AD48" s="72">
        <f t="shared" si="41"/>
        <v>0.69841269841269837</v>
      </c>
      <c r="AE48" s="72">
        <v>0.08</v>
      </c>
      <c r="AF48" s="72">
        <f t="shared" si="45"/>
        <v>0.10958904109589042</v>
      </c>
      <c r="AG48" s="72">
        <f>AE:AE/P:P</f>
        <v>6.3492063492063502E-2</v>
      </c>
      <c r="AH48" s="72">
        <f t="shared" si="52"/>
        <v>0.66666666666666674</v>
      </c>
      <c r="AI48" s="72">
        <v>0.09</v>
      </c>
      <c r="AJ48" s="72">
        <v>0.06</v>
      </c>
      <c r="AK48" s="72">
        <f t="shared" ref="AK48" si="58">AI48/AJ48</f>
        <v>1.5</v>
      </c>
      <c r="AL48" s="72">
        <f t="shared" si="48"/>
        <v>1.125</v>
      </c>
      <c r="AM48" s="72">
        <f t="shared" si="54"/>
        <v>0.75</v>
      </c>
      <c r="AN48" s="72">
        <f t="shared" si="49"/>
        <v>0.12328767123287671</v>
      </c>
      <c r="AO48" s="72">
        <f t="shared" si="50"/>
        <v>0.69230769230769229</v>
      </c>
      <c r="AP48" s="72">
        <v>0.13</v>
      </c>
      <c r="AQ48" s="72">
        <v>0.06</v>
      </c>
      <c r="AR48" s="72">
        <f t="shared" si="46"/>
        <v>0.10317460317460318</v>
      </c>
      <c r="AS48" s="72">
        <f t="shared" si="5"/>
        <v>2.166666666666667</v>
      </c>
      <c r="AT48" s="72">
        <f t="shared" si="47"/>
        <v>0.17808219178082194</v>
      </c>
      <c r="AU48" s="73" t="s">
        <v>75</v>
      </c>
      <c r="AV48" s="73" t="s">
        <v>75</v>
      </c>
      <c r="AW48" s="73" t="s">
        <v>75</v>
      </c>
      <c r="AX48" s="110" t="s">
        <v>75</v>
      </c>
      <c r="AY48" s="110" t="s">
        <v>75</v>
      </c>
      <c r="AZ48" s="225" t="s">
        <v>75</v>
      </c>
      <c r="BA48" s="251" t="s">
        <v>75</v>
      </c>
      <c r="BB48" s="251" t="s">
        <v>75</v>
      </c>
      <c r="BC48" s="256" t="s">
        <v>75</v>
      </c>
    </row>
    <row r="49" spans="2:55" ht="12.75" customHeight="1" x14ac:dyDescent="0.2">
      <c r="B49" s="282">
        <v>24325</v>
      </c>
      <c r="C49" s="283" t="s">
        <v>306</v>
      </c>
      <c r="D49" s="284" t="s">
        <v>310</v>
      </c>
      <c r="E49" s="284" t="s">
        <v>304</v>
      </c>
      <c r="F49" s="78">
        <v>1.43</v>
      </c>
      <c r="G49" s="114" t="s">
        <v>75</v>
      </c>
      <c r="H49" s="114" t="s">
        <v>75</v>
      </c>
      <c r="I49" s="78">
        <v>0.1</v>
      </c>
      <c r="J49" s="78">
        <v>0.05</v>
      </c>
      <c r="K49" s="78">
        <v>0.72</v>
      </c>
      <c r="L49" s="78">
        <v>0.48</v>
      </c>
      <c r="M49" s="78">
        <v>0.52</v>
      </c>
      <c r="N49" s="78">
        <v>0.12</v>
      </c>
      <c r="O49" s="79" t="s">
        <v>75</v>
      </c>
      <c r="P49" s="79" t="s">
        <v>75</v>
      </c>
      <c r="Q49" s="114" t="s">
        <v>75</v>
      </c>
      <c r="R49" s="80">
        <f t="shared" si="0"/>
        <v>0.72222222222222232</v>
      </c>
      <c r="S49" s="80">
        <f t="shared" si="1"/>
        <v>0.66666666666666663</v>
      </c>
      <c r="T49" s="114" t="s">
        <v>75</v>
      </c>
      <c r="U49" s="78">
        <v>0.21</v>
      </c>
      <c r="V49" s="79" t="s">
        <v>75</v>
      </c>
      <c r="W49" s="78">
        <v>0.48</v>
      </c>
      <c r="X49" s="78">
        <v>7.0000000000000007E-2</v>
      </c>
      <c r="Y49" s="78">
        <f>W:W/X:X</f>
        <v>6.8571428571428559</v>
      </c>
      <c r="Z49" s="78">
        <v>0.32</v>
      </c>
      <c r="AA49" s="78">
        <v>0.44</v>
      </c>
      <c r="AB49" s="78">
        <f t="shared" si="40"/>
        <v>0.30769230769230771</v>
      </c>
      <c r="AC49" s="78">
        <v>0.89</v>
      </c>
      <c r="AD49" s="78">
        <f t="shared" si="41"/>
        <v>0.6223776223776224</v>
      </c>
      <c r="AE49" s="78">
        <v>0.09</v>
      </c>
      <c r="AF49" s="78">
        <f t="shared" si="45"/>
        <v>0.125</v>
      </c>
      <c r="AG49" s="79" t="s">
        <v>75</v>
      </c>
      <c r="AH49" s="78">
        <f t="shared" si="52"/>
        <v>0.75</v>
      </c>
      <c r="AI49" s="78">
        <v>0.08</v>
      </c>
      <c r="AJ49" s="78">
        <v>0.05</v>
      </c>
      <c r="AK49" s="78">
        <f t="shared" si="19"/>
        <v>1.5999999999999999</v>
      </c>
      <c r="AL49" s="78">
        <f t="shared" si="48"/>
        <v>0.88888888888888895</v>
      </c>
      <c r="AM49" s="78">
        <f t="shared" si="54"/>
        <v>0.66666666666666674</v>
      </c>
      <c r="AN49" s="78">
        <f t="shared" si="49"/>
        <v>0.11111111111111112</v>
      </c>
      <c r="AO49" s="78">
        <f t="shared" si="50"/>
        <v>0.5</v>
      </c>
      <c r="AP49" s="78">
        <v>0.16</v>
      </c>
      <c r="AQ49" s="78">
        <v>0.08</v>
      </c>
      <c r="AR49" s="78">
        <f t="shared" si="46"/>
        <v>0.1118881118881119</v>
      </c>
      <c r="AS49" s="78">
        <f t="shared" si="5"/>
        <v>2</v>
      </c>
      <c r="AT49" s="78">
        <f t="shared" si="47"/>
        <v>0.22222222222222224</v>
      </c>
      <c r="AU49" s="79" t="s">
        <v>75</v>
      </c>
      <c r="AV49" s="79" t="s">
        <v>75</v>
      </c>
      <c r="AW49" s="79" t="s">
        <v>75</v>
      </c>
      <c r="AX49" s="114" t="s">
        <v>75</v>
      </c>
      <c r="AY49" s="114" t="s">
        <v>75</v>
      </c>
      <c r="AZ49" s="87">
        <v>8</v>
      </c>
      <c r="BA49" s="252" t="s">
        <v>75</v>
      </c>
      <c r="BB49" s="252" t="s">
        <v>75</v>
      </c>
      <c r="BC49" s="257" t="s">
        <v>75</v>
      </c>
    </row>
    <row r="50" spans="2:55" ht="12.75" customHeight="1" x14ac:dyDescent="0.2">
      <c r="B50" s="285"/>
      <c r="C50" s="284"/>
      <c r="D50" s="284"/>
      <c r="E50" s="284"/>
      <c r="F50" s="78">
        <v>1.43</v>
      </c>
      <c r="G50" s="80">
        <f t="shared" si="8"/>
        <v>3.13</v>
      </c>
      <c r="H50" s="80">
        <f t="shared" si="9"/>
        <v>2.1888111888111887</v>
      </c>
      <c r="I50" s="78">
        <v>0.09</v>
      </c>
      <c r="J50" s="78">
        <v>0.05</v>
      </c>
      <c r="K50" s="78">
        <v>0.74</v>
      </c>
      <c r="L50" s="78">
        <v>0.48</v>
      </c>
      <c r="M50" s="78">
        <v>0.52</v>
      </c>
      <c r="N50" s="78">
        <v>0.11</v>
      </c>
      <c r="O50" s="78">
        <v>1.1399999999999999</v>
      </c>
      <c r="P50" s="78">
        <f>N:N+O:O</f>
        <v>1.25</v>
      </c>
      <c r="Q50" s="80">
        <f t="shared" si="10"/>
        <v>1.6891891891891893</v>
      </c>
      <c r="R50" s="80">
        <f t="shared" si="0"/>
        <v>0.70270270270270274</v>
      </c>
      <c r="S50" s="80">
        <f t="shared" si="1"/>
        <v>0.64864864864864868</v>
      </c>
      <c r="T50" s="80">
        <f t="shared" si="11"/>
        <v>10.363636363636363</v>
      </c>
      <c r="U50" s="78">
        <v>0.21</v>
      </c>
      <c r="V50" s="78">
        <f t="shared" si="12"/>
        <v>14.904761904761905</v>
      </c>
      <c r="W50" s="79" t="s">
        <v>75</v>
      </c>
      <c r="X50" s="79" t="s">
        <v>75</v>
      </c>
      <c r="Y50" s="79" t="s">
        <v>75</v>
      </c>
      <c r="Z50" s="79" t="s">
        <v>75</v>
      </c>
      <c r="AA50" s="78">
        <v>0.44</v>
      </c>
      <c r="AB50" s="78">
        <f t="shared" si="40"/>
        <v>0.30769230769230771</v>
      </c>
      <c r="AC50" s="78">
        <v>0.9</v>
      </c>
      <c r="AD50" s="78">
        <f t="shared" si="41"/>
        <v>0.62937062937062938</v>
      </c>
      <c r="AE50" s="78">
        <v>0.09</v>
      </c>
      <c r="AF50" s="78">
        <f t="shared" si="45"/>
        <v>0.12162162162162161</v>
      </c>
      <c r="AG50" s="78">
        <f>AE:AE/P:P</f>
        <v>7.1999999999999995E-2</v>
      </c>
      <c r="AH50" s="78">
        <f t="shared" si="52"/>
        <v>0.81818181818181812</v>
      </c>
      <c r="AI50" s="78">
        <v>0.08</v>
      </c>
      <c r="AJ50" s="78">
        <v>0.05</v>
      </c>
      <c r="AK50" s="78">
        <f t="shared" ref="AK50" si="59">AI50/AJ50</f>
        <v>1.5999999999999999</v>
      </c>
      <c r="AL50" s="78">
        <f t="shared" si="48"/>
        <v>0.88888888888888895</v>
      </c>
      <c r="AM50" s="78">
        <f t="shared" si="54"/>
        <v>0.72727272727272729</v>
      </c>
      <c r="AN50" s="78">
        <f t="shared" si="49"/>
        <v>0.10810810810810811</v>
      </c>
      <c r="AO50" s="78">
        <f t="shared" si="50"/>
        <v>0.5</v>
      </c>
      <c r="AP50" s="78">
        <v>0.16</v>
      </c>
      <c r="AQ50" s="78">
        <v>7.0000000000000007E-2</v>
      </c>
      <c r="AR50" s="78">
        <f t="shared" si="46"/>
        <v>0.1118881118881119</v>
      </c>
      <c r="AS50" s="78">
        <f t="shared" si="5"/>
        <v>2.2857142857142856</v>
      </c>
      <c r="AT50" s="78">
        <f t="shared" si="47"/>
        <v>0.21621621621621623</v>
      </c>
      <c r="AU50" s="79" t="s">
        <v>75</v>
      </c>
      <c r="AV50" s="79" t="s">
        <v>75</v>
      </c>
      <c r="AW50" s="79" t="s">
        <v>75</v>
      </c>
      <c r="AX50" s="114" t="s">
        <v>75</v>
      </c>
      <c r="AY50" s="114" t="s">
        <v>75</v>
      </c>
      <c r="AZ50" s="87">
        <v>9</v>
      </c>
      <c r="BA50" s="252" t="s">
        <v>75</v>
      </c>
      <c r="BB50" s="252" t="s">
        <v>75</v>
      </c>
      <c r="BC50" s="257" t="s">
        <v>75</v>
      </c>
    </row>
    <row r="51" spans="2:55" ht="12.75" customHeight="1" x14ac:dyDescent="0.2">
      <c r="B51" s="292">
        <v>24325</v>
      </c>
      <c r="C51" s="293" t="s">
        <v>306</v>
      </c>
      <c r="D51" s="294" t="s">
        <v>310</v>
      </c>
      <c r="E51" s="294" t="s">
        <v>304</v>
      </c>
      <c r="F51" s="121">
        <v>1.5</v>
      </c>
      <c r="G51" s="122">
        <f t="shared" si="8"/>
        <v>3.6100000000000003</v>
      </c>
      <c r="H51" s="122">
        <f t="shared" si="9"/>
        <v>2.4066666666666667</v>
      </c>
      <c r="I51" s="121">
        <v>0.09</v>
      </c>
      <c r="J51" s="121">
        <v>0.05</v>
      </c>
      <c r="K51" s="121">
        <v>0.72</v>
      </c>
      <c r="L51" s="121">
        <v>0.46</v>
      </c>
      <c r="M51" s="121">
        <v>0.51</v>
      </c>
      <c r="N51" s="121">
        <v>0.1</v>
      </c>
      <c r="O51" s="121">
        <v>1.68</v>
      </c>
      <c r="P51" s="121">
        <f>N:N+O:O</f>
        <v>1.78</v>
      </c>
      <c r="Q51" s="122">
        <f t="shared" si="10"/>
        <v>2.4722222222222223</v>
      </c>
      <c r="R51" s="122">
        <f t="shared" si="0"/>
        <v>0.70833333333333337</v>
      </c>
      <c r="S51" s="122">
        <f t="shared" si="1"/>
        <v>0.63888888888888895</v>
      </c>
      <c r="T51" s="122">
        <f t="shared" si="11"/>
        <v>16.799999999999997</v>
      </c>
      <c r="U51" s="121">
        <v>0.25</v>
      </c>
      <c r="V51" s="121">
        <f t="shared" si="12"/>
        <v>14.440000000000001</v>
      </c>
      <c r="W51" s="121">
        <v>0.48</v>
      </c>
      <c r="X51" s="121">
        <v>7.0000000000000007E-2</v>
      </c>
      <c r="Y51" s="121">
        <f>W:W/X:X</f>
        <v>6.8571428571428559</v>
      </c>
      <c r="Z51" s="121">
        <v>0.33</v>
      </c>
      <c r="AA51" s="121">
        <v>0.44</v>
      </c>
      <c r="AB51" s="121">
        <f t="shared" si="40"/>
        <v>0.29333333333333333</v>
      </c>
      <c r="AC51" s="121">
        <v>0.85</v>
      </c>
      <c r="AD51" s="121">
        <f t="shared" si="41"/>
        <v>0.56666666666666665</v>
      </c>
      <c r="AE51" s="121">
        <v>0.08</v>
      </c>
      <c r="AF51" s="121">
        <f t="shared" si="45"/>
        <v>0.11111111111111112</v>
      </c>
      <c r="AG51" s="121">
        <f>AE:AE/P:P</f>
        <v>4.49438202247191E-2</v>
      </c>
      <c r="AH51" s="121">
        <f t="shared" si="52"/>
        <v>0.79999999999999993</v>
      </c>
      <c r="AI51" s="121">
        <v>0.08</v>
      </c>
      <c r="AJ51" s="121">
        <v>0.05</v>
      </c>
      <c r="AK51" s="121">
        <f t="shared" si="19"/>
        <v>1.5999999999999999</v>
      </c>
      <c r="AL51" s="121">
        <f t="shared" si="48"/>
        <v>1</v>
      </c>
      <c r="AM51" s="121">
        <f t="shared" si="54"/>
        <v>0.79999999999999993</v>
      </c>
      <c r="AN51" s="121">
        <f t="shared" si="49"/>
        <v>0.11111111111111112</v>
      </c>
      <c r="AO51" s="121">
        <f t="shared" si="50"/>
        <v>0.44444444444444448</v>
      </c>
      <c r="AP51" s="121">
        <v>0.18</v>
      </c>
      <c r="AQ51" s="121">
        <v>0.08</v>
      </c>
      <c r="AR51" s="121">
        <f t="shared" si="46"/>
        <v>0.12</v>
      </c>
      <c r="AS51" s="121">
        <f t="shared" si="5"/>
        <v>2.25</v>
      </c>
      <c r="AT51" s="121">
        <f t="shared" si="47"/>
        <v>0.25</v>
      </c>
      <c r="AU51" s="121">
        <v>0.09</v>
      </c>
      <c r="AV51" s="121">
        <v>0.09</v>
      </c>
      <c r="AW51" s="121">
        <f>AU51/AV51</f>
        <v>1</v>
      </c>
      <c r="AX51" s="122">
        <f>AP51/AU51</f>
        <v>2</v>
      </c>
      <c r="AY51" s="123" t="s">
        <v>75</v>
      </c>
      <c r="AZ51" s="213">
        <v>6</v>
      </c>
      <c r="BA51" s="253" t="s">
        <v>75</v>
      </c>
      <c r="BB51" s="253" t="s">
        <v>75</v>
      </c>
      <c r="BC51" s="258" t="s">
        <v>75</v>
      </c>
    </row>
    <row r="52" spans="2:55" ht="12.75" customHeight="1" x14ac:dyDescent="0.2">
      <c r="B52" s="295"/>
      <c r="C52" s="296"/>
      <c r="D52" s="295"/>
      <c r="E52" s="297" t="s">
        <v>25</v>
      </c>
      <c r="F52" s="170">
        <f t="shared" ref="F52:AX52" si="60">MIN(F3:F51)</f>
        <v>0.99</v>
      </c>
      <c r="G52" s="170">
        <f t="shared" si="60"/>
        <v>3.1099999999999994</v>
      </c>
      <c r="H52" s="170">
        <f t="shared" si="60"/>
        <v>1.9566666666666668</v>
      </c>
      <c r="I52" s="170">
        <f t="shared" si="60"/>
        <v>7.4999999999999997E-2</v>
      </c>
      <c r="J52" s="170">
        <f t="shared" si="60"/>
        <v>0.04</v>
      </c>
      <c r="K52" s="170">
        <f t="shared" si="60"/>
        <v>0.7</v>
      </c>
      <c r="L52" s="170">
        <f t="shared" si="60"/>
        <v>0.46</v>
      </c>
      <c r="M52" s="170">
        <f t="shared" si="60"/>
        <v>0.47099999999999997</v>
      </c>
      <c r="N52" s="170">
        <f t="shared" si="60"/>
        <v>9.4E-2</v>
      </c>
      <c r="O52" s="170">
        <f t="shared" si="60"/>
        <v>0.9</v>
      </c>
      <c r="P52" s="170">
        <f t="shared" si="60"/>
        <v>1.0249999999999999</v>
      </c>
      <c r="Q52" s="170">
        <f t="shared" si="60"/>
        <v>1.1877172653534183</v>
      </c>
      <c r="R52" s="170">
        <f t="shared" si="60"/>
        <v>0.53153153153153143</v>
      </c>
      <c r="S52" s="170">
        <f t="shared" si="60"/>
        <v>0.6144578313253013</v>
      </c>
      <c r="T52" s="170">
        <f t="shared" si="60"/>
        <v>7.2</v>
      </c>
      <c r="U52" s="170">
        <f t="shared" si="60"/>
        <v>0.21</v>
      </c>
      <c r="V52" s="170">
        <f t="shared" si="60"/>
        <v>11.357142857142856</v>
      </c>
      <c r="W52" s="170">
        <f t="shared" si="60"/>
        <v>0.436</v>
      </c>
      <c r="X52" s="170">
        <f t="shared" si="60"/>
        <v>5.2999999999999999E-2</v>
      </c>
      <c r="Y52" s="170">
        <f t="shared" si="60"/>
        <v>5.333333333333333</v>
      </c>
      <c r="Z52" s="170">
        <f t="shared" si="60"/>
        <v>0.3</v>
      </c>
      <c r="AA52" s="170">
        <f t="shared" si="60"/>
        <v>0.4</v>
      </c>
      <c r="AB52" s="170">
        <f t="shared" si="60"/>
        <v>0.28387096774193554</v>
      </c>
      <c r="AC52" s="170">
        <f t="shared" si="60"/>
        <v>0.82</v>
      </c>
      <c r="AD52" s="170">
        <f t="shared" si="60"/>
        <v>0.56666666666666665</v>
      </c>
      <c r="AE52" s="170">
        <f t="shared" si="60"/>
        <v>7.8E-2</v>
      </c>
      <c r="AF52" s="170">
        <f t="shared" si="60"/>
        <v>9.5953757225433534E-2</v>
      </c>
      <c r="AG52" s="170">
        <f t="shared" si="60"/>
        <v>3.8145823273780778E-2</v>
      </c>
      <c r="AH52" s="170">
        <f t="shared" si="60"/>
        <v>0.65289256198347112</v>
      </c>
      <c r="AI52" s="170">
        <f t="shared" si="60"/>
        <v>0.08</v>
      </c>
      <c r="AJ52" s="170">
        <f t="shared" si="60"/>
        <v>0.05</v>
      </c>
      <c r="AK52" s="170">
        <f t="shared" si="60"/>
        <v>1.5</v>
      </c>
      <c r="AL52" s="170">
        <f t="shared" si="60"/>
        <v>0.88888888888888895</v>
      </c>
      <c r="AM52" s="170">
        <f t="shared" si="60"/>
        <v>0.66666666666666674</v>
      </c>
      <c r="AN52" s="170">
        <f t="shared" si="60"/>
        <v>8.1081081081081072E-2</v>
      </c>
      <c r="AO52" s="170">
        <f t="shared" si="60"/>
        <v>0.44444444444444448</v>
      </c>
      <c r="AP52" s="170">
        <f t="shared" si="60"/>
        <v>0.13</v>
      </c>
      <c r="AQ52" s="170">
        <f t="shared" si="60"/>
        <v>0.06</v>
      </c>
      <c r="AR52" s="170">
        <f t="shared" si="60"/>
        <v>8.8902513795217658E-2</v>
      </c>
      <c r="AS52" s="170">
        <f t="shared" si="60"/>
        <v>1.3</v>
      </c>
      <c r="AT52" s="170">
        <f t="shared" si="60"/>
        <v>0.12612612612612611</v>
      </c>
      <c r="AU52" s="170">
        <f t="shared" si="60"/>
        <v>7.0000000000000007E-2</v>
      </c>
      <c r="AV52" s="170">
        <f t="shared" si="60"/>
        <v>0.08</v>
      </c>
      <c r="AW52" s="170">
        <f t="shared" si="60"/>
        <v>0.7777777777777779</v>
      </c>
      <c r="AX52" s="170">
        <f t="shared" si="60"/>
        <v>1.3925233644859814</v>
      </c>
      <c r="AY52" s="172"/>
      <c r="AZ52" s="172">
        <f>MIN(AZ3:AZ51)</f>
        <v>6</v>
      </c>
    </row>
    <row r="53" spans="2:55" ht="12.75" customHeight="1" x14ac:dyDescent="0.2">
      <c r="B53" s="1"/>
      <c r="E53" s="2" t="s">
        <v>26</v>
      </c>
      <c r="F53" s="8">
        <f t="shared" ref="F53:AX53" si="61">MAX(F3:F51)</f>
        <v>1.8</v>
      </c>
      <c r="G53" s="8">
        <f t="shared" si="61"/>
        <v>4.1920000000000002</v>
      </c>
      <c r="H53" s="8">
        <f t="shared" si="61"/>
        <v>3.6434343434343437</v>
      </c>
      <c r="I53" s="8">
        <f t="shared" si="61"/>
        <v>0.11</v>
      </c>
      <c r="J53" s="8">
        <f t="shared" si="61"/>
        <v>0.06</v>
      </c>
      <c r="K53" s="8">
        <f t="shared" si="61"/>
        <v>1.1100000000000001</v>
      </c>
      <c r="L53" s="8">
        <f t="shared" si="61"/>
        <v>0.63</v>
      </c>
      <c r="M53" s="8">
        <f t="shared" si="61"/>
        <v>0.71</v>
      </c>
      <c r="N53" s="8">
        <f t="shared" si="61"/>
        <v>0.13</v>
      </c>
      <c r="O53" s="8">
        <f t="shared" si="61"/>
        <v>1.978</v>
      </c>
      <c r="P53" s="8">
        <f t="shared" si="61"/>
        <v>2.1080000000000001</v>
      </c>
      <c r="Q53" s="8">
        <f t="shared" si="61"/>
        <v>2.72</v>
      </c>
      <c r="R53" s="8">
        <f t="shared" si="61"/>
        <v>0.82857142857142851</v>
      </c>
      <c r="S53" s="8">
        <f t="shared" si="61"/>
        <v>0.73255813953488369</v>
      </c>
      <c r="T53" s="8">
        <f t="shared" si="61"/>
        <v>16.799999999999997</v>
      </c>
      <c r="U53" s="8">
        <f t="shared" si="61"/>
        <v>0.28999999999999998</v>
      </c>
      <c r="V53" s="8">
        <f t="shared" si="61"/>
        <v>16.776744186046514</v>
      </c>
      <c r="W53" s="8">
        <f t="shared" si="61"/>
        <v>0.6</v>
      </c>
      <c r="X53" s="8">
        <f t="shared" si="61"/>
        <v>9.1999999999999998E-2</v>
      </c>
      <c r="Y53" s="8">
        <f t="shared" si="61"/>
        <v>8.6792452830188687</v>
      </c>
      <c r="Z53" s="8">
        <f t="shared" si="61"/>
        <v>0.44</v>
      </c>
      <c r="AA53" s="8">
        <f t="shared" si="61"/>
        <v>0.59</v>
      </c>
      <c r="AB53" s="8">
        <f t="shared" si="61"/>
        <v>0.41176470588235292</v>
      </c>
      <c r="AC53" s="8">
        <f t="shared" si="61"/>
        <v>1.163</v>
      </c>
      <c r="AD53" s="8">
        <f t="shared" si="61"/>
        <v>0.88235294117647056</v>
      </c>
      <c r="AE53" s="8">
        <f t="shared" si="61"/>
        <v>9.7000000000000003E-2</v>
      </c>
      <c r="AF53" s="8">
        <f t="shared" si="61"/>
        <v>0.125</v>
      </c>
      <c r="AG53" s="8">
        <f t="shared" si="61"/>
        <v>8.6829268292682935E-2</v>
      </c>
      <c r="AH53" s="8">
        <f t="shared" si="61"/>
        <v>0.85263157894736841</v>
      </c>
      <c r="AI53" s="8">
        <f t="shared" si="61"/>
        <v>0.1</v>
      </c>
      <c r="AJ53" s="8">
        <f t="shared" si="61"/>
        <v>6.0999999999999999E-2</v>
      </c>
      <c r="AK53" s="8">
        <f t="shared" si="61"/>
        <v>1.7999999999999998</v>
      </c>
      <c r="AL53" s="8">
        <f t="shared" si="61"/>
        <v>1.1481481481481481</v>
      </c>
      <c r="AM53" s="8">
        <f t="shared" si="61"/>
        <v>0.89999999999999991</v>
      </c>
      <c r="AN53" s="8">
        <f t="shared" si="61"/>
        <v>0.1388888888888889</v>
      </c>
      <c r="AO53" s="8">
        <f t="shared" si="61"/>
        <v>0.69230769230769229</v>
      </c>
      <c r="AP53" s="8">
        <f t="shared" si="61"/>
        <v>0.21099999999999999</v>
      </c>
      <c r="AQ53" s="8">
        <f t="shared" si="61"/>
        <v>0.11700000000000001</v>
      </c>
      <c r="AR53" s="8">
        <f t="shared" si="61"/>
        <v>0.18181818181818182</v>
      </c>
      <c r="AS53" s="8">
        <f t="shared" si="61"/>
        <v>2.2857142857142856</v>
      </c>
      <c r="AT53" s="8">
        <f t="shared" si="61"/>
        <v>0.25555555555555554</v>
      </c>
      <c r="AU53" s="8">
        <f t="shared" si="61"/>
        <v>0.114</v>
      </c>
      <c r="AV53" s="8">
        <f t="shared" si="61"/>
        <v>0.122</v>
      </c>
      <c r="AW53" s="8">
        <f t="shared" si="61"/>
        <v>1</v>
      </c>
      <c r="AX53" s="8">
        <f t="shared" si="61"/>
        <v>2.4534883720930232</v>
      </c>
      <c r="AY53" s="9"/>
      <c r="AZ53" s="9">
        <f>MAX(AZ3:AZ51)</f>
        <v>11</v>
      </c>
    </row>
    <row r="54" spans="2:55" ht="12.75" customHeight="1" x14ac:dyDescent="0.2"/>
    <row r="55" spans="2:55" ht="12.75" customHeight="1" x14ac:dyDescent="0.2"/>
    <row r="56" spans="2:55" ht="12.75" customHeight="1" x14ac:dyDescent="0.2"/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BC58"/>
  <sheetViews>
    <sheetView zoomScaleNormal="100" workbookViewId="0"/>
  </sheetViews>
  <sheetFormatPr defaultColWidth="9.140625" defaultRowHeight="12.75" x14ac:dyDescent="0.25"/>
  <cols>
    <col min="1" max="1" width="1.7109375" style="7" customWidth="1"/>
    <col min="2" max="2" width="18.7109375" style="46" customWidth="1"/>
    <col min="3" max="4" width="18.7109375" style="7" customWidth="1"/>
    <col min="5" max="5" width="36.7109375" style="7" customWidth="1"/>
    <col min="6" max="52" width="8.7109375" style="7" customWidth="1"/>
    <col min="53" max="55" width="10.7109375" style="7" customWidth="1"/>
    <col min="56" max="16384" width="9.140625" style="7"/>
  </cols>
  <sheetData>
    <row r="1" spans="2:55" ht="12" customHeight="1" x14ac:dyDescent="0.25">
      <c r="AN1" s="96"/>
      <c r="AY1" s="96"/>
    </row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5">
      <c r="B3" s="61">
        <v>13697</v>
      </c>
      <c r="C3" s="277" t="s">
        <v>311</v>
      </c>
      <c r="D3" s="278" t="s">
        <v>142</v>
      </c>
      <c r="E3" s="278" t="s">
        <v>215</v>
      </c>
      <c r="F3" s="64">
        <v>1.891</v>
      </c>
      <c r="G3" s="146" t="s">
        <v>75</v>
      </c>
      <c r="H3" s="146" t="s">
        <v>75</v>
      </c>
      <c r="I3" s="66" t="s">
        <v>75</v>
      </c>
      <c r="J3" s="66" t="s">
        <v>75</v>
      </c>
      <c r="K3" s="66" t="s">
        <v>75</v>
      </c>
      <c r="L3" s="66" t="s">
        <v>75</v>
      </c>
      <c r="M3" s="66" t="s">
        <v>75</v>
      </c>
      <c r="N3" s="66" t="s">
        <v>75</v>
      </c>
      <c r="O3" s="66" t="s">
        <v>75</v>
      </c>
      <c r="P3" s="66" t="s">
        <v>75</v>
      </c>
      <c r="Q3" s="146" t="s">
        <v>75</v>
      </c>
      <c r="R3" s="146" t="s">
        <v>75</v>
      </c>
      <c r="S3" s="146" t="s">
        <v>75</v>
      </c>
      <c r="T3" s="146" t="s">
        <v>75</v>
      </c>
      <c r="U3" s="66" t="s">
        <v>75</v>
      </c>
      <c r="V3" s="66" t="s">
        <v>75</v>
      </c>
      <c r="W3" s="64">
        <v>0.64800000000000002</v>
      </c>
      <c r="X3" s="64">
        <v>0.10100000000000001</v>
      </c>
      <c r="Y3" s="64">
        <f>W:W/X:X</f>
        <v>6.4158415841584153</v>
      </c>
      <c r="Z3" s="66" t="s">
        <v>75</v>
      </c>
      <c r="AA3" s="66" t="s">
        <v>75</v>
      </c>
      <c r="AB3" s="66" t="s">
        <v>75</v>
      </c>
      <c r="AC3" s="64">
        <v>1.204</v>
      </c>
      <c r="AD3" s="64">
        <f>AC3/F3</f>
        <v>0.63670015864621887</v>
      </c>
      <c r="AE3" s="64">
        <v>0.13100000000000001</v>
      </c>
      <c r="AF3" s="66" t="s">
        <v>75</v>
      </c>
      <c r="AG3" s="66" t="s">
        <v>75</v>
      </c>
      <c r="AH3" s="66" t="s">
        <v>75</v>
      </c>
      <c r="AI3" s="66" t="s">
        <v>75</v>
      </c>
      <c r="AJ3" s="66" t="s">
        <v>75</v>
      </c>
      <c r="AK3" s="66" t="s">
        <v>75</v>
      </c>
      <c r="AL3" s="66" t="s">
        <v>75</v>
      </c>
      <c r="AM3" s="66" t="s">
        <v>75</v>
      </c>
      <c r="AN3" s="66" t="s">
        <v>75</v>
      </c>
      <c r="AO3" s="66" t="s">
        <v>75</v>
      </c>
      <c r="AP3" s="64">
        <v>0.224</v>
      </c>
      <c r="AQ3" s="66" t="s">
        <v>75</v>
      </c>
      <c r="AR3" s="64">
        <f>AP3/F3</f>
        <v>0.11845584346906399</v>
      </c>
      <c r="AS3" s="66" t="s">
        <v>75</v>
      </c>
      <c r="AT3" s="66" t="s">
        <v>75</v>
      </c>
      <c r="AU3" s="66" t="s">
        <v>75</v>
      </c>
      <c r="AV3" s="66" t="s">
        <v>75</v>
      </c>
      <c r="AW3" s="66" t="s">
        <v>75</v>
      </c>
      <c r="AX3" s="146" t="s">
        <v>75</v>
      </c>
      <c r="AY3" s="260" t="s">
        <v>75</v>
      </c>
      <c r="AZ3" s="133">
        <v>14</v>
      </c>
      <c r="BA3" s="260" t="s">
        <v>75</v>
      </c>
      <c r="BB3" s="260" t="s">
        <v>75</v>
      </c>
      <c r="BC3" s="261" t="s">
        <v>75</v>
      </c>
    </row>
    <row r="4" spans="2:55" ht="12.75" customHeight="1" x14ac:dyDescent="0.25">
      <c r="B4" s="69"/>
      <c r="C4" s="279"/>
      <c r="D4" s="279"/>
      <c r="E4" s="279"/>
      <c r="F4" s="72">
        <v>1.891</v>
      </c>
      <c r="G4" s="110" t="s">
        <v>75</v>
      </c>
      <c r="H4" s="110" t="s">
        <v>75</v>
      </c>
      <c r="I4" s="73" t="s">
        <v>75</v>
      </c>
      <c r="J4" s="73" t="s">
        <v>75</v>
      </c>
      <c r="K4" s="73" t="s">
        <v>75</v>
      </c>
      <c r="L4" s="73" t="s">
        <v>75</v>
      </c>
      <c r="M4" s="73" t="s">
        <v>75</v>
      </c>
      <c r="N4" s="73" t="s">
        <v>75</v>
      </c>
      <c r="O4" s="73" t="s">
        <v>75</v>
      </c>
      <c r="P4" s="73" t="s">
        <v>75</v>
      </c>
      <c r="Q4" s="110" t="s">
        <v>75</v>
      </c>
      <c r="R4" s="110" t="s">
        <v>75</v>
      </c>
      <c r="S4" s="110" t="s">
        <v>75</v>
      </c>
      <c r="T4" s="110" t="s">
        <v>75</v>
      </c>
      <c r="U4" s="73" t="s">
        <v>75</v>
      </c>
      <c r="V4" s="73" t="s">
        <v>75</v>
      </c>
      <c r="W4" s="73" t="s">
        <v>75</v>
      </c>
      <c r="X4" s="73" t="s">
        <v>75</v>
      </c>
      <c r="Y4" s="73" t="s">
        <v>75</v>
      </c>
      <c r="Z4" s="73" t="s">
        <v>75</v>
      </c>
      <c r="AA4" s="72">
        <v>0.65700000000000003</v>
      </c>
      <c r="AB4" s="72">
        <f>AA4/F4</f>
        <v>0.34743521946060285</v>
      </c>
      <c r="AC4" s="72">
        <v>1.26</v>
      </c>
      <c r="AD4" s="72">
        <f>AC4/F4</f>
        <v>0.66631411951348496</v>
      </c>
      <c r="AE4" s="72">
        <v>0.13500000000000001</v>
      </c>
      <c r="AF4" s="73" t="s">
        <v>75</v>
      </c>
      <c r="AG4" s="73" t="s">
        <v>75</v>
      </c>
      <c r="AH4" s="73" t="s">
        <v>75</v>
      </c>
      <c r="AI4" s="73" t="s">
        <v>75</v>
      </c>
      <c r="AJ4" s="73" t="s">
        <v>75</v>
      </c>
      <c r="AK4" s="73" t="s">
        <v>75</v>
      </c>
      <c r="AL4" s="73" t="s">
        <v>75</v>
      </c>
      <c r="AM4" s="73" t="s">
        <v>75</v>
      </c>
      <c r="AN4" s="73" t="s">
        <v>75</v>
      </c>
      <c r="AO4" s="73" t="s">
        <v>75</v>
      </c>
      <c r="AP4" s="72">
        <v>0.23899999999999999</v>
      </c>
      <c r="AQ4" s="72">
        <v>0.17899999999999999</v>
      </c>
      <c r="AR4" s="72">
        <f>AP4/F4</f>
        <v>0.1263881544156531</v>
      </c>
      <c r="AS4" s="72">
        <f t="shared" ref="AS4:AS54" si="0">AP4/AQ4</f>
        <v>1.3351955307262571</v>
      </c>
      <c r="AT4" s="73" t="s">
        <v>75</v>
      </c>
      <c r="AU4" s="73" t="s">
        <v>75</v>
      </c>
      <c r="AV4" s="73" t="s">
        <v>75</v>
      </c>
      <c r="AW4" s="73" t="s">
        <v>75</v>
      </c>
      <c r="AX4" s="110" t="s">
        <v>75</v>
      </c>
      <c r="AY4" s="134" t="s">
        <v>75</v>
      </c>
      <c r="AZ4" s="134" t="s">
        <v>75</v>
      </c>
      <c r="BA4" s="134" t="s">
        <v>75</v>
      </c>
      <c r="BB4" s="134" t="s">
        <v>75</v>
      </c>
      <c r="BC4" s="247" t="s">
        <v>75</v>
      </c>
    </row>
    <row r="5" spans="2:55" ht="12.75" customHeight="1" x14ac:dyDescent="0.25">
      <c r="B5" s="86">
        <v>13697</v>
      </c>
      <c r="C5" s="276" t="s">
        <v>311</v>
      </c>
      <c r="D5" s="275" t="s">
        <v>142</v>
      </c>
      <c r="E5" s="275" t="s">
        <v>215</v>
      </c>
      <c r="F5" s="79" t="s">
        <v>75</v>
      </c>
      <c r="G5" s="114" t="s">
        <v>75</v>
      </c>
      <c r="H5" s="114" t="s">
        <v>75</v>
      </c>
      <c r="I5" s="79" t="s">
        <v>75</v>
      </c>
      <c r="J5" s="79" t="s">
        <v>75</v>
      </c>
      <c r="K5" s="78">
        <v>0.84699999999999998</v>
      </c>
      <c r="L5" s="78">
        <v>0.63200000000000001</v>
      </c>
      <c r="M5" s="78">
        <v>0.59399999999999997</v>
      </c>
      <c r="N5" s="78">
        <v>0.14000000000000001</v>
      </c>
      <c r="O5" s="78">
        <v>1.036</v>
      </c>
      <c r="P5" s="78">
        <f t="shared" ref="P5:P15" si="1">N:N+O:O</f>
        <v>1.1760000000000002</v>
      </c>
      <c r="Q5" s="80">
        <f t="shared" ref="Q5:Q54" si="2">(N5+O5)/K5</f>
        <v>1.388429752066116</v>
      </c>
      <c r="R5" s="80">
        <f t="shared" ref="R5:R54" si="3">M5/K5</f>
        <v>0.70129870129870131</v>
      </c>
      <c r="S5" s="80">
        <f t="shared" ref="S5:S55" si="4">L5/K5</f>
        <v>0.74616292798110984</v>
      </c>
      <c r="T5" s="80">
        <f t="shared" ref="T5:T54" si="5">O5/N5</f>
        <v>7.3999999999999995</v>
      </c>
      <c r="U5" s="79" t="s">
        <v>75</v>
      </c>
      <c r="V5" s="79" t="s">
        <v>75</v>
      </c>
      <c r="W5" s="79" t="s">
        <v>75</v>
      </c>
      <c r="X5" s="79" t="s">
        <v>75</v>
      </c>
      <c r="Y5" s="79" t="s">
        <v>75</v>
      </c>
      <c r="Z5" s="79" t="s">
        <v>75</v>
      </c>
      <c r="AA5" s="79" t="s">
        <v>75</v>
      </c>
      <c r="AB5" s="79" t="s">
        <v>75</v>
      </c>
      <c r="AC5" s="79" t="s">
        <v>75</v>
      </c>
      <c r="AD5" s="79" t="s">
        <v>75</v>
      </c>
      <c r="AE5" s="79" t="s">
        <v>75</v>
      </c>
      <c r="AF5" s="79" t="s">
        <v>75</v>
      </c>
      <c r="AG5" s="79" t="s">
        <v>75</v>
      </c>
      <c r="AH5" s="79" t="s">
        <v>75</v>
      </c>
      <c r="AI5" s="79" t="s">
        <v>75</v>
      </c>
      <c r="AJ5" s="79" t="s">
        <v>75</v>
      </c>
      <c r="AK5" s="79" t="s">
        <v>75</v>
      </c>
      <c r="AL5" s="79" t="s">
        <v>75</v>
      </c>
      <c r="AM5" s="79" t="s">
        <v>75</v>
      </c>
      <c r="AN5" s="79" t="s">
        <v>75</v>
      </c>
      <c r="AO5" s="79" t="s">
        <v>75</v>
      </c>
      <c r="AP5" s="79" t="s">
        <v>75</v>
      </c>
      <c r="AQ5" s="79" t="s">
        <v>75</v>
      </c>
      <c r="AR5" s="79" t="s">
        <v>75</v>
      </c>
      <c r="AS5" s="79" t="s">
        <v>75</v>
      </c>
      <c r="AT5" s="79" t="s">
        <v>75</v>
      </c>
      <c r="AU5" s="79" t="s">
        <v>75</v>
      </c>
      <c r="AV5" s="79" t="s">
        <v>75</v>
      </c>
      <c r="AW5" s="79" t="s">
        <v>75</v>
      </c>
      <c r="AX5" s="114" t="s">
        <v>75</v>
      </c>
      <c r="AY5" s="135" t="s">
        <v>75</v>
      </c>
      <c r="AZ5" s="137">
        <v>15</v>
      </c>
      <c r="BA5" s="135" t="s">
        <v>75</v>
      </c>
      <c r="BB5" s="135" t="s">
        <v>75</v>
      </c>
      <c r="BC5" s="242" t="s">
        <v>75</v>
      </c>
    </row>
    <row r="6" spans="2:55" ht="12.75" customHeight="1" x14ac:dyDescent="0.25">
      <c r="B6" s="75"/>
      <c r="C6" s="275"/>
      <c r="D6" s="275"/>
      <c r="E6" s="275"/>
      <c r="F6" s="79" t="s">
        <v>75</v>
      </c>
      <c r="G6" s="114" t="s">
        <v>75</v>
      </c>
      <c r="H6" s="114" t="s">
        <v>75</v>
      </c>
      <c r="I6" s="79" t="s">
        <v>75</v>
      </c>
      <c r="J6" s="79" t="s">
        <v>75</v>
      </c>
      <c r="K6" s="78">
        <v>0.86399999999999999</v>
      </c>
      <c r="L6" s="78">
        <v>0.58899999999999997</v>
      </c>
      <c r="M6" s="78">
        <v>0.57999999999999996</v>
      </c>
      <c r="N6" s="78">
        <v>0.13800000000000001</v>
      </c>
      <c r="O6" s="78">
        <v>0.98399999999999999</v>
      </c>
      <c r="P6" s="78">
        <f t="shared" si="1"/>
        <v>1.1219999999999999</v>
      </c>
      <c r="Q6" s="80">
        <f t="shared" si="2"/>
        <v>1.2986111111111109</v>
      </c>
      <c r="R6" s="80">
        <f t="shared" si="3"/>
        <v>0.67129629629629628</v>
      </c>
      <c r="S6" s="80">
        <f t="shared" si="4"/>
        <v>0.68171296296296291</v>
      </c>
      <c r="T6" s="80">
        <f t="shared" si="5"/>
        <v>7.1304347826086953</v>
      </c>
      <c r="U6" s="79" t="s">
        <v>75</v>
      </c>
      <c r="V6" s="79" t="s">
        <v>75</v>
      </c>
      <c r="W6" s="79" t="s">
        <v>75</v>
      </c>
      <c r="X6" s="79" t="s">
        <v>75</v>
      </c>
      <c r="Y6" s="79" t="s">
        <v>75</v>
      </c>
      <c r="Z6" s="79" t="s">
        <v>75</v>
      </c>
      <c r="AA6" s="79" t="s">
        <v>75</v>
      </c>
      <c r="AB6" s="79" t="s">
        <v>75</v>
      </c>
      <c r="AC6" s="79" t="s">
        <v>75</v>
      </c>
      <c r="AD6" s="79" t="s">
        <v>75</v>
      </c>
      <c r="AE6" s="79" t="s">
        <v>75</v>
      </c>
      <c r="AF6" s="79" t="s">
        <v>75</v>
      </c>
      <c r="AG6" s="79" t="s">
        <v>75</v>
      </c>
      <c r="AH6" s="79" t="s">
        <v>75</v>
      </c>
      <c r="AI6" s="79" t="s">
        <v>75</v>
      </c>
      <c r="AJ6" s="79" t="s">
        <v>75</v>
      </c>
      <c r="AK6" s="79" t="s">
        <v>75</v>
      </c>
      <c r="AL6" s="79" t="s">
        <v>75</v>
      </c>
      <c r="AM6" s="79" t="s">
        <v>75</v>
      </c>
      <c r="AN6" s="79" t="s">
        <v>75</v>
      </c>
      <c r="AO6" s="79" t="s">
        <v>75</v>
      </c>
      <c r="AP6" s="78">
        <v>0.217</v>
      </c>
      <c r="AQ6" s="79" t="s">
        <v>75</v>
      </c>
      <c r="AR6" s="79" t="s">
        <v>75</v>
      </c>
      <c r="AS6" s="79" t="s">
        <v>75</v>
      </c>
      <c r="AT6" s="78">
        <f>AP6/K6</f>
        <v>0.25115740740740738</v>
      </c>
      <c r="AU6" s="79" t="s">
        <v>75</v>
      </c>
      <c r="AV6" s="79" t="s">
        <v>75</v>
      </c>
      <c r="AW6" s="79" t="s">
        <v>75</v>
      </c>
      <c r="AX6" s="114" t="s">
        <v>75</v>
      </c>
      <c r="AY6" s="135" t="s">
        <v>75</v>
      </c>
      <c r="AZ6" s="137">
        <v>16</v>
      </c>
      <c r="BA6" s="135" t="s">
        <v>75</v>
      </c>
      <c r="BB6" s="135" t="s">
        <v>75</v>
      </c>
      <c r="BC6" s="242" t="s">
        <v>75</v>
      </c>
    </row>
    <row r="7" spans="2:55" ht="12.75" customHeight="1" x14ac:dyDescent="0.25">
      <c r="B7" s="83">
        <v>13697</v>
      </c>
      <c r="C7" s="280" t="s">
        <v>311</v>
      </c>
      <c r="D7" s="279" t="s">
        <v>142</v>
      </c>
      <c r="E7" s="279" t="s">
        <v>215</v>
      </c>
      <c r="F7" s="72">
        <v>1.5509999999999999</v>
      </c>
      <c r="G7" s="110" t="s">
        <v>75</v>
      </c>
      <c r="H7" s="110" t="s">
        <v>75</v>
      </c>
      <c r="I7" s="73" t="s">
        <v>75</v>
      </c>
      <c r="J7" s="73" t="s">
        <v>75</v>
      </c>
      <c r="K7" s="72">
        <v>0.81699999999999995</v>
      </c>
      <c r="L7" s="72">
        <v>0.55400000000000005</v>
      </c>
      <c r="M7" s="72">
        <v>0.505</v>
      </c>
      <c r="N7" s="72">
        <v>0.151</v>
      </c>
      <c r="O7" s="72">
        <v>0.71599999999999997</v>
      </c>
      <c r="P7" s="72">
        <f t="shared" si="1"/>
        <v>0.86699999999999999</v>
      </c>
      <c r="Q7" s="82">
        <f t="shared" si="2"/>
        <v>1.0611995104039169</v>
      </c>
      <c r="R7" s="82">
        <f t="shared" si="3"/>
        <v>0.61811505507955944</v>
      </c>
      <c r="S7" s="82">
        <f t="shared" si="4"/>
        <v>0.67809057527539784</v>
      </c>
      <c r="T7" s="82">
        <f t="shared" si="5"/>
        <v>4.741721854304636</v>
      </c>
      <c r="U7" s="73" t="s">
        <v>75</v>
      </c>
      <c r="V7" s="73" t="s">
        <v>75</v>
      </c>
      <c r="W7" s="73" t="s">
        <v>75</v>
      </c>
      <c r="X7" s="73" t="s">
        <v>75</v>
      </c>
      <c r="Y7" s="73" t="s">
        <v>75</v>
      </c>
      <c r="Z7" s="73" t="s">
        <v>75</v>
      </c>
      <c r="AA7" s="73" t="s">
        <v>75</v>
      </c>
      <c r="AB7" s="73" t="s">
        <v>75</v>
      </c>
      <c r="AC7" s="73" t="s">
        <v>75</v>
      </c>
      <c r="AD7" s="73" t="s">
        <v>75</v>
      </c>
      <c r="AE7" s="73" t="s">
        <v>75</v>
      </c>
      <c r="AF7" s="73" t="s">
        <v>75</v>
      </c>
      <c r="AG7" s="73" t="s">
        <v>75</v>
      </c>
      <c r="AH7" s="73" t="s">
        <v>75</v>
      </c>
      <c r="AI7" s="73" t="s">
        <v>75</v>
      </c>
      <c r="AJ7" s="73" t="s">
        <v>75</v>
      </c>
      <c r="AK7" s="73" t="s">
        <v>75</v>
      </c>
      <c r="AL7" s="73" t="s">
        <v>75</v>
      </c>
      <c r="AM7" s="73" t="s">
        <v>75</v>
      </c>
      <c r="AN7" s="73" t="s">
        <v>75</v>
      </c>
      <c r="AO7" s="73" t="s">
        <v>75</v>
      </c>
      <c r="AP7" s="73" t="s">
        <v>75</v>
      </c>
      <c r="AQ7" s="73" t="s">
        <v>75</v>
      </c>
      <c r="AR7" s="73" t="s">
        <v>75</v>
      </c>
      <c r="AS7" s="73" t="s">
        <v>75</v>
      </c>
      <c r="AT7" s="73" t="s">
        <v>75</v>
      </c>
      <c r="AU7" s="73" t="s">
        <v>75</v>
      </c>
      <c r="AV7" s="73" t="s">
        <v>75</v>
      </c>
      <c r="AW7" s="73" t="s">
        <v>75</v>
      </c>
      <c r="AX7" s="110" t="s">
        <v>75</v>
      </c>
      <c r="AY7" s="134" t="s">
        <v>75</v>
      </c>
      <c r="AZ7" s="134" t="s">
        <v>75</v>
      </c>
      <c r="BA7" s="134" t="s">
        <v>75</v>
      </c>
      <c r="BB7" s="134" t="s">
        <v>75</v>
      </c>
      <c r="BC7" s="247" t="s">
        <v>75</v>
      </c>
    </row>
    <row r="8" spans="2:55" ht="12.75" customHeight="1" x14ac:dyDescent="0.25">
      <c r="B8" s="69"/>
      <c r="C8" s="279"/>
      <c r="D8" s="279"/>
      <c r="E8" s="279"/>
      <c r="F8" s="72">
        <v>1.5509999999999999</v>
      </c>
      <c r="G8" s="110" t="s">
        <v>75</v>
      </c>
      <c r="H8" s="110" t="s">
        <v>75</v>
      </c>
      <c r="I8" s="73" t="s">
        <v>75</v>
      </c>
      <c r="J8" s="73" t="s">
        <v>75</v>
      </c>
      <c r="K8" s="72">
        <v>0.83599999999999997</v>
      </c>
      <c r="L8" s="72">
        <v>0.56499999999999995</v>
      </c>
      <c r="M8" s="72">
        <v>0.51300000000000001</v>
      </c>
      <c r="N8" s="72">
        <v>0.13800000000000001</v>
      </c>
      <c r="O8" s="72">
        <v>0.88200000000000001</v>
      </c>
      <c r="P8" s="72">
        <f t="shared" si="1"/>
        <v>1.02</v>
      </c>
      <c r="Q8" s="82">
        <f t="shared" si="2"/>
        <v>1.2200956937799043</v>
      </c>
      <c r="R8" s="82">
        <f t="shared" si="3"/>
        <v>0.61363636363636365</v>
      </c>
      <c r="S8" s="82">
        <f t="shared" si="4"/>
        <v>0.67583732057416268</v>
      </c>
      <c r="T8" s="82">
        <f t="shared" si="5"/>
        <v>6.391304347826086</v>
      </c>
      <c r="U8" s="73" t="s">
        <v>75</v>
      </c>
      <c r="V8" s="73" t="s">
        <v>75</v>
      </c>
      <c r="W8" s="73" t="s">
        <v>75</v>
      </c>
      <c r="X8" s="73" t="s">
        <v>75</v>
      </c>
      <c r="Y8" s="73" t="s">
        <v>75</v>
      </c>
      <c r="Z8" s="73" t="s">
        <v>75</v>
      </c>
      <c r="AA8" s="73" t="s">
        <v>75</v>
      </c>
      <c r="AB8" s="73" t="s">
        <v>75</v>
      </c>
      <c r="AC8" s="73" t="s">
        <v>75</v>
      </c>
      <c r="AD8" s="73" t="s">
        <v>75</v>
      </c>
      <c r="AE8" s="73" t="s">
        <v>75</v>
      </c>
      <c r="AF8" s="73" t="s">
        <v>75</v>
      </c>
      <c r="AG8" s="73" t="s">
        <v>75</v>
      </c>
      <c r="AH8" s="73" t="s">
        <v>75</v>
      </c>
      <c r="AI8" s="73" t="s">
        <v>75</v>
      </c>
      <c r="AJ8" s="73" t="s">
        <v>75</v>
      </c>
      <c r="AK8" s="73" t="s">
        <v>75</v>
      </c>
      <c r="AL8" s="73" t="s">
        <v>75</v>
      </c>
      <c r="AM8" s="73" t="s">
        <v>75</v>
      </c>
      <c r="AN8" s="73" t="s">
        <v>75</v>
      </c>
      <c r="AO8" s="73" t="s">
        <v>75</v>
      </c>
      <c r="AP8" s="73" t="s">
        <v>75</v>
      </c>
      <c r="AQ8" s="73" t="s">
        <v>75</v>
      </c>
      <c r="AR8" s="73" t="s">
        <v>75</v>
      </c>
      <c r="AS8" s="73" t="s">
        <v>75</v>
      </c>
      <c r="AT8" s="73" t="s">
        <v>75</v>
      </c>
      <c r="AU8" s="73" t="s">
        <v>75</v>
      </c>
      <c r="AV8" s="73" t="s">
        <v>75</v>
      </c>
      <c r="AW8" s="73" t="s">
        <v>75</v>
      </c>
      <c r="AX8" s="110" t="s">
        <v>75</v>
      </c>
      <c r="AY8" s="134" t="s">
        <v>75</v>
      </c>
      <c r="AZ8" s="134" t="s">
        <v>75</v>
      </c>
      <c r="BA8" s="134" t="s">
        <v>75</v>
      </c>
      <c r="BB8" s="134" t="s">
        <v>75</v>
      </c>
      <c r="BC8" s="247" t="s">
        <v>75</v>
      </c>
    </row>
    <row r="9" spans="2:55" ht="12.75" customHeight="1" x14ac:dyDescent="0.25">
      <c r="B9" s="86">
        <v>13697</v>
      </c>
      <c r="C9" s="276" t="s">
        <v>311</v>
      </c>
      <c r="D9" s="275" t="s">
        <v>142</v>
      </c>
      <c r="E9" s="275" t="s">
        <v>215</v>
      </c>
      <c r="F9" s="78">
        <v>1.829</v>
      </c>
      <c r="G9" s="114" t="s">
        <v>75</v>
      </c>
      <c r="H9" s="114" t="s">
        <v>75</v>
      </c>
      <c r="I9" s="79" t="s">
        <v>75</v>
      </c>
      <c r="J9" s="79" t="s">
        <v>75</v>
      </c>
      <c r="K9" s="78">
        <v>0.76700000000000002</v>
      </c>
      <c r="L9" s="78">
        <v>0.50800000000000001</v>
      </c>
      <c r="M9" s="78">
        <v>0.58599999999999997</v>
      </c>
      <c r="N9" s="78">
        <v>0.14399999999999999</v>
      </c>
      <c r="O9" s="78">
        <v>0.94399999999999995</v>
      </c>
      <c r="P9" s="78">
        <f t="shared" si="1"/>
        <v>1.0879999999999999</v>
      </c>
      <c r="Q9" s="80">
        <f t="shared" si="2"/>
        <v>1.4185136897001303</v>
      </c>
      <c r="R9" s="80">
        <f t="shared" si="3"/>
        <v>0.76401564537157751</v>
      </c>
      <c r="S9" s="80">
        <f t="shared" si="4"/>
        <v>0.66232073011734027</v>
      </c>
      <c r="T9" s="80">
        <f t="shared" si="5"/>
        <v>6.5555555555555554</v>
      </c>
      <c r="U9" s="79" t="s">
        <v>75</v>
      </c>
      <c r="V9" s="79" t="s">
        <v>75</v>
      </c>
      <c r="W9" s="78">
        <v>0.66</v>
      </c>
      <c r="X9" s="78">
        <v>0.107</v>
      </c>
      <c r="Y9" s="78">
        <f t="shared" ref="Y9:Y14" si="6">W:W/X:X</f>
        <v>6.1682242990654208</v>
      </c>
      <c r="Z9" s="78">
        <v>0.44600000000000001</v>
      </c>
      <c r="AA9" s="78">
        <v>0.59599999999999997</v>
      </c>
      <c r="AB9" s="78">
        <f t="shared" ref="AB9:AB28" si="7">AA9/F9</f>
        <v>0.32586112629852376</v>
      </c>
      <c r="AC9" s="78">
        <v>1.208</v>
      </c>
      <c r="AD9" s="78">
        <f t="shared" ref="AD9:AD28" si="8">AC9/F9</f>
        <v>0.66047020229633679</v>
      </c>
      <c r="AE9" s="78">
        <v>0.13700000000000001</v>
      </c>
      <c r="AF9" s="78">
        <f t="shared" ref="AF9:AF55" si="9">AE9/K9</f>
        <v>0.17861799217731422</v>
      </c>
      <c r="AG9" s="78">
        <f>AE:AE/P:P</f>
        <v>0.12591911764705885</v>
      </c>
      <c r="AH9" s="78">
        <f>AE9/N9</f>
        <v>0.95138888888888906</v>
      </c>
      <c r="AI9" s="79" t="s">
        <v>75</v>
      </c>
      <c r="AJ9" s="79" t="s">
        <v>75</v>
      </c>
      <c r="AK9" s="79" t="s">
        <v>75</v>
      </c>
      <c r="AL9" s="79" t="s">
        <v>75</v>
      </c>
      <c r="AM9" s="79" t="s">
        <v>75</v>
      </c>
      <c r="AN9" s="79" t="s">
        <v>75</v>
      </c>
      <c r="AO9" s="79" t="s">
        <v>75</v>
      </c>
      <c r="AP9" s="78">
        <v>0.23</v>
      </c>
      <c r="AQ9" s="79" t="s">
        <v>75</v>
      </c>
      <c r="AR9" s="78">
        <f t="shared" ref="AR9:AR54" si="10">AP9/F9</f>
        <v>0.12575177692728268</v>
      </c>
      <c r="AS9" s="79" t="s">
        <v>75</v>
      </c>
      <c r="AT9" s="78">
        <f t="shared" ref="AT9:AT35" si="11">AP9/K9</f>
        <v>0.29986962190352023</v>
      </c>
      <c r="AU9" s="79" t="s">
        <v>75</v>
      </c>
      <c r="AV9" s="79" t="s">
        <v>75</v>
      </c>
      <c r="AW9" s="79" t="s">
        <v>75</v>
      </c>
      <c r="AX9" s="114" t="s">
        <v>75</v>
      </c>
      <c r="AY9" s="135" t="s">
        <v>75</v>
      </c>
      <c r="AZ9" s="135" t="s">
        <v>75</v>
      </c>
      <c r="BA9" s="135" t="s">
        <v>75</v>
      </c>
      <c r="BB9" s="135" t="s">
        <v>75</v>
      </c>
      <c r="BC9" s="242" t="s">
        <v>75</v>
      </c>
    </row>
    <row r="10" spans="2:55" ht="12.75" customHeight="1" x14ac:dyDescent="0.25">
      <c r="B10" s="83">
        <v>27662</v>
      </c>
      <c r="C10" s="280" t="s">
        <v>311</v>
      </c>
      <c r="D10" s="279" t="s">
        <v>312</v>
      </c>
      <c r="E10" s="279" t="s">
        <v>216</v>
      </c>
      <c r="F10" s="72">
        <f>1.085+1.216</f>
        <v>2.3010000000000002</v>
      </c>
      <c r="G10" s="82">
        <f t="shared" ref="G10:G15" si="12">I10+J10+K10+L10+M10+N10+O10</f>
        <v>2.9009999999999998</v>
      </c>
      <c r="H10" s="82">
        <f t="shared" ref="H10:H15" si="13">G10/F10</f>
        <v>1.2607561929595825</v>
      </c>
      <c r="I10" s="72">
        <v>8.5000000000000006E-2</v>
      </c>
      <c r="J10" s="72">
        <v>0.06</v>
      </c>
      <c r="K10" s="72">
        <v>0.74</v>
      </c>
      <c r="L10" s="72">
        <v>0.625</v>
      </c>
      <c r="M10" s="72">
        <v>0.55700000000000005</v>
      </c>
      <c r="N10" s="72">
        <v>0.13</v>
      </c>
      <c r="O10" s="72">
        <v>0.70399999999999996</v>
      </c>
      <c r="P10" s="72">
        <f t="shared" si="1"/>
        <v>0.83399999999999996</v>
      </c>
      <c r="Q10" s="82">
        <f t="shared" si="2"/>
        <v>1.1270270270270271</v>
      </c>
      <c r="R10" s="82">
        <f t="shared" si="3"/>
        <v>0.75270270270270279</v>
      </c>
      <c r="S10" s="82">
        <f t="shared" si="4"/>
        <v>0.84459459459459463</v>
      </c>
      <c r="T10" s="82">
        <f t="shared" si="5"/>
        <v>5.4153846153846148</v>
      </c>
      <c r="U10" s="72">
        <v>0.31</v>
      </c>
      <c r="V10" s="72">
        <f t="shared" ref="V10:V54" si="14">G10/U10</f>
        <v>9.3580645161290317</v>
      </c>
      <c r="W10" s="72">
        <v>0.51</v>
      </c>
      <c r="X10" s="72">
        <v>0.11600000000000001</v>
      </c>
      <c r="Y10" s="72">
        <f t="shared" si="6"/>
        <v>4.3965517241379306</v>
      </c>
      <c r="Z10" s="72">
        <v>0.37</v>
      </c>
      <c r="AA10" s="72">
        <v>0.52300000000000002</v>
      </c>
      <c r="AB10" s="72">
        <f t="shared" si="7"/>
        <v>0.22729248152976966</v>
      </c>
      <c r="AC10" s="72">
        <v>1.25</v>
      </c>
      <c r="AD10" s="72">
        <f t="shared" si="8"/>
        <v>0.5432420686657975</v>
      </c>
      <c r="AE10" s="73" t="s">
        <v>75</v>
      </c>
      <c r="AF10" s="73" t="s">
        <v>75</v>
      </c>
      <c r="AG10" s="73" t="s">
        <v>75</v>
      </c>
      <c r="AH10" s="73" t="s">
        <v>75</v>
      </c>
      <c r="AI10" s="73" t="s">
        <v>75</v>
      </c>
      <c r="AJ10" s="73" t="s">
        <v>75</v>
      </c>
      <c r="AK10" s="73" t="s">
        <v>75</v>
      </c>
      <c r="AL10" s="73" t="s">
        <v>75</v>
      </c>
      <c r="AM10" s="73" t="s">
        <v>75</v>
      </c>
      <c r="AN10" s="73" t="s">
        <v>75</v>
      </c>
      <c r="AO10" s="73" t="s">
        <v>75</v>
      </c>
      <c r="AP10" s="72">
        <v>0.22</v>
      </c>
      <c r="AQ10" s="72">
        <v>7.3999999999999996E-2</v>
      </c>
      <c r="AR10" s="72">
        <f t="shared" si="10"/>
        <v>9.5610604085180351E-2</v>
      </c>
      <c r="AS10" s="72">
        <f t="shared" si="0"/>
        <v>2.9729729729729732</v>
      </c>
      <c r="AT10" s="72">
        <f t="shared" si="11"/>
        <v>0.29729729729729731</v>
      </c>
      <c r="AU10" s="72">
        <v>0.12</v>
      </c>
      <c r="AV10" s="73" t="s">
        <v>75</v>
      </c>
      <c r="AW10" s="73" t="s">
        <v>75</v>
      </c>
      <c r="AX10" s="82">
        <f t="shared" ref="AX10:AX54" si="15">AP10/AU10</f>
        <v>1.8333333333333335</v>
      </c>
      <c r="AY10" s="136">
        <v>4</v>
      </c>
      <c r="AZ10" s="136">
        <v>9</v>
      </c>
      <c r="BA10" s="134" t="s">
        <v>75</v>
      </c>
      <c r="BB10" s="136">
        <v>5</v>
      </c>
      <c r="BC10" s="143">
        <v>5</v>
      </c>
    </row>
    <row r="11" spans="2:55" ht="12.75" customHeight="1" x14ac:dyDescent="0.25">
      <c r="B11" s="69"/>
      <c r="C11" s="279"/>
      <c r="D11" s="279"/>
      <c r="E11" s="279"/>
      <c r="F11" s="72">
        <f>1.085+1.216</f>
        <v>2.3010000000000002</v>
      </c>
      <c r="G11" s="82">
        <f t="shared" si="12"/>
        <v>3.2010000000000001</v>
      </c>
      <c r="H11" s="82">
        <f t="shared" si="13"/>
        <v>1.3911342894393741</v>
      </c>
      <c r="I11" s="72">
        <v>8.6999999999999994E-2</v>
      </c>
      <c r="J11" s="72">
        <v>0.06</v>
      </c>
      <c r="K11" s="72">
        <v>0.75</v>
      </c>
      <c r="L11" s="72">
        <v>0.59</v>
      </c>
      <c r="M11" s="72">
        <v>0.59899999999999998</v>
      </c>
      <c r="N11" s="72">
        <v>0.13</v>
      </c>
      <c r="O11" s="72">
        <f>0.629+0.356</f>
        <v>0.98499999999999999</v>
      </c>
      <c r="P11" s="72">
        <f t="shared" si="1"/>
        <v>1.115</v>
      </c>
      <c r="Q11" s="82">
        <f t="shared" si="2"/>
        <v>1.4866666666666666</v>
      </c>
      <c r="R11" s="82">
        <f t="shared" si="3"/>
        <v>0.79866666666666664</v>
      </c>
      <c r="S11" s="82">
        <f t="shared" si="4"/>
        <v>0.78666666666666663</v>
      </c>
      <c r="T11" s="82">
        <f t="shared" si="5"/>
        <v>7.5769230769230766</v>
      </c>
      <c r="U11" s="72">
        <v>0.31</v>
      </c>
      <c r="V11" s="72">
        <f t="shared" si="14"/>
        <v>10.325806451612904</v>
      </c>
      <c r="W11" s="72">
        <v>0.54</v>
      </c>
      <c r="X11" s="72">
        <v>0.11</v>
      </c>
      <c r="Y11" s="72">
        <f t="shared" si="6"/>
        <v>4.9090909090909092</v>
      </c>
      <c r="Z11" s="73" t="s">
        <v>75</v>
      </c>
      <c r="AA11" s="72">
        <v>0.51500000000000001</v>
      </c>
      <c r="AB11" s="72">
        <f t="shared" si="7"/>
        <v>0.22381573229030854</v>
      </c>
      <c r="AC11" s="72">
        <v>1.18</v>
      </c>
      <c r="AD11" s="72">
        <f t="shared" si="8"/>
        <v>0.51282051282051277</v>
      </c>
      <c r="AE11" s="73" t="s">
        <v>75</v>
      </c>
      <c r="AF11" s="73" t="s">
        <v>75</v>
      </c>
      <c r="AG11" s="73" t="s">
        <v>75</v>
      </c>
      <c r="AH11" s="73" t="s">
        <v>75</v>
      </c>
      <c r="AI11" s="73" t="s">
        <v>75</v>
      </c>
      <c r="AJ11" s="73" t="s">
        <v>75</v>
      </c>
      <c r="AK11" s="73" t="s">
        <v>75</v>
      </c>
      <c r="AL11" s="73" t="s">
        <v>75</v>
      </c>
      <c r="AM11" s="73" t="s">
        <v>75</v>
      </c>
      <c r="AN11" s="73" t="s">
        <v>75</v>
      </c>
      <c r="AO11" s="73" t="s">
        <v>75</v>
      </c>
      <c r="AP11" s="72">
        <v>0.22800000000000001</v>
      </c>
      <c r="AQ11" s="72">
        <v>8.2000000000000003E-2</v>
      </c>
      <c r="AR11" s="72">
        <f t="shared" si="10"/>
        <v>9.9087353324641456E-2</v>
      </c>
      <c r="AS11" s="72">
        <f t="shared" si="0"/>
        <v>2.7804878048780486</v>
      </c>
      <c r="AT11" s="72">
        <f t="shared" si="11"/>
        <v>0.30399999999999999</v>
      </c>
      <c r="AU11" s="72">
        <v>0.12</v>
      </c>
      <c r="AV11" s="73" t="s">
        <v>75</v>
      </c>
      <c r="AW11" s="73" t="s">
        <v>75</v>
      </c>
      <c r="AX11" s="82">
        <f t="shared" ref="AX11" si="16">AP11/AU11</f>
        <v>1.9000000000000001</v>
      </c>
      <c r="AY11" s="134" t="s">
        <v>75</v>
      </c>
      <c r="AZ11" s="136">
        <v>10</v>
      </c>
      <c r="BA11" s="134" t="s">
        <v>75</v>
      </c>
      <c r="BB11" s="134" t="s">
        <v>75</v>
      </c>
      <c r="BC11" s="247" t="s">
        <v>75</v>
      </c>
    </row>
    <row r="12" spans="2:55" ht="12.75" customHeight="1" x14ac:dyDescent="0.25">
      <c r="B12" s="86">
        <v>28012</v>
      </c>
      <c r="C12" s="276" t="s">
        <v>311</v>
      </c>
      <c r="D12" s="275" t="s">
        <v>237</v>
      </c>
      <c r="E12" s="275" t="s">
        <v>217</v>
      </c>
      <c r="F12" s="78">
        <f>1.148+1.42</f>
        <v>2.5679999999999996</v>
      </c>
      <c r="G12" s="80">
        <f t="shared" si="12"/>
        <v>3.7249999999999996</v>
      </c>
      <c r="H12" s="80">
        <f t="shared" si="13"/>
        <v>1.4505451713395638</v>
      </c>
      <c r="I12" s="78">
        <v>0.107</v>
      </c>
      <c r="J12" s="78">
        <v>5.8000000000000003E-2</v>
      </c>
      <c r="K12" s="78">
        <v>0.81499999999999995</v>
      </c>
      <c r="L12" s="78">
        <v>0.71799999999999997</v>
      </c>
      <c r="M12" s="78">
        <v>0.69799999999999995</v>
      </c>
      <c r="N12" s="78">
        <v>0.16500000000000001</v>
      </c>
      <c r="O12" s="78">
        <f>0.576+0.312+0.217+0.059</f>
        <v>1.1639999999999999</v>
      </c>
      <c r="P12" s="78">
        <f t="shared" si="1"/>
        <v>1.329</v>
      </c>
      <c r="Q12" s="80">
        <f t="shared" si="2"/>
        <v>1.630674846625767</v>
      </c>
      <c r="R12" s="80">
        <f t="shared" si="3"/>
        <v>0.85644171779141109</v>
      </c>
      <c r="S12" s="80">
        <f t="shared" si="4"/>
        <v>0.88098159509202456</v>
      </c>
      <c r="T12" s="80">
        <f t="shared" si="5"/>
        <v>7.0545454545454538</v>
      </c>
      <c r="U12" s="78">
        <v>0.32</v>
      </c>
      <c r="V12" s="78">
        <f t="shared" si="14"/>
        <v>11.640624999999998</v>
      </c>
      <c r="W12" s="78">
        <v>0.68300000000000005</v>
      </c>
      <c r="X12" s="78">
        <v>0.13900000000000001</v>
      </c>
      <c r="Y12" s="78">
        <f t="shared" si="6"/>
        <v>4.9136690647482011</v>
      </c>
      <c r="Z12" s="78">
        <v>0.439</v>
      </c>
      <c r="AA12" s="78">
        <v>0.65800000000000003</v>
      </c>
      <c r="AB12" s="78">
        <f t="shared" si="7"/>
        <v>0.25623052959501563</v>
      </c>
      <c r="AC12" s="78">
        <v>1.2</v>
      </c>
      <c r="AD12" s="78">
        <f t="shared" si="8"/>
        <v>0.46728971962616828</v>
      </c>
      <c r="AE12" s="79" t="s">
        <v>75</v>
      </c>
      <c r="AF12" s="79" t="s">
        <v>75</v>
      </c>
      <c r="AG12" s="79" t="s">
        <v>75</v>
      </c>
      <c r="AH12" s="79" t="s">
        <v>75</v>
      </c>
      <c r="AI12" s="78">
        <v>9.9000000000000005E-2</v>
      </c>
      <c r="AJ12" s="78">
        <v>6.5000000000000002E-2</v>
      </c>
      <c r="AK12" s="78">
        <f t="shared" ref="AK12:AK55" si="17">AI12/AJ12</f>
        <v>1.523076923076923</v>
      </c>
      <c r="AL12" s="79" t="s">
        <v>75</v>
      </c>
      <c r="AM12" s="78">
        <f>AI12/N12</f>
        <v>0.6</v>
      </c>
      <c r="AN12" s="78">
        <f>AI12/K12</f>
        <v>0.12147239263803683</v>
      </c>
      <c r="AO12" s="78">
        <f t="shared" ref="AO12:AO54" si="18">AI12/AP12</f>
        <v>0.43421052631578949</v>
      </c>
      <c r="AP12" s="78">
        <v>0.22800000000000001</v>
      </c>
      <c r="AQ12" s="78">
        <v>7.1999999999999995E-2</v>
      </c>
      <c r="AR12" s="78">
        <f t="shared" si="10"/>
        <v>8.8785046728971972E-2</v>
      </c>
      <c r="AS12" s="78">
        <f t="shared" si="0"/>
        <v>3.166666666666667</v>
      </c>
      <c r="AT12" s="78">
        <f t="shared" si="11"/>
        <v>0.27975460122699392</v>
      </c>
      <c r="AU12" s="78">
        <v>0.15</v>
      </c>
      <c r="AV12" s="79" t="s">
        <v>75</v>
      </c>
      <c r="AW12" s="79" t="s">
        <v>75</v>
      </c>
      <c r="AX12" s="80">
        <f t="shared" si="15"/>
        <v>1.52</v>
      </c>
      <c r="AY12" s="137">
        <v>4</v>
      </c>
      <c r="AZ12" s="137">
        <v>12</v>
      </c>
      <c r="BA12" s="135" t="s">
        <v>75</v>
      </c>
      <c r="BB12" s="137">
        <v>6</v>
      </c>
      <c r="BC12" s="145">
        <v>5</v>
      </c>
    </row>
    <row r="13" spans="2:55" ht="12.75" customHeight="1" x14ac:dyDescent="0.25">
      <c r="B13" s="75"/>
      <c r="C13" s="275"/>
      <c r="D13" s="275"/>
      <c r="E13" s="275"/>
      <c r="F13" s="78">
        <f>1.148+1.42</f>
        <v>2.5679999999999996</v>
      </c>
      <c r="G13" s="80">
        <f t="shared" si="12"/>
        <v>3.8699999999999997</v>
      </c>
      <c r="H13" s="80">
        <f t="shared" si="13"/>
        <v>1.5070093457943927</v>
      </c>
      <c r="I13" s="78">
        <v>0.10299999999999999</v>
      </c>
      <c r="J13" s="78">
        <v>5.8999999999999997E-2</v>
      </c>
      <c r="K13" s="78">
        <v>0.84899999999999998</v>
      </c>
      <c r="L13" s="78">
        <v>0.71199999999999997</v>
      </c>
      <c r="M13" s="78">
        <v>0.72599999999999998</v>
      </c>
      <c r="N13" s="78">
        <v>0.16700000000000001</v>
      </c>
      <c r="O13" s="78">
        <v>1.254</v>
      </c>
      <c r="P13" s="78">
        <f t="shared" si="1"/>
        <v>1.421</v>
      </c>
      <c r="Q13" s="80">
        <f t="shared" si="2"/>
        <v>1.6737338044758541</v>
      </c>
      <c r="R13" s="80">
        <f t="shared" si="3"/>
        <v>0.85512367491166075</v>
      </c>
      <c r="S13" s="80">
        <f t="shared" si="4"/>
        <v>0.83863368669022376</v>
      </c>
      <c r="T13" s="80">
        <f t="shared" si="5"/>
        <v>7.5089820359281436</v>
      </c>
      <c r="U13" s="78">
        <v>0.32</v>
      </c>
      <c r="V13" s="78">
        <f t="shared" si="14"/>
        <v>12.093749999999998</v>
      </c>
      <c r="W13" s="78">
        <v>0.67800000000000005</v>
      </c>
      <c r="X13" s="78">
        <v>0.151</v>
      </c>
      <c r="Y13" s="78">
        <f t="shared" si="6"/>
        <v>4.4900662251655632</v>
      </c>
      <c r="Z13" s="79" t="s">
        <v>75</v>
      </c>
      <c r="AA13" s="78">
        <v>0.63900000000000001</v>
      </c>
      <c r="AB13" s="78">
        <f t="shared" si="7"/>
        <v>0.24883177570093462</v>
      </c>
      <c r="AC13" s="78">
        <v>1.1599999999999999</v>
      </c>
      <c r="AD13" s="78">
        <f t="shared" si="8"/>
        <v>0.45171339563862933</v>
      </c>
      <c r="AE13" s="79" t="s">
        <v>75</v>
      </c>
      <c r="AF13" s="79" t="s">
        <v>75</v>
      </c>
      <c r="AG13" s="79" t="s">
        <v>75</v>
      </c>
      <c r="AH13" s="79" t="s">
        <v>75</v>
      </c>
      <c r="AI13" s="78">
        <v>9.9000000000000005E-2</v>
      </c>
      <c r="AJ13" s="78">
        <v>6.5000000000000002E-2</v>
      </c>
      <c r="AK13" s="78">
        <f t="shared" si="17"/>
        <v>1.523076923076923</v>
      </c>
      <c r="AL13" s="79" t="s">
        <v>75</v>
      </c>
      <c r="AM13" s="78">
        <f>AI13/N13</f>
        <v>0.59281437125748504</v>
      </c>
      <c r="AN13" s="78">
        <f>AI13/K13</f>
        <v>0.11660777385159012</v>
      </c>
      <c r="AO13" s="78">
        <f t="shared" si="18"/>
        <v>0.45</v>
      </c>
      <c r="AP13" s="78">
        <v>0.22</v>
      </c>
      <c r="AQ13" s="78">
        <v>8.1000000000000003E-2</v>
      </c>
      <c r="AR13" s="78">
        <f t="shared" si="10"/>
        <v>8.5669781931464184E-2</v>
      </c>
      <c r="AS13" s="78">
        <f t="shared" si="0"/>
        <v>2.7160493827160495</v>
      </c>
      <c r="AT13" s="78">
        <f t="shared" si="11"/>
        <v>0.25912838633686691</v>
      </c>
      <c r="AU13" s="78">
        <v>0.15</v>
      </c>
      <c r="AV13" s="79" t="s">
        <v>75</v>
      </c>
      <c r="AW13" s="79" t="s">
        <v>75</v>
      </c>
      <c r="AX13" s="80">
        <f t="shared" ref="AX13" si="19">AP13/AU13</f>
        <v>1.4666666666666668</v>
      </c>
      <c r="AY13" s="135" t="s">
        <v>75</v>
      </c>
      <c r="AZ13" s="137">
        <v>14</v>
      </c>
      <c r="BA13" s="135" t="s">
        <v>75</v>
      </c>
      <c r="BB13" s="135" t="s">
        <v>75</v>
      </c>
      <c r="BC13" s="242" t="s">
        <v>75</v>
      </c>
    </row>
    <row r="14" spans="2:55" ht="12.75" customHeight="1" x14ac:dyDescent="0.25">
      <c r="B14" s="83">
        <v>28012</v>
      </c>
      <c r="C14" s="280" t="s">
        <v>311</v>
      </c>
      <c r="D14" s="279" t="s">
        <v>237</v>
      </c>
      <c r="E14" s="279" t="s">
        <v>217</v>
      </c>
      <c r="F14" s="72">
        <f>0.889+1.142</f>
        <v>2.0309999999999997</v>
      </c>
      <c r="G14" s="82">
        <f t="shared" si="12"/>
        <v>4.173</v>
      </c>
      <c r="H14" s="82">
        <f t="shared" si="13"/>
        <v>2.0546528803545057</v>
      </c>
      <c r="I14" s="72">
        <v>0.9</v>
      </c>
      <c r="J14" s="72">
        <v>0.05</v>
      </c>
      <c r="K14" s="72">
        <v>0.8</v>
      </c>
      <c r="L14" s="72">
        <v>0.61799999999999999</v>
      </c>
      <c r="M14" s="72">
        <v>0.6</v>
      </c>
      <c r="N14" s="72">
        <v>0.12</v>
      </c>
      <c r="O14" s="72">
        <f>0.333+0.353+0.1+0.299</f>
        <v>1.085</v>
      </c>
      <c r="P14" s="72">
        <f t="shared" si="1"/>
        <v>1.2050000000000001</v>
      </c>
      <c r="Q14" s="82">
        <f t="shared" si="2"/>
        <v>1.5062500000000001</v>
      </c>
      <c r="R14" s="82">
        <f t="shared" si="3"/>
        <v>0.74999999999999989</v>
      </c>
      <c r="S14" s="82">
        <f t="shared" si="4"/>
        <v>0.77249999999999996</v>
      </c>
      <c r="T14" s="82">
        <f t="shared" si="5"/>
        <v>9.0416666666666661</v>
      </c>
      <c r="U14" s="72">
        <v>0.27</v>
      </c>
      <c r="V14" s="72">
        <f t="shared" si="14"/>
        <v>15.455555555555554</v>
      </c>
      <c r="W14" s="72">
        <v>0.57799999999999996</v>
      </c>
      <c r="X14" s="72">
        <v>0.108</v>
      </c>
      <c r="Y14" s="72">
        <f t="shared" si="6"/>
        <v>5.3518518518518512</v>
      </c>
      <c r="Z14" s="72">
        <v>0.39</v>
      </c>
      <c r="AA14" s="72">
        <v>0.54400000000000004</v>
      </c>
      <c r="AB14" s="72">
        <f t="shared" si="7"/>
        <v>0.26784835056622358</v>
      </c>
      <c r="AC14" s="72">
        <v>1.05</v>
      </c>
      <c r="AD14" s="72">
        <f t="shared" si="8"/>
        <v>0.51698670605613006</v>
      </c>
      <c r="AE14" s="73" t="s">
        <v>75</v>
      </c>
      <c r="AF14" s="73" t="s">
        <v>75</v>
      </c>
      <c r="AG14" s="73" t="s">
        <v>75</v>
      </c>
      <c r="AH14" s="73" t="s">
        <v>75</v>
      </c>
      <c r="AI14" s="73" t="s">
        <v>75</v>
      </c>
      <c r="AJ14" s="73" t="s">
        <v>75</v>
      </c>
      <c r="AK14" s="73" t="s">
        <v>75</v>
      </c>
      <c r="AL14" s="73" t="s">
        <v>75</v>
      </c>
      <c r="AM14" s="73" t="s">
        <v>75</v>
      </c>
      <c r="AN14" s="73" t="s">
        <v>75</v>
      </c>
      <c r="AO14" s="73" t="s">
        <v>75</v>
      </c>
      <c r="AP14" s="72">
        <v>0.20399999999999999</v>
      </c>
      <c r="AQ14" s="72">
        <v>8.1000000000000003E-2</v>
      </c>
      <c r="AR14" s="72">
        <f t="shared" si="10"/>
        <v>0.10044313146233383</v>
      </c>
      <c r="AS14" s="72">
        <f t="shared" si="0"/>
        <v>2.5185185185185182</v>
      </c>
      <c r="AT14" s="72">
        <f t="shared" si="11"/>
        <v>0.25499999999999995</v>
      </c>
      <c r="AU14" s="72">
        <v>0.11</v>
      </c>
      <c r="AV14" s="73" t="s">
        <v>75</v>
      </c>
      <c r="AW14" s="73" t="s">
        <v>75</v>
      </c>
      <c r="AX14" s="82">
        <f t="shared" si="15"/>
        <v>1.8545454545454545</v>
      </c>
      <c r="AY14" s="136">
        <v>4</v>
      </c>
      <c r="AZ14" s="136">
        <v>11</v>
      </c>
      <c r="BA14" s="134" t="s">
        <v>75</v>
      </c>
      <c r="BB14" s="136">
        <v>7</v>
      </c>
      <c r="BC14" s="143">
        <v>4</v>
      </c>
    </row>
    <row r="15" spans="2:55" ht="12.75" customHeight="1" x14ac:dyDescent="0.25">
      <c r="B15" s="69"/>
      <c r="C15" s="279"/>
      <c r="D15" s="279"/>
      <c r="E15" s="279"/>
      <c r="F15" s="72">
        <f>0.889+1.142</f>
        <v>2.0309999999999997</v>
      </c>
      <c r="G15" s="82">
        <f t="shared" si="12"/>
        <v>3.1819999999999999</v>
      </c>
      <c r="H15" s="82">
        <f t="shared" si="13"/>
        <v>1.5667159034958151</v>
      </c>
      <c r="I15" s="72">
        <v>8.1000000000000003E-2</v>
      </c>
      <c r="J15" s="72">
        <v>5.5E-2</v>
      </c>
      <c r="K15" s="72">
        <v>0.8</v>
      </c>
      <c r="L15" s="72">
        <v>0.67700000000000005</v>
      </c>
      <c r="M15" s="72">
        <v>0.64</v>
      </c>
      <c r="N15" s="72">
        <v>0.127</v>
      </c>
      <c r="O15" s="72">
        <v>0.80200000000000005</v>
      </c>
      <c r="P15" s="72">
        <f t="shared" si="1"/>
        <v>0.92900000000000005</v>
      </c>
      <c r="Q15" s="82">
        <f t="shared" si="2"/>
        <v>1.1612499999999999</v>
      </c>
      <c r="R15" s="82">
        <f t="shared" si="3"/>
        <v>0.79999999999999993</v>
      </c>
      <c r="S15" s="82">
        <f t="shared" si="4"/>
        <v>0.84625000000000006</v>
      </c>
      <c r="T15" s="82">
        <f t="shared" si="5"/>
        <v>6.3149606299212602</v>
      </c>
      <c r="U15" s="72">
        <v>0.27</v>
      </c>
      <c r="V15" s="72">
        <f t="shared" si="14"/>
        <v>11.785185185185185</v>
      </c>
      <c r="W15" s="73" t="s">
        <v>75</v>
      </c>
      <c r="X15" s="73" t="s">
        <v>75</v>
      </c>
      <c r="Y15" s="73" t="s">
        <v>75</v>
      </c>
      <c r="Z15" s="73" t="s">
        <v>75</v>
      </c>
      <c r="AA15" s="72">
        <v>0.52700000000000002</v>
      </c>
      <c r="AB15" s="72">
        <f t="shared" si="7"/>
        <v>0.25947808961102908</v>
      </c>
      <c r="AC15" s="72">
        <v>1.1299999999999999</v>
      </c>
      <c r="AD15" s="72">
        <f t="shared" si="8"/>
        <v>0.55637616937469225</v>
      </c>
      <c r="AE15" s="73" t="s">
        <v>75</v>
      </c>
      <c r="AF15" s="73" t="s">
        <v>75</v>
      </c>
      <c r="AG15" s="73" t="s">
        <v>75</v>
      </c>
      <c r="AH15" s="73" t="s">
        <v>75</v>
      </c>
      <c r="AI15" s="73" t="s">
        <v>75</v>
      </c>
      <c r="AJ15" s="73" t="s">
        <v>75</v>
      </c>
      <c r="AK15" s="73" t="s">
        <v>75</v>
      </c>
      <c r="AL15" s="73" t="s">
        <v>75</v>
      </c>
      <c r="AM15" s="73" t="s">
        <v>75</v>
      </c>
      <c r="AN15" s="73" t="s">
        <v>75</v>
      </c>
      <c r="AO15" s="73" t="s">
        <v>75</v>
      </c>
      <c r="AP15" s="72">
        <v>0.19500000000000001</v>
      </c>
      <c r="AQ15" s="72">
        <v>9.2999999999999999E-2</v>
      </c>
      <c r="AR15" s="72">
        <f t="shared" si="10"/>
        <v>9.6011816838995581E-2</v>
      </c>
      <c r="AS15" s="72">
        <f t="shared" si="0"/>
        <v>2.096774193548387</v>
      </c>
      <c r="AT15" s="72">
        <f t="shared" si="11"/>
        <v>0.24374999999999999</v>
      </c>
      <c r="AU15" s="72">
        <v>0.11</v>
      </c>
      <c r="AV15" s="73" t="s">
        <v>75</v>
      </c>
      <c r="AW15" s="73" t="s">
        <v>75</v>
      </c>
      <c r="AX15" s="82">
        <f t="shared" ref="AX15" si="20">AP15/AU15</f>
        <v>1.7727272727272727</v>
      </c>
      <c r="AY15" s="134" t="s">
        <v>75</v>
      </c>
      <c r="AZ15" s="136">
        <v>14</v>
      </c>
      <c r="BA15" s="134" t="s">
        <v>75</v>
      </c>
      <c r="BB15" s="134" t="s">
        <v>75</v>
      </c>
      <c r="BC15" s="247" t="s">
        <v>75</v>
      </c>
    </row>
    <row r="16" spans="2:55" ht="12.75" customHeight="1" x14ac:dyDescent="0.25">
      <c r="B16" s="86">
        <v>26570</v>
      </c>
      <c r="C16" s="276" t="s">
        <v>311</v>
      </c>
      <c r="D16" s="275" t="s">
        <v>237</v>
      </c>
      <c r="E16" s="275" t="s">
        <v>184</v>
      </c>
      <c r="F16" s="78">
        <f>1.169+1.22+0.381</f>
        <v>2.7700000000000005</v>
      </c>
      <c r="G16" s="114" t="s">
        <v>75</v>
      </c>
      <c r="H16" s="114" t="s">
        <v>75</v>
      </c>
      <c r="I16" s="78">
        <v>0.122</v>
      </c>
      <c r="J16" s="78">
        <v>6.0999999999999999E-2</v>
      </c>
      <c r="K16" s="78">
        <v>0.81399999999999995</v>
      </c>
      <c r="L16" s="78">
        <v>0.68100000000000005</v>
      </c>
      <c r="M16" s="78">
        <v>0.69099999999999995</v>
      </c>
      <c r="N16" s="78">
        <v>0.16</v>
      </c>
      <c r="O16" s="79" t="s">
        <v>75</v>
      </c>
      <c r="P16" s="79" t="s">
        <v>75</v>
      </c>
      <c r="Q16" s="114" t="s">
        <v>75</v>
      </c>
      <c r="R16" s="80">
        <f t="shared" si="3"/>
        <v>0.84889434889434889</v>
      </c>
      <c r="S16" s="80">
        <f t="shared" si="4"/>
        <v>0.83660933660933667</v>
      </c>
      <c r="T16" s="114" t="s">
        <v>75</v>
      </c>
      <c r="U16" s="78">
        <v>0.34</v>
      </c>
      <c r="V16" s="79" t="s">
        <v>75</v>
      </c>
      <c r="W16" s="78">
        <v>0.68</v>
      </c>
      <c r="X16" s="78">
        <v>0.157</v>
      </c>
      <c r="Y16" s="78">
        <f>W:W/X:X</f>
        <v>4.3312101910828025</v>
      </c>
      <c r="Z16" s="78">
        <v>0.46</v>
      </c>
      <c r="AA16" s="78">
        <v>0.64400000000000002</v>
      </c>
      <c r="AB16" s="78">
        <f t="shared" si="7"/>
        <v>0.23249097472924185</v>
      </c>
      <c r="AC16" s="78">
        <v>1.27</v>
      </c>
      <c r="AD16" s="78">
        <f t="shared" si="8"/>
        <v>0.45848375451263529</v>
      </c>
      <c r="AE16" s="79" t="s">
        <v>75</v>
      </c>
      <c r="AF16" s="79" t="s">
        <v>75</v>
      </c>
      <c r="AG16" s="79" t="s">
        <v>75</v>
      </c>
      <c r="AH16" s="79" t="s">
        <v>75</v>
      </c>
      <c r="AI16" s="78">
        <v>9.9000000000000005E-2</v>
      </c>
      <c r="AJ16" s="78">
        <v>6.4000000000000001E-2</v>
      </c>
      <c r="AK16" s="78">
        <f t="shared" si="17"/>
        <v>1.546875</v>
      </c>
      <c r="AL16" s="79" t="s">
        <v>75</v>
      </c>
      <c r="AM16" s="78">
        <f>AI16/N16</f>
        <v>0.61875000000000002</v>
      </c>
      <c r="AN16" s="78">
        <f t="shared" ref="AN16:AN25" si="21">AI16/K16</f>
        <v>0.12162162162162164</v>
      </c>
      <c r="AO16" s="78">
        <f t="shared" si="18"/>
        <v>0.39600000000000002</v>
      </c>
      <c r="AP16" s="78">
        <v>0.25</v>
      </c>
      <c r="AQ16" s="78">
        <v>0.11</v>
      </c>
      <c r="AR16" s="78">
        <f t="shared" si="10"/>
        <v>9.0252707581227415E-2</v>
      </c>
      <c r="AS16" s="78">
        <f t="shared" si="0"/>
        <v>2.2727272727272729</v>
      </c>
      <c r="AT16" s="78">
        <f t="shared" si="11"/>
        <v>0.30712530712530717</v>
      </c>
      <c r="AU16" s="78">
        <v>0.157</v>
      </c>
      <c r="AV16" s="78">
        <v>0.106</v>
      </c>
      <c r="AW16" s="78">
        <f t="shared" ref="AW16:AW54" si="22">AU16/AV16</f>
        <v>1.4811320754716981</v>
      </c>
      <c r="AX16" s="80">
        <f t="shared" si="15"/>
        <v>1.5923566878980893</v>
      </c>
      <c r="AY16" s="137">
        <v>5</v>
      </c>
      <c r="AZ16" s="137">
        <v>9</v>
      </c>
      <c r="BA16" s="135" t="s">
        <v>75</v>
      </c>
      <c r="BB16" s="137">
        <v>7</v>
      </c>
      <c r="BC16" s="145">
        <v>6</v>
      </c>
    </row>
    <row r="17" spans="2:55" ht="12.75" customHeight="1" x14ac:dyDescent="0.25">
      <c r="B17" s="75"/>
      <c r="C17" s="275"/>
      <c r="D17" s="275"/>
      <c r="E17" s="275"/>
      <c r="F17" s="78">
        <f>1.169+1.22+0.381</f>
        <v>2.7700000000000005</v>
      </c>
      <c r="G17" s="80">
        <f>I17+J17+K17+L17+M17+N17+O17</f>
        <v>3.7010000000000005</v>
      </c>
      <c r="H17" s="80">
        <f>G17/F17</f>
        <v>1.3361010830324909</v>
      </c>
      <c r="I17" s="78">
        <v>0.11799999999999999</v>
      </c>
      <c r="J17" s="78">
        <v>6.3E-2</v>
      </c>
      <c r="K17" s="78">
        <v>0.80200000000000005</v>
      </c>
      <c r="L17" s="78">
        <v>0.67400000000000004</v>
      </c>
      <c r="M17" s="78">
        <v>0.69699999999999995</v>
      </c>
      <c r="N17" s="78">
        <v>0.17199999999999999</v>
      </c>
      <c r="O17" s="78">
        <v>1.175</v>
      </c>
      <c r="P17" s="78">
        <f>N:N+O:O</f>
        <v>1.347</v>
      </c>
      <c r="Q17" s="80">
        <f t="shared" si="2"/>
        <v>1.6795511221945136</v>
      </c>
      <c r="R17" s="80">
        <f t="shared" si="3"/>
        <v>0.86907730673316697</v>
      </c>
      <c r="S17" s="80">
        <f t="shared" si="4"/>
        <v>0.84039900249376565</v>
      </c>
      <c r="T17" s="80">
        <f t="shared" si="5"/>
        <v>6.8313953488372103</v>
      </c>
      <c r="U17" s="78">
        <v>0.34</v>
      </c>
      <c r="V17" s="78">
        <f t="shared" si="14"/>
        <v>10.88529411764706</v>
      </c>
      <c r="W17" s="79" t="s">
        <v>75</v>
      </c>
      <c r="X17" s="79" t="s">
        <v>75</v>
      </c>
      <c r="Y17" s="79" t="s">
        <v>75</v>
      </c>
      <c r="Z17" s="79" t="s">
        <v>75</v>
      </c>
      <c r="AA17" s="78">
        <v>0.65300000000000002</v>
      </c>
      <c r="AB17" s="78">
        <f t="shared" si="7"/>
        <v>0.23574007220216603</v>
      </c>
      <c r="AC17" s="78">
        <v>1.1399999999999999</v>
      </c>
      <c r="AD17" s="78">
        <f t="shared" si="8"/>
        <v>0.41155234657039702</v>
      </c>
      <c r="AE17" s="79" t="s">
        <v>75</v>
      </c>
      <c r="AF17" s="79" t="s">
        <v>75</v>
      </c>
      <c r="AG17" s="79" t="s">
        <v>75</v>
      </c>
      <c r="AH17" s="79" t="s">
        <v>75</v>
      </c>
      <c r="AI17" s="78">
        <v>9.9000000000000005E-2</v>
      </c>
      <c r="AJ17" s="78">
        <v>6.4000000000000001E-2</v>
      </c>
      <c r="AK17" s="78">
        <f t="shared" si="17"/>
        <v>1.546875</v>
      </c>
      <c r="AL17" s="79" t="s">
        <v>75</v>
      </c>
      <c r="AM17" s="78">
        <f>AI17/N17</f>
        <v>0.57558139534883723</v>
      </c>
      <c r="AN17" s="78">
        <f t="shared" si="21"/>
        <v>0.12344139650872818</v>
      </c>
      <c r="AO17" s="78">
        <f t="shared" si="18"/>
        <v>0.42672413793103448</v>
      </c>
      <c r="AP17" s="78">
        <v>0.23200000000000001</v>
      </c>
      <c r="AQ17" s="78">
        <v>0.125</v>
      </c>
      <c r="AR17" s="78">
        <f t="shared" si="10"/>
        <v>8.3754512635379058E-2</v>
      </c>
      <c r="AS17" s="78">
        <f t="shared" si="0"/>
        <v>1.8560000000000001</v>
      </c>
      <c r="AT17" s="78">
        <f t="shared" si="11"/>
        <v>0.2892768079800499</v>
      </c>
      <c r="AU17" s="78">
        <v>0.157</v>
      </c>
      <c r="AV17" s="78">
        <v>0.106</v>
      </c>
      <c r="AW17" s="78">
        <f t="shared" ref="AW17:AW23" si="23">AU17/AV17</f>
        <v>1.4811320754716981</v>
      </c>
      <c r="AX17" s="80">
        <f t="shared" ref="AX17:AX19" si="24">AP17/AU17</f>
        <v>1.4777070063694269</v>
      </c>
      <c r="AY17" s="135" t="s">
        <v>75</v>
      </c>
      <c r="AZ17" s="137">
        <v>10</v>
      </c>
      <c r="BA17" s="135" t="s">
        <v>75</v>
      </c>
      <c r="BB17" s="135" t="s">
        <v>75</v>
      </c>
      <c r="BC17" s="242" t="s">
        <v>75</v>
      </c>
    </row>
    <row r="18" spans="2:55" ht="12.75" customHeight="1" x14ac:dyDescent="0.25">
      <c r="B18" s="83">
        <v>21685</v>
      </c>
      <c r="C18" s="280" t="s">
        <v>311</v>
      </c>
      <c r="D18" s="279" t="s">
        <v>161</v>
      </c>
      <c r="E18" s="279" t="s">
        <v>218</v>
      </c>
      <c r="F18" s="72">
        <f>1.163+1.099+0.205</f>
        <v>2.4670000000000001</v>
      </c>
      <c r="G18" s="110" t="s">
        <v>75</v>
      </c>
      <c r="H18" s="110" t="s">
        <v>75</v>
      </c>
      <c r="I18" s="72">
        <v>0.99</v>
      </c>
      <c r="J18" s="72">
        <v>6.2E-2</v>
      </c>
      <c r="K18" s="72">
        <v>0.996</v>
      </c>
      <c r="L18" s="72">
        <v>0.59899999999999998</v>
      </c>
      <c r="M18" s="72">
        <v>0.499</v>
      </c>
      <c r="N18" s="72">
        <v>0.158</v>
      </c>
      <c r="O18" s="73" t="s">
        <v>75</v>
      </c>
      <c r="P18" s="73" t="s">
        <v>75</v>
      </c>
      <c r="Q18" s="110" t="s">
        <v>75</v>
      </c>
      <c r="R18" s="82">
        <f t="shared" si="3"/>
        <v>0.50100401606425704</v>
      </c>
      <c r="S18" s="82">
        <f t="shared" si="4"/>
        <v>0.60140562248995977</v>
      </c>
      <c r="T18" s="110" t="s">
        <v>75</v>
      </c>
      <c r="U18" s="72">
        <v>0.33</v>
      </c>
      <c r="V18" s="73" t="s">
        <v>75</v>
      </c>
      <c r="W18" s="72">
        <v>0.64400000000000002</v>
      </c>
      <c r="X18" s="72">
        <v>0.17399999999999999</v>
      </c>
      <c r="Y18" s="72">
        <f t="shared" ref="Y18:Y27" si="25">W:W/X:X</f>
        <v>3.7011494252873565</v>
      </c>
      <c r="Z18" s="72">
        <v>0.49</v>
      </c>
      <c r="AA18" s="72">
        <v>0.62</v>
      </c>
      <c r="AB18" s="72">
        <f t="shared" si="7"/>
        <v>0.25131738954195376</v>
      </c>
      <c r="AC18" s="72">
        <v>1.27</v>
      </c>
      <c r="AD18" s="72">
        <f t="shared" si="8"/>
        <v>0.51479529793271184</v>
      </c>
      <c r="AE18" s="73" t="s">
        <v>75</v>
      </c>
      <c r="AF18" s="73" t="s">
        <v>75</v>
      </c>
      <c r="AG18" s="73" t="s">
        <v>75</v>
      </c>
      <c r="AH18" s="73" t="s">
        <v>75</v>
      </c>
      <c r="AI18" s="72">
        <v>9.9000000000000005E-2</v>
      </c>
      <c r="AJ18" s="72">
        <v>6.2E-2</v>
      </c>
      <c r="AK18" s="72">
        <f t="shared" si="17"/>
        <v>1.5967741935483872</v>
      </c>
      <c r="AL18" s="73" t="s">
        <v>75</v>
      </c>
      <c r="AM18" s="72">
        <f>AI18/N18</f>
        <v>0.62658227848101267</v>
      </c>
      <c r="AN18" s="72">
        <f t="shared" si="21"/>
        <v>9.9397590361445784E-2</v>
      </c>
      <c r="AO18" s="72">
        <f t="shared" si="18"/>
        <v>0.40408163265306124</v>
      </c>
      <c r="AP18" s="72">
        <v>0.245</v>
      </c>
      <c r="AQ18" s="72">
        <v>0.114</v>
      </c>
      <c r="AR18" s="72">
        <f t="shared" si="10"/>
        <v>9.931090393190109E-2</v>
      </c>
      <c r="AS18" s="72">
        <f t="shared" si="0"/>
        <v>2.1491228070175437</v>
      </c>
      <c r="AT18" s="72">
        <f t="shared" si="11"/>
        <v>0.24598393574297189</v>
      </c>
      <c r="AU18" s="72">
        <v>0.17899999999999999</v>
      </c>
      <c r="AV18" s="72">
        <v>0.16800000000000001</v>
      </c>
      <c r="AW18" s="72">
        <f t="shared" si="23"/>
        <v>1.0654761904761905</v>
      </c>
      <c r="AX18" s="82">
        <f t="shared" si="24"/>
        <v>1.3687150837988826</v>
      </c>
      <c r="AY18" s="136">
        <v>4</v>
      </c>
      <c r="AZ18" s="136">
        <v>12</v>
      </c>
      <c r="BA18" s="136">
        <v>5</v>
      </c>
      <c r="BB18" s="136">
        <v>8</v>
      </c>
      <c r="BC18" s="143">
        <v>7</v>
      </c>
    </row>
    <row r="19" spans="2:55" ht="12.75" customHeight="1" x14ac:dyDescent="0.25">
      <c r="B19" s="69"/>
      <c r="C19" s="279"/>
      <c r="D19" s="279"/>
      <c r="E19" s="279"/>
      <c r="F19" s="72">
        <f>1.163+1.099+0.205</f>
        <v>2.4670000000000001</v>
      </c>
      <c r="G19" s="110" t="s">
        <v>75</v>
      </c>
      <c r="H19" s="110" t="s">
        <v>75</v>
      </c>
      <c r="I19" s="72">
        <v>0.104</v>
      </c>
      <c r="J19" s="72">
        <v>6.2E-2</v>
      </c>
      <c r="K19" s="72">
        <v>0.873</v>
      </c>
      <c r="L19" s="72">
        <v>0.52900000000000003</v>
      </c>
      <c r="M19" s="72">
        <v>0.60399999999999998</v>
      </c>
      <c r="N19" s="72">
        <v>0.151</v>
      </c>
      <c r="O19" s="73" t="s">
        <v>75</v>
      </c>
      <c r="P19" s="73" t="s">
        <v>75</v>
      </c>
      <c r="Q19" s="110" t="s">
        <v>75</v>
      </c>
      <c r="R19" s="82">
        <f t="shared" si="3"/>
        <v>0.69186712485681556</v>
      </c>
      <c r="S19" s="82">
        <f t="shared" si="4"/>
        <v>0.60595647193585345</v>
      </c>
      <c r="T19" s="110" t="s">
        <v>75</v>
      </c>
      <c r="U19" s="72">
        <v>0.33</v>
      </c>
      <c r="V19" s="73" t="s">
        <v>75</v>
      </c>
      <c r="W19" s="72">
        <v>0.65200000000000002</v>
      </c>
      <c r="X19" s="72">
        <v>0.16300000000000001</v>
      </c>
      <c r="Y19" s="72">
        <f t="shared" si="25"/>
        <v>4</v>
      </c>
      <c r="Z19" s="73" t="s">
        <v>75</v>
      </c>
      <c r="AA19" s="72">
        <v>0.6</v>
      </c>
      <c r="AB19" s="72">
        <f t="shared" si="7"/>
        <v>0.2432103769760843</v>
      </c>
      <c r="AC19" s="72">
        <v>1.31</v>
      </c>
      <c r="AD19" s="72">
        <f t="shared" si="8"/>
        <v>0.5310093230644507</v>
      </c>
      <c r="AE19" s="73" t="s">
        <v>75</v>
      </c>
      <c r="AF19" s="73" t="s">
        <v>75</v>
      </c>
      <c r="AG19" s="73" t="s">
        <v>75</v>
      </c>
      <c r="AH19" s="73" t="s">
        <v>75</v>
      </c>
      <c r="AI19" s="72">
        <v>9.9000000000000005E-2</v>
      </c>
      <c r="AJ19" s="72">
        <v>6.2E-2</v>
      </c>
      <c r="AK19" s="72">
        <f t="shared" si="17"/>
        <v>1.5967741935483872</v>
      </c>
      <c r="AL19" s="73" t="s">
        <v>75</v>
      </c>
      <c r="AM19" s="72">
        <f>AI19/N19</f>
        <v>0.6556291390728477</v>
      </c>
      <c r="AN19" s="72">
        <f t="shared" si="21"/>
        <v>0.1134020618556701</v>
      </c>
      <c r="AO19" s="72">
        <f t="shared" si="18"/>
        <v>0.39600000000000002</v>
      </c>
      <c r="AP19" s="72">
        <v>0.25</v>
      </c>
      <c r="AQ19" s="72">
        <v>0.105</v>
      </c>
      <c r="AR19" s="72">
        <f t="shared" si="10"/>
        <v>0.10133765707336846</v>
      </c>
      <c r="AS19" s="72">
        <f t="shared" si="0"/>
        <v>2.3809523809523809</v>
      </c>
      <c r="AT19" s="72">
        <f t="shared" si="11"/>
        <v>0.28636884306987398</v>
      </c>
      <c r="AU19" s="72">
        <v>0.17899999999999999</v>
      </c>
      <c r="AV19" s="72">
        <v>0.16800000000000001</v>
      </c>
      <c r="AW19" s="72">
        <f t="shared" si="23"/>
        <v>1.0654761904761905</v>
      </c>
      <c r="AX19" s="82">
        <f t="shared" si="24"/>
        <v>1.3966480446927374</v>
      </c>
      <c r="AY19" s="134" t="s">
        <v>75</v>
      </c>
      <c r="AZ19" s="136">
        <v>14</v>
      </c>
      <c r="BA19" s="134" t="s">
        <v>75</v>
      </c>
      <c r="BB19" s="134" t="s">
        <v>75</v>
      </c>
      <c r="BC19" s="247" t="s">
        <v>75</v>
      </c>
    </row>
    <row r="20" spans="2:55" ht="12.75" customHeight="1" x14ac:dyDescent="0.25">
      <c r="B20" s="86">
        <v>21685</v>
      </c>
      <c r="C20" s="276" t="s">
        <v>311</v>
      </c>
      <c r="D20" s="275" t="s">
        <v>161</v>
      </c>
      <c r="E20" s="275" t="s">
        <v>218</v>
      </c>
      <c r="F20" s="78">
        <f>1.248+1.49</f>
        <v>2.738</v>
      </c>
      <c r="G20" s="114" t="s">
        <v>75</v>
      </c>
      <c r="H20" s="114" t="s">
        <v>75</v>
      </c>
      <c r="I20" s="78">
        <v>0.111</v>
      </c>
      <c r="J20" s="78">
        <v>6.0999999999999999E-2</v>
      </c>
      <c r="K20" s="78">
        <v>0.95199999999999996</v>
      </c>
      <c r="L20" s="78">
        <v>0.63</v>
      </c>
      <c r="M20" s="78">
        <v>0.59199999999999997</v>
      </c>
      <c r="N20" s="78">
        <v>0.14599999999999999</v>
      </c>
      <c r="O20" s="79" t="s">
        <v>75</v>
      </c>
      <c r="P20" s="79" t="s">
        <v>75</v>
      </c>
      <c r="Q20" s="114" t="s">
        <v>75</v>
      </c>
      <c r="R20" s="80">
        <f t="shared" si="3"/>
        <v>0.62184873949579833</v>
      </c>
      <c r="S20" s="80">
        <f t="shared" si="4"/>
        <v>0.66176470588235292</v>
      </c>
      <c r="T20" s="114" t="s">
        <v>75</v>
      </c>
      <c r="U20" s="78">
        <v>0.32</v>
      </c>
      <c r="V20" s="79" t="s">
        <v>75</v>
      </c>
      <c r="W20" s="78">
        <v>0.75</v>
      </c>
      <c r="X20" s="78">
        <v>0.18</v>
      </c>
      <c r="Y20" s="78">
        <f t="shared" si="25"/>
        <v>4.166666666666667</v>
      </c>
      <c r="Z20" s="78">
        <v>0.52200000000000002</v>
      </c>
      <c r="AA20" s="78">
        <v>0.72599999999999998</v>
      </c>
      <c r="AB20" s="78">
        <f t="shared" si="7"/>
        <v>0.2651570489408327</v>
      </c>
      <c r="AC20" s="78">
        <v>1.35</v>
      </c>
      <c r="AD20" s="78">
        <f t="shared" si="8"/>
        <v>0.49306062819576335</v>
      </c>
      <c r="AE20" s="79" t="s">
        <v>75</v>
      </c>
      <c r="AF20" s="79" t="s">
        <v>75</v>
      </c>
      <c r="AG20" s="79" t="s">
        <v>75</v>
      </c>
      <c r="AH20" s="79" t="s">
        <v>75</v>
      </c>
      <c r="AI20" s="78">
        <v>9.2999999999999999E-2</v>
      </c>
      <c r="AJ20" s="78">
        <v>7.0999999999999994E-2</v>
      </c>
      <c r="AK20" s="78">
        <f t="shared" si="17"/>
        <v>1.3098591549295775</v>
      </c>
      <c r="AL20" s="79" t="s">
        <v>75</v>
      </c>
      <c r="AM20" s="78">
        <f>AI20/N20</f>
        <v>0.63698630136986301</v>
      </c>
      <c r="AN20" s="78">
        <f t="shared" si="21"/>
        <v>9.7689075630252101E-2</v>
      </c>
      <c r="AO20" s="78">
        <f t="shared" si="18"/>
        <v>0.33214285714285713</v>
      </c>
      <c r="AP20" s="78">
        <v>0.28000000000000003</v>
      </c>
      <c r="AQ20" s="78">
        <v>0.13800000000000001</v>
      </c>
      <c r="AR20" s="78">
        <f t="shared" si="10"/>
        <v>0.10226442658875093</v>
      </c>
      <c r="AS20" s="78">
        <f t="shared" si="0"/>
        <v>2.0289855072463769</v>
      </c>
      <c r="AT20" s="78">
        <f t="shared" si="11"/>
        <v>0.29411764705882359</v>
      </c>
      <c r="AU20" s="78">
        <v>0.17399999999999999</v>
      </c>
      <c r="AV20" s="79" t="s">
        <v>75</v>
      </c>
      <c r="AW20" s="79" t="s">
        <v>75</v>
      </c>
      <c r="AX20" s="80">
        <f t="shared" si="15"/>
        <v>1.6091954022988508</v>
      </c>
      <c r="AY20" s="137">
        <v>4</v>
      </c>
      <c r="AZ20" s="137">
        <v>13</v>
      </c>
      <c r="BA20" s="135" t="s">
        <v>75</v>
      </c>
      <c r="BB20" s="137">
        <v>3</v>
      </c>
      <c r="BC20" s="145">
        <v>6</v>
      </c>
    </row>
    <row r="21" spans="2:55" ht="12.75" customHeight="1" x14ac:dyDescent="0.25">
      <c r="B21" s="75"/>
      <c r="C21" s="275"/>
      <c r="D21" s="275"/>
      <c r="E21" s="275"/>
      <c r="F21" s="78">
        <f>1.248+1.49</f>
        <v>2.738</v>
      </c>
      <c r="G21" s="114" t="s">
        <v>75</v>
      </c>
      <c r="H21" s="114" t="s">
        <v>75</v>
      </c>
      <c r="I21" s="78">
        <v>0.111</v>
      </c>
      <c r="J21" s="78">
        <v>5.6000000000000001E-2</v>
      </c>
      <c r="K21" s="78">
        <v>0.98699999999999999</v>
      </c>
      <c r="L21" s="78">
        <v>0.63600000000000001</v>
      </c>
      <c r="M21" s="78">
        <v>0.55900000000000005</v>
      </c>
      <c r="N21" s="79" t="s">
        <v>75</v>
      </c>
      <c r="O21" s="79" t="s">
        <v>75</v>
      </c>
      <c r="P21" s="79" t="s">
        <v>75</v>
      </c>
      <c r="Q21" s="114" t="s">
        <v>75</v>
      </c>
      <c r="R21" s="80">
        <f t="shared" si="3"/>
        <v>0.5663627152988856</v>
      </c>
      <c r="S21" s="80">
        <f t="shared" si="4"/>
        <v>0.64437689969604861</v>
      </c>
      <c r="T21" s="114" t="s">
        <v>75</v>
      </c>
      <c r="U21" s="78">
        <v>0.32</v>
      </c>
      <c r="V21" s="79" t="s">
        <v>75</v>
      </c>
      <c r="W21" s="78">
        <v>0.77</v>
      </c>
      <c r="X21" s="78">
        <v>0.16300000000000001</v>
      </c>
      <c r="Y21" s="78">
        <f t="shared" si="25"/>
        <v>4.7239263803680984</v>
      </c>
      <c r="Z21" s="79" t="s">
        <v>75</v>
      </c>
      <c r="AA21" s="78">
        <v>0.72699999999999998</v>
      </c>
      <c r="AB21" s="78">
        <f t="shared" si="7"/>
        <v>0.26552227903579256</v>
      </c>
      <c r="AC21" s="78">
        <v>1.37</v>
      </c>
      <c r="AD21" s="78">
        <f t="shared" si="8"/>
        <v>0.50036523009495981</v>
      </c>
      <c r="AE21" s="79" t="s">
        <v>75</v>
      </c>
      <c r="AF21" s="79" t="s">
        <v>75</v>
      </c>
      <c r="AG21" s="79" t="s">
        <v>75</v>
      </c>
      <c r="AH21" s="79" t="s">
        <v>75</v>
      </c>
      <c r="AI21" s="78">
        <v>9.2999999999999999E-2</v>
      </c>
      <c r="AJ21" s="78">
        <v>7.0999999999999994E-2</v>
      </c>
      <c r="AK21" s="78">
        <f t="shared" si="17"/>
        <v>1.3098591549295775</v>
      </c>
      <c r="AL21" s="79" t="s">
        <v>75</v>
      </c>
      <c r="AM21" s="79" t="s">
        <v>75</v>
      </c>
      <c r="AN21" s="78">
        <f t="shared" si="21"/>
        <v>9.4224924012158054E-2</v>
      </c>
      <c r="AO21" s="78">
        <f t="shared" si="18"/>
        <v>0.3345323741007194</v>
      </c>
      <c r="AP21" s="78">
        <v>0.27800000000000002</v>
      </c>
      <c r="AQ21" s="78">
        <v>0.14599999999999999</v>
      </c>
      <c r="AR21" s="78">
        <f t="shared" si="10"/>
        <v>0.10153396639883128</v>
      </c>
      <c r="AS21" s="78">
        <f t="shared" si="0"/>
        <v>1.9041095890410962</v>
      </c>
      <c r="AT21" s="78">
        <f t="shared" si="11"/>
        <v>0.28166160081053698</v>
      </c>
      <c r="AU21" s="78">
        <v>0.17399999999999999</v>
      </c>
      <c r="AV21" s="79" t="s">
        <v>75</v>
      </c>
      <c r="AW21" s="79" t="s">
        <v>75</v>
      </c>
      <c r="AX21" s="80">
        <f t="shared" ref="AX21:AX23" si="26">AP21/AU21</f>
        <v>1.5977011494252875</v>
      </c>
      <c r="AY21" s="135" t="s">
        <v>75</v>
      </c>
      <c r="AZ21" s="137">
        <v>14</v>
      </c>
      <c r="BA21" s="135" t="s">
        <v>75</v>
      </c>
      <c r="BB21" s="135" t="s">
        <v>75</v>
      </c>
      <c r="BC21" s="242" t="s">
        <v>75</v>
      </c>
    </row>
    <row r="22" spans="2:55" ht="12.75" customHeight="1" x14ac:dyDescent="0.25">
      <c r="B22" s="83">
        <v>21685</v>
      </c>
      <c r="C22" s="280" t="s">
        <v>311</v>
      </c>
      <c r="D22" s="279" t="s">
        <v>161</v>
      </c>
      <c r="E22" s="279" t="s">
        <v>218</v>
      </c>
      <c r="F22" s="72">
        <f>1.113+1.413</f>
        <v>2.5259999999999998</v>
      </c>
      <c r="G22" s="110" t="s">
        <v>75</v>
      </c>
      <c r="H22" s="110" t="s">
        <v>75</v>
      </c>
      <c r="I22" s="72">
        <v>0.10100000000000001</v>
      </c>
      <c r="J22" s="72">
        <v>6.3E-2</v>
      </c>
      <c r="K22" s="72">
        <v>0.79400000000000004</v>
      </c>
      <c r="L22" s="72">
        <v>0.52600000000000002</v>
      </c>
      <c r="M22" s="72">
        <v>0.499</v>
      </c>
      <c r="N22" s="73" t="s">
        <v>75</v>
      </c>
      <c r="O22" s="73" t="s">
        <v>75</v>
      </c>
      <c r="P22" s="73" t="s">
        <v>75</v>
      </c>
      <c r="Q22" s="110" t="s">
        <v>75</v>
      </c>
      <c r="R22" s="82">
        <f t="shared" si="3"/>
        <v>0.62846347607052888</v>
      </c>
      <c r="S22" s="82">
        <f t="shared" si="4"/>
        <v>0.66246851385390426</v>
      </c>
      <c r="T22" s="110" t="s">
        <v>75</v>
      </c>
      <c r="U22" s="72">
        <v>0.33</v>
      </c>
      <c r="V22" s="73" t="s">
        <v>75</v>
      </c>
      <c r="W22" s="72">
        <v>0.71099999999999997</v>
      </c>
      <c r="X22" s="72">
        <v>0.156</v>
      </c>
      <c r="Y22" s="72">
        <f t="shared" si="25"/>
        <v>4.5576923076923075</v>
      </c>
      <c r="Z22" s="72">
        <v>0.46</v>
      </c>
      <c r="AA22" s="72">
        <v>0.624</v>
      </c>
      <c r="AB22" s="72">
        <f t="shared" si="7"/>
        <v>0.2470308788598575</v>
      </c>
      <c r="AC22" s="72">
        <v>1.1499999999999999</v>
      </c>
      <c r="AD22" s="72">
        <f t="shared" si="8"/>
        <v>0.45526524148851938</v>
      </c>
      <c r="AE22" s="73" t="s">
        <v>75</v>
      </c>
      <c r="AF22" s="73" t="s">
        <v>75</v>
      </c>
      <c r="AG22" s="73" t="s">
        <v>75</v>
      </c>
      <c r="AH22" s="73" t="s">
        <v>75</v>
      </c>
      <c r="AI22" s="72">
        <v>0.1</v>
      </c>
      <c r="AJ22" s="72">
        <v>6.0999999999999999E-2</v>
      </c>
      <c r="AK22" s="72">
        <f t="shared" si="17"/>
        <v>1.639344262295082</v>
      </c>
      <c r="AL22" s="73" t="s">
        <v>75</v>
      </c>
      <c r="AM22" s="73" t="s">
        <v>75</v>
      </c>
      <c r="AN22" s="72">
        <f t="shared" si="21"/>
        <v>0.12594458438287154</v>
      </c>
      <c r="AO22" s="72">
        <f t="shared" si="18"/>
        <v>0.37593984962406013</v>
      </c>
      <c r="AP22" s="72">
        <v>0.26600000000000001</v>
      </c>
      <c r="AQ22" s="72">
        <v>0.125</v>
      </c>
      <c r="AR22" s="72">
        <f t="shared" si="10"/>
        <v>0.10530482977038798</v>
      </c>
      <c r="AS22" s="72">
        <f t="shared" si="0"/>
        <v>2.1280000000000001</v>
      </c>
      <c r="AT22" s="72">
        <f t="shared" si="11"/>
        <v>0.33501259445843828</v>
      </c>
      <c r="AU22" s="72">
        <v>0.18</v>
      </c>
      <c r="AV22" s="72">
        <v>0.16500000000000001</v>
      </c>
      <c r="AW22" s="72">
        <f t="shared" si="23"/>
        <v>1.0909090909090908</v>
      </c>
      <c r="AX22" s="82">
        <f t="shared" si="26"/>
        <v>1.4777777777777779</v>
      </c>
      <c r="AY22" s="136">
        <v>4</v>
      </c>
      <c r="AZ22" s="136">
        <v>12</v>
      </c>
      <c r="BA22" s="136">
        <v>5</v>
      </c>
      <c r="BB22" s="136">
        <v>8</v>
      </c>
      <c r="BC22" s="143">
        <v>7</v>
      </c>
    </row>
    <row r="23" spans="2:55" ht="12.75" customHeight="1" x14ac:dyDescent="0.25">
      <c r="B23" s="69"/>
      <c r="C23" s="279"/>
      <c r="D23" s="279"/>
      <c r="E23" s="279"/>
      <c r="F23" s="72">
        <f>1.113+1.413</f>
        <v>2.5259999999999998</v>
      </c>
      <c r="G23" s="82">
        <f>I23+J23+K23+L23+M23+N23+O23</f>
        <v>3.0150000000000001</v>
      </c>
      <c r="H23" s="82">
        <f>G23/F23</f>
        <v>1.1935866983372923</v>
      </c>
      <c r="I23" s="72">
        <v>0.10100000000000001</v>
      </c>
      <c r="J23" s="72">
        <v>6.6000000000000003E-2</v>
      </c>
      <c r="K23" s="72">
        <v>0.79100000000000004</v>
      </c>
      <c r="L23" s="72">
        <v>0.53</v>
      </c>
      <c r="M23" s="72">
        <v>0.52900000000000003</v>
      </c>
      <c r="N23" s="72">
        <v>0.152</v>
      </c>
      <c r="O23" s="72">
        <v>0.84599999999999997</v>
      </c>
      <c r="P23" s="72">
        <f>N:N+O:O</f>
        <v>0.998</v>
      </c>
      <c r="Q23" s="82">
        <f t="shared" si="2"/>
        <v>1.2616940581542351</v>
      </c>
      <c r="R23" s="82">
        <f t="shared" si="3"/>
        <v>0.66877370417193427</v>
      </c>
      <c r="S23" s="82">
        <f t="shared" si="4"/>
        <v>0.67003792667509487</v>
      </c>
      <c r="T23" s="82">
        <f t="shared" si="5"/>
        <v>5.5657894736842106</v>
      </c>
      <c r="U23" s="72">
        <v>0.33</v>
      </c>
      <c r="V23" s="72">
        <f t="shared" si="14"/>
        <v>9.1363636363636367</v>
      </c>
      <c r="W23" s="72">
        <v>0.76100000000000001</v>
      </c>
      <c r="X23" s="72">
        <v>0.17399999999999999</v>
      </c>
      <c r="Y23" s="72">
        <f t="shared" si="25"/>
        <v>4.3735632183908049</v>
      </c>
      <c r="Z23" s="73" t="s">
        <v>75</v>
      </c>
      <c r="AA23" s="72">
        <v>0.60599999999999998</v>
      </c>
      <c r="AB23" s="72">
        <f t="shared" si="7"/>
        <v>0.23990498812351546</v>
      </c>
      <c r="AC23" s="72">
        <v>1.22</v>
      </c>
      <c r="AD23" s="72">
        <f t="shared" si="8"/>
        <v>0.48297703879651627</v>
      </c>
      <c r="AE23" s="73" t="s">
        <v>75</v>
      </c>
      <c r="AF23" s="73" t="s">
        <v>75</v>
      </c>
      <c r="AG23" s="73" t="s">
        <v>75</v>
      </c>
      <c r="AH23" s="73" t="s">
        <v>75</v>
      </c>
      <c r="AI23" s="72">
        <v>0.1</v>
      </c>
      <c r="AJ23" s="72">
        <v>6.0999999999999999E-2</v>
      </c>
      <c r="AK23" s="72">
        <f t="shared" si="17"/>
        <v>1.639344262295082</v>
      </c>
      <c r="AL23" s="73" t="s">
        <v>75</v>
      </c>
      <c r="AM23" s="72">
        <f>AI23/N23</f>
        <v>0.65789473684210531</v>
      </c>
      <c r="AN23" s="72">
        <f t="shared" si="21"/>
        <v>0.12642225031605564</v>
      </c>
      <c r="AO23" s="72">
        <f t="shared" si="18"/>
        <v>0.37593984962406013</v>
      </c>
      <c r="AP23" s="72">
        <v>0.26600000000000001</v>
      </c>
      <c r="AQ23" s="72">
        <v>0.13800000000000001</v>
      </c>
      <c r="AR23" s="72">
        <f t="shared" si="10"/>
        <v>0.10530482977038798</v>
      </c>
      <c r="AS23" s="72">
        <f t="shared" si="0"/>
        <v>1.9275362318840579</v>
      </c>
      <c r="AT23" s="72">
        <f t="shared" si="11"/>
        <v>0.33628318584070799</v>
      </c>
      <c r="AU23" s="72">
        <v>0.18</v>
      </c>
      <c r="AV23" s="72">
        <v>0.16500000000000001</v>
      </c>
      <c r="AW23" s="72">
        <f t="shared" si="23"/>
        <v>1.0909090909090908</v>
      </c>
      <c r="AX23" s="82">
        <f t="shared" si="26"/>
        <v>1.4777777777777779</v>
      </c>
      <c r="AY23" s="134" t="s">
        <v>75</v>
      </c>
      <c r="AZ23" s="136">
        <v>11</v>
      </c>
      <c r="BA23" s="134" t="s">
        <v>75</v>
      </c>
      <c r="BB23" s="134" t="s">
        <v>75</v>
      </c>
      <c r="BC23" s="247" t="s">
        <v>75</v>
      </c>
    </row>
    <row r="24" spans="2:55" ht="12.75" customHeight="1" x14ac:dyDescent="0.25">
      <c r="B24" s="86">
        <v>21685</v>
      </c>
      <c r="C24" s="276" t="s">
        <v>311</v>
      </c>
      <c r="D24" s="275" t="s">
        <v>161</v>
      </c>
      <c r="E24" s="275" t="s">
        <v>218</v>
      </c>
      <c r="F24" s="78">
        <f>1.269+1.311</f>
        <v>2.58</v>
      </c>
      <c r="G24" s="80">
        <f>I24+J24+K24+L24+M24+N24+O24</f>
        <v>2.9299999999999997</v>
      </c>
      <c r="H24" s="80">
        <f>G24/F24</f>
        <v>1.135658914728682</v>
      </c>
      <c r="I24" s="78">
        <v>9.8000000000000004E-2</v>
      </c>
      <c r="J24" s="78">
        <v>6.6000000000000003E-2</v>
      </c>
      <c r="K24" s="78">
        <v>0.873</v>
      </c>
      <c r="L24" s="78">
        <v>0.57499999999999996</v>
      </c>
      <c r="M24" s="78">
        <v>0.55900000000000005</v>
      </c>
      <c r="N24" s="78">
        <v>0.14399999999999999</v>
      </c>
      <c r="O24" s="78">
        <v>0.61499999999999999</v>
      </c>
      <c r="P24" s="78">
        <f>N:N+O:O</f>
        <v>0.75900000000000001</v>
      </c>
      <c r="Q24" s="80">
        <f t="shared" si="2"/>
        <v>0.86941580756013748</v>
      </c>
      <c r="R24" s="80">
        <f t="shared" si="3"/>
        <v>0.64032073310423832</v>
      </c>
      <c r="S24" s="80">
        <f t="shared" si="4"/>
        <v>0.65864833906071019</v>
      </c>
      <c r="T24" s="80">
        <f t="shared" si="5"/>
        <v>4.2708333333333339</v>
      </c>
      <c r="U24" s="78">
        <v>0.28899999999999998</v>
      </c>
      <c r="V24" s="78">
        <f t="shared" si="14"/>
        <v>10.13840830449827</v>
      </c>
      <c r="W24" s="78">
        <v>0.70099999999999996</v>
      </c>
      <c r="X24" s="78">
        <v>0.17799999999999999</v>
      </c>
      <c r="Y24" s="78">
        <f t="shared" si="25"/>
        <v>3.9382022471910112</v>
      </c>
      <c r="Z24" s="78">
        <v>0.47199999999999998</v>
      </c>
      <c r="AA24" s="78">
        <v>0.65400000000000003</v>
      </c>
      <c r="AB24" s="78">
        <f t="shared" si="7"/>
        <v>0.25348837209302327</v>
      </c>
      <c r="AC24" s="78">
        <v>1.1200000000000001</v>
      </c>
      <c r="AD24" s="78">
        <f t="shared" si="8"/>
        <v>0.434108527131783</v>
      </c>
      <c r="AE24" s="79" t="s">
        <v>75</v>
      </c>
      <c r="AF24" s="79" t="s">
        <v>75</v>
      </c>
      <c r="AG24" s="79" t="s">
        <v>75</v>
      </c>
      <c r="AH24" s="79" t="s">
        <v>75</v>
      </c>
      <c r="AI24" s="78">
        <v>0.1</v>
      </c>
      <c r="AJ24" s="78">
        <v>6.7000000000000004E-2</v>
      </c>
      <c r="AK24" s="78">
        <f t="shared" si="17"/>
        <v>1.4925373134328359</v>
      </c>
      <c r="AL24" s="79" t="s">
        <v>75</v>
      </c>
      <c r="AM24" s="78">
        <f>AI24/N24</f>
        <v>0.69444444444444453</v>
      </c>
      <c r="AN24" s="78">
        <f t="shared" si="21"/>
        <v>0.11454753722794961</v>
      </c>
      <c r="AO24" s="78">
        <f t="shared" si="18"/>
        <v>0.35971223021582732</v>
      </c>
      <c r="AP24" s="78">
        <v>0.27800000000000002</v>
      </c>
      <c r="AQ24" s="78">
        <v>0.121</v>
      </c>
      <c r="AR24" s="78">
        <f t="shared" si="10"/>
        <v>0.10775193798449613</v>
      </c>
      <c r="AS24" s="78">
        <f t="shared" si="0"/>
        <v>2.2975206611570251</v>
      </c>
      <c r="AT24" s="78">
        <f t="shared" si="11"/>
        <v>0.31844215349369992</v>
      </c>
      <c r="AU24" s="79" t="s">
        <v>75</v>
      </c>
      <c r="AV24" s="79" t="s">
        <v>75</v>
      </c>
      <c r="AW24" s="79" t="s">
        <v>75</v>
      </c>
      <c r="AX24" s="114" t="s">
        <v>75</v>
      </c>
      <c r="AY24" s="137">
        <v>5</v>
      </c>
      <c r="AZ24" s="137">
        <v>12</v>
      </c>
      <c r="BA24" s="135" t="s">
        <v>75</v>
      </c>
      <c r="BB24" s="137">
        <v>9</v>
      </c>
      <c r="BC24" s="145">
        <v>9</v>
      </c>
    </row>
    <row r="25" spans="2:55" ht="12.75" customHeight="1" x14ac:dyDescent="0.25">
      <c r="B25" s="75"/>
      <c r="C25" s="275"/>
      <c r="D25" s="275"/>
      <c r="E25" s="275"/>
      <c r="F25" s="78">
        <f>1.269+1.311</f>
        <v>2.58</v>
      </c>
      <c r="G25" s="80">
        <f>I25+J25+K25+L25+M25+N25+O25</f>
        <v>2.996</v>
      </c>
      <c r="H25" s="80">
        <f>G25/F25</f>
        <v>1.1612403100775193</v>
      </c>
      <c r="I25" s="78">
        <v>0.105</v>
      </c>
      <c r="J25" s="78">
        <v>6.3E-2</v>
      </c>
      <c r="K25" s="78">
        <v>0.86899999999999999</v>
      </c>
      <c r="L25" s="78">
        <v>0.59799999999999998</v>
      </c>
      <c r="M25" s="78">
        <v>0.504</v>
      </c>
      <c r="N25" s="78">
        <v>0.13600000000000001</v>
      </c>
      <c r="O25" s="78">
        <v>0.72099999999999997</v>
      </c>
      <c r="P25" s="78">
        <f>N:N+O:O</f>
        <v>0.85699999999999998</v>
      </c>
      <c r="Q25" s="80">
        <f t="shared" si="2"/>
        <v>0.9861910241657077</v>
      </c>
      <c r="R25" s="80">
        <f t="shared" si="3"/>
        <v>0.57997698504027617</v>
      </c>
      <c r="S25" s="80">
        <f t="shared" si="4"/>
        <v>0.68814729574223243</v>
      </c>
      <c r="T25" s="80">
        <f t="shared" si="5"/>
        <v>5.3014705882352935</v>
      </c>
      <c r="U25" s="78">
        <v>0.28899999999999998</v>
      </c>
      <c r="V25" s="78">
        <f t="shared" si="14"/>
        <v>10.366782006920417</v>
      </c>
      <c r="W25" s="78">
        <v>0.69599999999999995</v>
      </c>
      <c r="X25" s="78">
        <v>0.17499999999999999</v>
      </c>
      <c r="Y25" s="78">
        <f t="shared" si="25"/>
        <v>3.9771428571428573</v>
      </c>
      <c r="Z25" s="79" t="s">
        <v>75</v>
      </c>
      <c r="AA25" s="78">
        <v>0.66</v>
      </c>
      <c r="AB25" s="78">
        <f t="shared" si="7"/>
        <v>0.2558139534883721</v>
      </c>
      <c r="AC25" s="78">
        <v>1.1499999999999999</v>
      </c>
      <c r="AD25" s="78">
        <f t="shared" si="8"/>
        <v>0.44573643410852709</v>
      </c>
      <c r="AE25" s="79" t="s">
        <v>75</v>
      </c>
      <c r="AF25" s="79" t="s">
        <v>75</v>
      </c>
      <c r="AG25" s="79" t="s">
        <v>75</v>
      </c>
      <c r="AH25" s="79" t="s">
        <v>75</v>
      </c>
      <c r="AI25" s="78">
        <v>0.1</v>
      </c>
      <c r="AJ25" s="78">
        <v>6.7000000000000004E-2</v>
      </c>
      <c r="AK25" s="78">
        <f t="shared" si="17"/>
        <v>1.4925373134328359</v>
      </c>
      <c r="AL25" s="79" t="s">
        <v>75</v>
      </c>
      <c r="AM25" s="78">
        <f>AI25/N25</f>
        <v>0.73529411764705876</v>
      </c>
      <c r="AN25" s="78">
        <f t="shared" si="21"/>
        <v>0.11507479861910243</v>
      </c>
      <c r="AO25" s="78">
        <f t="shared" si="18"/>
        <v>0.37037037037037035</v>
      </c>
      <c r="AP25" s="78">
        <v>0.27</v>
      </c>
      <c r="AQ25" s="78">
        <v>0.126</v>
      </c>
      <c r="AR25" s="78">
        <f t="shared" si="10"/>
        <v>0.10465116279069768</v>
      </c>
      <c r="AS25" s="78">
        <f t="shared" si="0"/>
        <v>2.1428571428571428</v>
      </c>
      <c r="AT25" s="78">
        <f t="shared" si="11"/>
        <v>0.31070195627157654</v>
      </c>
      <c r="AU25" s="79" t="s">
        <v>75</v>
      </c>
      <c r="AV25" s="79" t="s">
        <v>75</v>
      </c>
      <c r="AW25" s="79" t="s">
        <v>75</v>
      </c>
      <c r="AX25" s="114" t="s">
        <v>75</v>
      </c>
      <c r="AY25" s="135" t="s">
        <v>75</v>
      </c>
      <c r="AZ25" s="137">
        <v>14</v>
      </c>
      <c r="BA25" s="135" t="s">
        <v>75</v>
      </c>
      <c r="BB25" s="135" t="s">
        <v>75</v>
      </c>
      <c r="BC25" s="242" t="s">
        <v>75</v>
      </c>
    </row>
    <row r="26" spans="2:55" ht="12.75" customHeight="1" x14ac:dyDescent="0.25">
      <c r="B26" s="83">
        <v>21685</v>
      </c>
      <c r="C26" s="280" t="s">
        <v>311</v>
      </c>
      <c r="D26" s="279" t="s">
        <v>161</v>
      </c>
      <c r="E26" s="279" t="s">
        <v>218</v>
      </c>
      <c r="F26" s="72">
        <f>1.148+1.276</f>
        <v>2.4239999999999999</v>
      </c>
      <c r="G26" s="110" t="s">
        <v>75</v>
      </c>
      <c r="H26" s="110" t="s">
        <v>75</v>
      </c>
      <c r="I26" s="72">
        <v>0.109</v>
      </c>
      <c r="J26" s="72">
        <v>6.5000000000000002E-2</v>
      </c>
      <c r="K26" s="72">
        <v>0.86599999999999999</v>
      </c>
      <c r="L26" s="72">
        <v>0.56599999999999995</v>
      </c>
      <c r="M26" s="72">
        <v>0.443</v>
      </c>
      <c r="N26" s="72">
        <v>0.158</v>
      </c>
      <c r="O26" s="73" t="s">
        <v>75</v>
      </c>
      <c r="P26" s="73" t="s">
        <v>75</v>
      </c>
      <c r="Q26" s="110" t="s">
        <v>75</v>
      </c>
      <c r="R26" s="82">
        <f t="shared" si="3"/>
        <v>0.51154734411085456</v>
      </c>
      <c r="S26" s="82">
        <f t="shared" si="4"/>
        <v>0.6535796766743649</v>
      </c>
      <c r="T26" s="110" t="s">
        <v>75</v>
      </c>
      <c r="U26" s="72">
        <v>0.26700000000000002</v>
      </c>
      <c r="V26" s="73" t="s">
        <v>75</v>
      </c>
      <c r="W26" s="72">
        <v>0.629</v>
      </c>
      <c r="X26" s="72">
        <v>0.16700000000000001</v>
      </c>
      <c r="Y26" s="72">
        <f t="shared" si="25"/>
        <v>3.7664670658682633</v>
      </c>
      <c r="Z26" s="72">
        <v>0.433</v>
      </c>
      <c r="AA26" s="72">
        <v>0.625</v>
      </c>
      <c r="AB26" s="72">
        <f t="shared" si="7"/>
        <v>0.25783828382838286</v>
      </c>
      <c r="AC26" s="72">
        <v>1.22</v>
      </c>
      <c r="AD26" s="72">
        <f t="shared" si="8"/>
        <v>0.50330033003300334</v>
      </c>
      <c r="AE26" s="73" t="s">
        <v>75</v>
      </c>
      <c r="AF26" s="73" t="s">
        <v>75</v>
      </c>
      <c r="AG26" s="73" t="s">
        <v>75</v>
      </c>
      <c r="AH26" s="73" t="s">
        <v>75</v>
      </c>
      <c r="AI26" s="73" t="s">
        <v>75</v>
      </c>
      <c r="AJ26" s="73" t="s">
        <v>75</v>
      </c>
      <c r="AK26" s="73" t="s">
        <v>75</v>
      </c>
      <c r="AL26" s="73" t="s">
        <v>75</v>
      </c>
      <c r="AM26" s="73" t="s">
        <v>75</v>
      </c>
      <c r="AN26" s="73" t="s">
        <v>75</v>
      </c>
      <c r="AO26" s="73" t="s">
        <v>75</v>
      </c>
      <c r="AP26" s="72">
        <v>0.251</v>
      </c>
      <c r="AQ26" s="72">
        <v>0.10199999999999999</v>
      </c>
      <c r="AR26" s="72">
        <f t="shared" si="10"/>
        <v>0.10354785478547855</v>
      </c>
      <c r="AS26" s="72">
        <f t="shared" si="0"/>
        <v>2.4607843137254903</v>
      </c>
      <c r="AT26" s="72">
        <f t="shared" si="11"/>
        <v>0.28983833718244806</v>
      </c>
      <c r="AU26" s="73" t="s">
        <v>75</v>
      </c>
      <c r="AV26" s="73" t="s">
        <v>75</v>
      </c>
      <c r="AW26" s="73" t="s">
        <v>75</v>
      </c>
      <c r="AX26" s="110" t="s">
        <v>75</v>
      </c>
      <c r="AY26" s="136">
        <v>4</v>
      </c>
      <c r="AZ26" s="136">
        <v>13</v>
      </c>
      <c r="BA26" s="134" t="s">
        <v>75</v>
      </c>
      <c r="BB26" s="136">
        <v>7</v>
      </c>
      <c r="BC26" s="143">
        <v>11</v>
      </c>
    </row>
    <row r="27" spans="2:55" ht="12.75" customHeight="1" x14ac:dyDescent="0.25">
      <c r="B27" s="69"/>
      <c r="C27" s="279"/>
      <c r="D27" s="279"/>
      <c r="E27" s="279"/>
      <c r="F27" s="72">
        <f>1.148+1.276</f>
        <v>2.4239999999999999</v>
      </c>
      <c r="G27" s="82">
        <f>I27+J27+K27+L27+M27+N27+O27</f>
        <v>3.1030000000000002</v>
      </c>
      <c r="H27" s="82">
        <f>G27/F27</f>
        <v>1.2801155115511553</v>
      </c>
      <c r="I27" s="72">
        <v>9.5000000000000001E-2</v>
      </c>
      <c r="J27" s="72">
        <v>5.7000000000000002E-2</v>
      </c>
      <c r="K27" s="72">
        <v>0.878</v>
      </c>
      <c r="L27" s="72">
        <v>0.56200000000000006</v>
      </c>
      <c r="M27" s="72">
        <v>0.503</v>
      </c>
      <c r="N27" s="72">
        <v>0.13700000000000001</v>
      </c>
      <c r="O27" s="72">
        <v>0.871</v>
      </c>
      <c r="P27" s="72">
        <f>N:N+O:O</f>
        <v>1.008</v>
      </c>
      <c r="Q27" s="82">
        <f t="shared" si="2"/>
        <v>1.1480637813211845</v>
      </c>
      <c r="R27" s="82">
        <f t="shared" si="3"/>
        <v>0.57289293849658318</v>
      </c>
      <c r="S27" s="82">
        <f t="shared" si="4"/>
        <v>0.64009111617312076</v>
      </c>
      <c r="T27" s="82">
        <f t="shared" si="5"/>
        <v>6.3576642335766422</v>
      </c>
      <c r="U27" s="72">
        <v>0.26700000000000002</v>
      </c>
      <c r="V27" s="72">
        <f t="shared" si="14"/>
        <v>11.621722846441948</v>
      </c>
      <c r="W27" s="72">
        <v>0.65300000000000002</v>
      </c>
      <c r="X27" s="72">
        <v>0.158</v>
      </c>
      <c r="Y27" s="72">
        <f t="shared" si="25"/>
        <v>4.1329113924050631</v>
      </c>
      <c r="Z27" s="73" t="s">
        <v>75</v>
      </c>
      <c r="AA27" s="72">
        <v>0.64</v>
      </c>
      <c r="AB27" s="72">
        <f t="shared" si="7"/>
        <v>0.26402640264026406</v>
      </c>
      <c r="AC27" s="72">
        <v>1.19</v>
      </c>
      <c r="AD27" s="72">
        <f t="shared" si="8"/>
        <v>0.4909240924092409</v>
      </c>
      <c r="AE27" s="73" t="s">
        <v>75</v>
      </c>
      <c r="AF27" s="73" t="s">
        <v>75</v>
      </c>
      <c r="AG27" s="73" t="s">
        <v>75</v>
      </c>
      <c r="AH27" s="73" t="s">
        <v>75</v>
      </c>
      <c r="AI27" s="73" t="s">
        <v>75</v>
      </c>
      <c r="AJ27" s="73" t="s">
        <v>75</v>
      </c>
      <c r="AK27" s="73" t="s">
        <v>75</v>
      </c>
      <c r="AL27" s="73" t="s">
        <v>75</v>
      </c>
      <c r="AM27" s="73" t="s">
        <v>75</v>
      </c>
      <c r="AN27" s="73" t="s">
        <v>75</v>
      </c>
      <c r="AO27" s="73" t="s">
        <v>75</v>
      </c>
      <c r="AP27" s="72">
        <v>0.27100000000000002</v>
      </c>
      <c r="AQ27" s="72">
        <v>0.125</v>
      </c>
      <c r="AR27" s="72">
        <f t="shared" si="10"/>
        <v>0.11179867986798681</v>
      </c>
      <c r="AS27" s="72">
        <f t="shared" si="0"/>
        <v>2.1680000000000001</v>
      </c>
      <c r="AT27" s="72">
        <f t="shared" si="11"/>
        <v>0.30865603644646927</v>
      </c>
      <c r="AU27" s="73" t="s">
        <v>75</v>
      </c>
      <c r="AV27" s="73" t="s">
        <v>75</v>
      </c>
      <c r="AW27" s="73" t="s">
        <v>75</v>
      </c>
      <c r="AX27" s="110" t="s">
        <v>75</v>
      </c>
      <c r="AY27" s="134" t="s">
        <v>75</v>
      </c>
      <c r="AZ27" s="134" t="s">
        <v>75</v>
      </c>
      <c r="BA27" s="134" t="s">
        <v>75</v>
      </c>
      <c r="BB27" s="134" t="s">
        <v>75</v>
      </c>
      <c r="BC27" s="247" t="s">
        <v>75</v>
      </c>
    </row>
    <row r="28" spans="2:55" ht="12.75" customHeight="1" x14ac:dyDescent="0.25">
      <c r="B28" s="86">
        <v>21685</v>
      </c>
      <c r="C28" s="276" t="s">
        <v>311</v>
      </c>
      <c r="D28" s="275" t="s">
        <v>161</v>
      </c>
      <c r="E28" s="275" t="s">
        <v>218</v>
      </c>
      <c r="F28" s="78">
        <f>1.717+0.592</f>
        <v>2.3090000000000002</v>
      </c>
      <c r="G28" s="114" t="s">
        <v>75</v>
      </c>
      <c r="H28" s="114" t="s">
        <v>75</v>
      </c>
      <c r="I28" s="78">
        <v>9.0999999999999998E-2</v>
      </c>
      <c r="J28" s="78">
        <v>5.1999999999999998E-2</v>
      </c>
      <c r="K28" s="78">
        <v>0.91</v>
      </c>
      <c r="L28" s="78">
        <v>0.56999999999999995</v>
      </c>
      <c r="M28" s="78">
        <v>0.53400000000000003</v>
      </c>
      <c r="N28" s="78">
        <v>0.157</v>
      </c>
      <c r="O28" s="79" t="s">
        <v>75</v>
      </c>
      <c r="P28" s="79" t="s">
        <v>75</v>
      </c>
      <c r="Q28" s="114" t="s">
        <v>75</v>
      </c>
      <c r="R28" s="80">
        <f t="shared" si="3"/>
        <v>0.58681318681318684</v>
      </c>
      <c r="S28" s="80">
        <f t="shared" si="4"/>
        <v>0.62637362637362626</v>
      </c>
      <c r="T28" s="114" t="s">
        <v>75</v>
      </c>
      <c r="U28" s="79" t="s">
        <v>75</v>
      </c>
      <c r="V28" s="79" t="s">
        <v>75</v>
      </c>
      <c r="W28" s="79" t="s">
        <v>75</v>
      </c>
      <c r="X28" s="79" t="s">
        <v>75</v>
      </c>
      <c r="Y28" s="79" t="s">
        <v>75</v>
      </c>
      <c r="Z28" s="79" t="s">
        <v>75</v>
      </c>
      <c r="AA28" s="78">
        <v>0.64200000000000002</v>
      </c>
      <c r="AB28" s="78">
        <f t="shared" si="7"/>
        <v>0.27804244261585098</v>
      </c>
      <c r="AC28" s="78">
        <v>1.1499999999999999</v>
      </c>
      <c r="AD28" s="78">
        <f t="shared" si="8"/>
        <v>0.49805110437418787</v>
      </c>
      <c r="AE28" s="79" t="s">
        <v>75</v>
      </c>
      <c r="AF28" s="79" t="s">
        <v>75</v>
      </c>
      <c r="AG28" s="79" t="s">
        <v>75</v>
      </c>
      <c r="AH28" s="79" t="s">
        <v>75</v>
      </c>
      <c r="AI28" s="78">
        <v>9.6000000000000002E-2</v>
      </c>
      <c r="AJ28" s="78">
        <v>5.2999999999999999E-2</v>
      </c>
      <c r="AK28" s="78">
        <f t="shared" si="17"/>
        <v>1.8113207547169812</v>
      </c>
      <c r="AL28" s="79" t="s">
        <v>75</v>
      </c>
      <c r="AM28" s="78">
        <f>AI28/N28</f>
        <v>0.61146496815286622</v>
      </c>
      <c r="AN28" s="78">
        <f t="shared" ref="AN28:AN33" si="27">AI28/K28</f>
        <v>0.10549450549450549</v>
      </c>
      <c r="AO28" s="78">
        <f t="shared" si="18"/>
        <v>0.39344262295081966</v>
      </c>
      <c r="AP28" s="78">
        <v>0.24399999999999999</v>
      </c>
      <c r="AQ28" s="78">
        <v>0.11700000000000001</v>
      </c>
      <c r="AR28" s="78">
        <f t="shared" si="10"/>
        <v>0.10567345171069727</v>
      </c>
      <c r="AS28" s="78">
        <f t="shared" si="0"/>
        <v>2.0854700854700852</v>
      </c>
      <c r="AT28" s="78">
        <f t="shared" si="11"/>
        <v>0.26813186813186812</v>
      </c>
      <c r="AU28" s="78">
        <v>0.14599999999999999</v>
      </c>
      <c r="AV28" s="79" t="s">
        <v>75</v>
      </c>
      <c r="AW28" s="79" t="s">
        <v>75</v>
      </c>
      <c r="AX28" s="80">
        <f t="shared" si="15"/>
        <v>1.6712328767123288</v>
      </c>
      <c r="AY28" s="137">
        <v>5</v>
      </c>
      <c r="AZ28" s="137">
        <v>11</v>
      </c>
      <c r="BA28" s="137">
        <v>9</v>
      </c>
      <c r="BB28" s="137">
        <v>9</v>
      </c>
      <c r="BC28" s="242" t="s">
        <v>75</v>
      </c>
    </row>
    <row r="29" spans="2:55" ht="12.75" customHeight="1" x14ac:dyDescent="0.25">
      <c r="B29" s="75"/>
      <c r="C29" s="275"/>
      <c r="D29" s="275"/>
      <c r="E29" s="275"/>
      <c r="F29" s="78">
        <f>1.717+0.592</f>
        <v>2.3090000000000002</v>
      </c>
      <c r="G29" s="114" t="s">
        <v>75</v>
      </c>
      <c r="H29" s="114" t="s">
        <v>75</v>
      </c>
      <c r="I29" s="78">
        <v>9.9000000000000005E-2</v>
      </c>
      <c r="J29" s="78">
        <v>0.06</v>
      </c>
      <c r="K29" s="78">
        <v>0.88100000000000001</v>
      </c>
      <c r="L29" s="78">
        <v>0.59799999999999998</v>
      </c>
      <c r="M29" s="79" t="s">
        <v>75</v>
      </c>
      <c r="N29" s="79" t="s">
        <v>75</v>
      </c>
      <c r="O29" s="79" t="s">
        <v>75</v>
      </c>
      <c r="P29" s="79" t="s">
        <v>75</v>
      </c>
      <c r="Q29" s="114" t="s">
        <v>75</v>
      </c>
      <c r="R29" s="114" t="s">
        <v>75</v>
      </c>
      <c r="S29" s="80">
        <f t="shared" si="4"/>
        <v>0.67877412031782058</v>
      </c>
      <c r="T29" s="114" t="s">
        <v>75</v>
      </c>
      <c r="U29" s="79" t="s">
        <v>75</v>
      </c>
      <c r="V29" s="79" t="s">
        <v>75</v>
      </c>
      <c r="W29" s="79" t="s">
        <v>75</v>
      </c>
      <c r="X29" s="79" t="s">
        <v>75</v>
      </c>
      <c r="Y29" s="79" t="s">
        <v>75</v>
      </c>
      <c r="Z29" s="79" t="s">
        <v>75</v>
      </c>
      <c r="AA29" s="79" t="s">
        <v>75</v>
      </c>
      <c r="AB29" s="79" t="s">
        <v>75</v>
      </c>
      <c r="AC29" s="79" t="s">
        <v>75</v>
      </c>
      <c r="AD29" s="79" t="s">
        <v>75</v>
      </c>
      <c r="AE29" s="79" t="s">
        <v>75</v>
      </c>
      <c r="AF29" s="79" t="s">
        <v>75</v>
      </c>
      <c r="AG29" s="79" t="s">
        <v>75</v>
      </c>
      <c r="AH29" s="79" t="s">
        <v>75</v>
      </c>
      <c r="AI29" s="78">
        <v>9.6000000000000002E-2</v>
      </c>
      <c r="AJ29" s="78">
        <v>5.2999999999999999E-2</v>
      </c>
      <c r="AK29" s="78">
        <f t="shared" si="17"/>
        <v>1.8113207547169812</v>
      </c>
      <c r="AL29" s="79" t="s">
        <v>75</v>
      </c>
      <c r="AM29" s="79" t="s">
        <v>75</v>
      </c>
      <c r="AN29" s="78">
        <f t="shared" si="27"/>
        <v>0.10896708286038592</v>
      </c>
      <c r="AO29" s="78">
        <f t="shared" si="18"/>
        <v>0.375</v>
      </c>
      <c r="AP29" s="78">
        <v>0.25600000000000001</v>
      </c>
      <c r="AQ29" s="78">
        <v>0.106</v>
      </c>
      <c r="AR29" s="78">
        <f t="shared" si="10"/>
        <v>0.11087050671286271</v>
      </c>
      <c r="AS29" s="78">
        <f t="shared" si="0"/>
        <v>2.4150943396226414</v>
      </c>
      <c r="AT29" s="78">
        <f t="shared" si="11"/>
        <v>0.29057888762769579</v>
      </c>
      <c r="AU29" s="78">
        <v>0.14599999999999999</v>
      </c>
      <c r="AV29" s="79" t="s">
        <v>75</v>
      </c>
      <c r="AW29" s="79" t="s">
        <v>75</v>
      </c>
      <c r="AX29" s="80">
        <f t="shared" ref="AX29" si="28">AP29/AU29</f>
        <v>1.7534246575342467</v>
      </c>
      <c r="AY29" s="135" t="s">
        <v>75</v>
      </c>
      <c r="AZ29" s="137">
        <v>12</v>
      </c>
      <c r="BA29" s="135" t="s">
        <v>75</v>
      </c>
      <c r="BB29" s="135" t="s">
        <v>75</v>
      </c>
      <c r="BC29" s="242" t="s">
        <v>75</v>
      </c>
    </row>
    <row r="30" spans="2:55" ht="12.75" customHeight="1" x14ac:dyDescent="0.25">
      <c r="B30" s="83">
        <v>21685</v>
      </c>
      <c r="C30" s="280" t="s">
        <v>311</v>
      </c>
      <c r="D30" s="279" t="s">
        <v>161</v>
      </c>
      <c r="E30" s="279" t="s">
        <v>218</v>
      </c>
      <c r="F30" s="72">
        <f>1.203+1.371</f>
        <v>2.5739999999999998</v>
      </c>
      <c r="G30" s="110" t="s">
        <v>75</v>
      </c>
      <c r="H30" s="110" t="s">
        <v>75</v>
      </c>
      <c r="I30" s="72">
        <v>9.8000000000000004E-2</v>
      </c>
      <c r="J30" s="72">
        <v>5.8000000000000003E-2</v>
      </c>
      <c r="K30" s="72">
        <v>0.97799999999999998</v>
      </c>
      <c r="L30" s="72">
        <v>0.56000000000000005</v>
      </c>
      <c r="M30" s="72">
        <v>0.56499999999999995</v>
      </c>
      <c r="N30" s="72">
        <v>0.158</v>
      </c>
      <c r="O30" s="73" t="s">
        <v>75</v>
      </c>
      <c r="P30" s="73" t="s">
        <v>75</v>
      </c>
      <c r="Q30" s="110" t="s">
        <v>75</v>
      </c>
      <c r="R30" s="82">
        <f t="shared" si="3"/>
        <v>0.57770961145194266</v>
      </c>
      <c r="S30" s="82">
        <f t="shared" si="4"/>
        <v>0.57259713701431503</v>
      </c>
      <c r="T30" s="110" t="s">
        <v>75</v>
      </c>
      <c r="U30" s="72">
        <v>0.32400000000000001</v>
      </c>
      <c r="V30" s="73" t="s">
        <v>75</v>
      </c>
      <c r="W30" s="72">
        <v>0.71</v>
      </c>
      <c r="X30" s="72">
        <v>0.16900000000000001</v>
      </c>
      <c r="Y30" s="72">
        <f>W:W/X:X</f>
        <v>4.2011834319526624</v>
      </c>
      <c r="Z30" s="73" t="s">
        <v>75</v>
      </c>
      <c r="AA30" s="72">
        <v>0.66400000000000003</v>
      </c>
      <c r="AB30" s="72">
        <f>AA30/F30</f>
        <v>0.25796425796425798</v>
      </c>
      <c r="AC30" s="72">
        <v>1.3</v>
      </c>
      <c r="AD30" s="72">
        <f>AC30/F30</f>
        <v>0.50505050505050508</v>
      </c>
      <c r="AE30" s="73" t="s">
        <v>75</v>
      </c>
      <c r="AF30" s="73" t="s">
        <v>75</v>
      </c>
      <c r="AG30" s="73" t="s">
        <v>75</v>
      </c>
      <c r="AH30" s="73" t="s">
        <v>75</v>
      </c>
      <c r="AI30" s="72">
        <v>9.6000000000000002E-2</v>
      </c>
      <c r="AJ30" s="72">
        <v>0.05</v>
      </c>
      <c r="AK30" s="72">
        <f t="shared" si="17"/>
        <v>1.92</v>
      </c>
      <c r="AL30" s="73" t="s">
        <v>75</v>
      </c>
      <c r="AM30" s="72">
        <f>AI30/N30</f>
        <v>0.60759493670886078</v>
      </c>
      <c r="AN30" s="72">
        <f t="shared" si="27"/>
        <v>9.815950920245399E-2</v>
      </c>
      <c r="AO30" s="72">
        <f t="shared" si="18"/>
        <v>0.37944664031620556</v>
      </c>
      <c r="AP30" s="72">
        <v>0.253</v>
      </c>
      <c r="AQ30" s="72">
        <v>0.11600000000000001</v>
      </c>
      <c r="AR30" s="72">
        <f t="shared" si="10"/>
        <v>9.8290598290598302E-2</v>
      </c>
      <c r="AS30" s="72">
        <f t="shared" si="0"/>
        <v>2.1810344827586206</v>
      </c>
      <c r="AT30" s="72">
        <f t="shared" si="11"/>
        <v>0.25869120654396727</v>
      </c>
      <c r="AU30" s="72">
        <v>0.13900000000000001</v>
      </c>
      <c r="AV30" s="72">
        <v>0.17100000000000001</v>
      </c>
      <c r="AW30" s="72">
        <f t="shared" si="22"/>
        <v>0.8128654970760234</v>
      </c>
      <c r="AX30" s="82">
        <f t="shared" si="15"/>
        <v>1.8201438848920861</v>
      </c>
      <c r="AY30" s="136">
        <v>3</v>
      </c>
      <c r="AZ30" s="136">
        <v>12</v>
      </c>
      <c r="BA30" s="136">
        <v>3</v>
      </c>
      <c r="BB30" s="136">
        <v>5</v>
      </c>
      <c r="BC30" s="143">
        <v>5</v>
      </c>
    </row>
    <row r="31" spans="2:55" ht="12.75" customHeight="1" x14ac:dyDescent="0.25">
      <c r="B31" s="69"/>
      <c r="C31" s="279"/>
      <c r="D31" s="279"/>
      <c r="E31" s="279"/>
      <c r="F31" s="72">
        <f>1.203+1.371</f>
        <v>2.5739999999999998</v>
      </c>
      <c r="G31" s="110" t="s">
        <v>75</v>
      </c>
      <c r="H31" s="110" t="s">
        <v>75</v>
      </c>
      <c r="I31" s="72">
        <v>9.0999999999999998E-2</v>
      </c>
      <c r="J31" s="72">
        <v>6.0999999999999999E-2</v>
      </c>
      <c r="K31" s="72">
        <v>0.98899999999999999</v>
      </c>
      <c r="L31" s="72">
        <v>0.59299999999999997</v>
      </c>
      <c r="M31" s="72">
        <v>0.57499999999999996</v>
      </c>
      <c r="N31" s="72">
        <v>0.14599999999999999</v>
      </c>
      <c r="O31" s="73" t="s">
        <v>75</v>
      </c>
      <c r="P31" s="73" t="s">
        <v>75</v>
      </c>
      <c r="Q31" s="110" t="s">
        <v>75</v>
      </c>
      <c r="R31" s="82">
        <f t="shared" si="3"/>
        <v>0.58139534883720922</v>
      </c>
      <c r="S31" s="82">
        <f t="shared" si="4"/>
        <v>0.59959555106167839</v>
      </c>
      <c r="T31" s="110" t="s">
        <v>75</v>
      </c>
      <c r="U31" s="72">
        <v>0.32400000000000001</v>
      </c>
      <c r="V31" s="73" t="s">
        <v>75</v>
      </c>
      <c r="W31" s="73" t="s">
        <v>75</v>
      </c>
      <c r="X31" s="73" t="s">
        <v>75</v>
      </c>
      <c r="Y31" s="73" t="s">
        <v>75</v>
      </c>
      <c r="Z31" s="73" t="s">
        <v>75</v>
      </c>
      <c r="AA31" s="73" t="s">
        <v>75</v>
      </c>
      <c r="AB31" s="73" t="s">
        <v>75</v>
      </c>
      <c r="AC31" s="73" t="s">
        <v>75</v>
      </c>
      <c r="AD31" s="73" t="s">
        <v>75</v>
      </c>
      <c r="AE31" s="73" t="s">
        <v>75</v>
      </c>
      <c r="AF31" s="73" t="s">
        <v>75</v>
      </c>
      <c r="AG31" s="73" t="s">
        <v>75</v>
      </c>
      <c r="AH31" s="73" t="s">
        <v>75</v>
      </c>
      <c r="AI31" s="72">
        <v>9.6000000000000002E-2</v>
      </c>
      <c r="AJ31" s="72">
        <v>0.05</v>
      </c>
      <c r="AK31" s="72">
        <f t="shared" si="17"/>
        <v>1.92</v>
      </c>
      <c r="AL31" s="73" t="s">
        <v>75</v>
      </c>
      <c r="AM31" s="72">
        <f>AI31/N31</f>
        <v>0.65753424657534254</v>
      </c>
      <c r="AN31" s="72">
        <f t="shared" si="27"/>
        <v>9.7067745197168862E-2</v>
      </c>
      <c r="AO31" s="72">
        <f t="shared" si="18"/>
        <v>0.38554216867469882</v>
      </c>
      <c r="AP31" s="72">
        <v>0.249</v>
      </c>
      <c r="AQ31" s="72">
        <v>0.122</v>
      </c>
      <c r="AR31" s="72">
        <f t="shared" si="10"/>
        <v>9.6736596736596736E-2</v>
      </c>
      <c r="AS31" s="72">
        <f t="shared" si="0"/>
        <v>2.040983606557377</v>
      </c>
      <c r="AT31" s="72">
        <f t="shared" si="11"/>
        <v>0.25176946410515672</v>
      </c>
      <c r="AU31" s="72">
        <v>0.13900000000000001</v>
      </c>
      <c r="AV31" s="72">
        <v>0.17100000000000001</v>
      </c>
      <c r="AW31" s="72">
        <f t="shared" ref="AW31" si="29">AU31/AV31</f>
        <v>0.8128654970760234</v>
      </c>
      <c r="AX31" s="82">
        <f t="shared" ref="AX31" si="30">AP31/AU31</f>
        <v>1.7913669064748199</v>
      </c>
      <c r="AY31" s="134" t="s">
        <v>75</v>
      </c>
      <c r="AZ31" s="136">
        <v>15</v>
      </c>
      <c r="BA31" s="134" t="s">
        <v>75</v>
      </c>
      <c r="BB31" s="134" t="s">
        <v>75</v>
      </c>
      <c r="BC31" s="247" t="s">
        <v>75</v>
      </c>
    </row>
    <row r="32" spans="2:55" ht="12.75" customHeight="1" x14ac:dyDescent="0.25">
      <c r="B32" s="86">
        <v>21685</v>
      </c>
      <c r="C32" s="276" t="s">
        <v>311</v>
      </c>
      <c r="D32" s="275" t="s">
        <v>161</v>
      </c>
      <c r="E32" s="275" t="s">
        <v>218</v>
      </c>
      <c r="F32" s="78">
        <f>1.165+1.302</f>
        <v>2.4670000000000001</v>
      </c>
      <c r="G32" s="114" t="s">
        <v>75</v>
      </c>
      <c r="H32" s="114" t="s">
        <v>75</v>
      </c>
      <c r="I32" s="78">
        <v>9.9000000000000005E-2</v>
      </c>
      <c r="J32" s="78">
        <v>5.7000000000000002E-2</v>
      </c>
      <c r="K32" s="78">
        <v>0.81699999999999995</v>
      </c>
      <c r="L32" s="78">
        <v>0.48399999999999999</v>
      </c>
      <c r="M32" s="78">
        <v>0.46600000000000003</v>
      </c>
      <c r="N32" s="78">
        <v>0.153</v>
      </c>
      <c r="O32" s="79" t="s">
        <v>75</v>
      </c>
      <c r="P32" s="79" t="s">
        <v>75</v>
      </c>
      <c r="Q32" s="114" t="s">
        <v>75</v>
      </c>
      <c r="R32" s="80">
        <f t="shared" si="3"/>
        <v>0.57037943696450433</v>
      </c>
      <c r="S32" s="80">
        <f t="shared" si="4"/>
        <v>0.59241126070991434</v>
      </c>
      <c r="T32" s="114" t="s">
        <v>75</v>
      </c>
      <c r="U32" s="78">
        <v>0.31</v>
      </c>
      <c r="V32" s="79" t="s">
        <v>75</v>
      </c>
      <c r="W32" s="78">
        <v>0.66900000000000004</v>
      </c>
      <c r="X32" s="78">
        <v>0.158</v>
      </c>
      <c r="Y32" s="78">
        <f>W:W/X:X</f>
        <v>4.2341772151898738</v>
      </c>
      <c r="Z32" s="79" t="s">
        <v>75</v>
      </c>
      <c r="AA32" s="78">
        <v>0.63300000000000001</v>
      </c>
      <c r="AB32" s="78">
        <f t="shared" ref="AB32:AB55" si="31">AA32/F32</f>
        <v>0.25658694770976892</v>
      </c>
      <c r="AC32" s="78">
        <v>1.2</v>
      </c>
      <c r="AD32" s="78">
        <f>AC32/F32</f>
        <v>0.48642075395216861</v>
      </c>
      <c r="AE32" s="79" t="s">
        <v>75</v>
      </c>
      <c r="AF32" s="79" t="s">
        <v>75</v>
      </c>
      <c r="AG32" s="79" t="s">
        <v>75</v>
      </c>
      <c r="AH32" s="79" t="s">
        <v>75</v>
      </c>
      <c r="AI32" s="78">
        <v>9.6000000000000002E-2</v>
      </c>
      <c r="AJ32" s="78">
        <v>6.6000000000000003E-2</v>
      </c>
      <c r="AK32" s="78">
        <f t="shared" si="17"/>
        <v>1.4545454545454546</v>
      </c>
      <c r="AL32" s="79" t="s">
        <v>75</v>
      </c>
      <c r="AM32" s="78">
        <f>AI32/N32</f>
        <v>0.62745098039215685</v>
      </c>
      <c r="AN32" s="78">
        <f t="shared" si="27"/>
        <v>0.1175030599755202</v>
      </c>
      <c r="AO32" s="78">
        <f t="shared" si="18"/>
        <v>0.39344262295081966</v>
      </c>
      <c r="AP32" s="78">
        <v>0.24399999999999999</v>
      </c>
      <c r="AQ32" s="78">
        <v>0.11899999999999999</v>
      </c>
      <c r="AR32" s="78">
        <f t="shared" si="10"/>
        <v>9.8905553303607618E-2</v>
      </c>
      <c r="AS32" s="78">
        <f t="shared" si="0"/>
        <v>2.0504201680672272</v>
      </c>
      <c r="AT32" s="78">
        <f t="shared" si="11"/>
        <v>0.29865361077111385</v>
      </c>
      <c r="AU32" s="78">
        <v>0.13200000000000001</v>
      </c>
      <c r="AV32" s="78">
        <v>0.17699999999999999</v>
      </c>
      <c r="AW32" s="78">
        <f t="shared" si="22"/>
        <v>0.7457627118644069</v>
      </c>
      <c r="AX32" s="80">
        <f t="shared" si="15"/>
        <v>1.8484848484848484</v>
      </c>
      <c r="AY32" s="137">
        <v>5</v>
      </c>
      <c r="AZ32" s="137">
        <v>11</v>
      </c>
      <c r="BA32" s="135" t="s">
        <v>75</v>
      </c>
      <c r="BB32" s="137">
        <v>7</v>
      </c>
      <c r="BC32" s="145">
        <v>7</v>
      </c>
    </row>
    <row r="33" spans="2:55" ht="12.75" customHeight="1" x14ac:dyDescent="0.25">
      <c r="B33" s="75"/>
      <c r="C33" s="275"/>
      <c r="D33" s="275"/>
      <c r="E33" s="275"/>
      <c r="F33" s="78">
        <f>1.165+1.302</f>
        <v>2.4670000000000001</v>
      </c>
      <c r="G33" s="114" t="s">
        <v>75</v>
      </c>
      <c r="H33" s="114" t="s">
        <v>75</v>
      </c>
      <c r="I33" s="78">
        <v>0.09</v>
      </c>
      <c r="J33" s="78">
        <v>5.8000000000000003E-2</v>
      </c>
      <c r="K33" s="78">
        <v>0.86099999999999999</v>
      </c>
      <c r="L33" s="79" t="s">
        <v>75</v>
      </c>
      <c r="M33" s="79" t="s">
        <v>75</v>
      </c>
      <c r="N33" s="79" t="s">
        <v>75</v>
      </c>
      <c r="O33" s="79" t="s">
        <v>75</v>
      </c>
      <c r="P33" s="79" t="s">
        <v>75</v>
      </c>
      <c r="Q33" s="114" t="s">
        <v>75</v>
      </c>
      <c r="R33" s="114" t="s">
        <v>75</v>
      </c>
      <c r="S33" s="114" t="s">
        <v>75</v>
      </c>
      <c r="T33" s="114" t="s">
        <v>75</v>
      </c>
      <c r="U33" s="78">
        <v>0.31</v>
      </c>
      <c r="V33" s="79" t="s">
        <v>75</v>
      </c>
      <c r="W33" s="79" t="s">
        <v>75</v>
      </c>
      <c r="X33" s="79" t="s">
        <v>75</v>
      </c>
      <c r="Y33" s="79" t="s">
        <v>75</v>
      </c>
      <c r="Z33" s="79" t="s">
        <v>75</v>
      </c>
      <c r="AA33" s="78">
        <v>0.60499999999999998</v>
      </c>
      <c r="AB33" s="78">
        <f t="shared" si="31"/>
        <v>0.24523713011755166</v>
      </c>
      <c r="AC33" s="79" t="s">
        <v>75</v>
      </c>
      <c r="AD33" s="79" t="s">
        <v>75</v>
      </c>
      <c r="AE33" s="79" t="s">
        <v>75</v>
      </c>
      <c r="AF33" s="79" t="s">
        <v>75</v>
      </c>
      <c r="AG33" s="79" t="s">
        <v>75</v>
      </c>
      <c r="AH33" s="79" t="s">
        <v>75</v>
      </c>
      <c r="AI33" s="78">
        <v>9.6000000000000002E-2</v>
      </c>
      <c r="AJ33" s="78">
        <v>6.6000000000000003E-2</v>
      </c>
      <c r="AK33" s="78">
        <f t="shared" si="17"/>
        <v>1.4545454545454546</v>
      </c>
      <c r="AL33" s="79" t="s">
        <v>75</v>
      </c>
      <c r="AM33" s="79" t="s">
        <v>75</v>
      </c>
      <c r="AN33" s="78">
        <f t="shared" si="27"/>
        <v>0.11149825783972125</v>
      </c>
      <c r="AO33" s="78">
        <f t="shared" si="18"/>
        <v>0.37354085603112841</v>
      </c>
      <c r="AP33" s="78">
        <v>0.25700000000000001</v>
      </c>
      <c r="AQ33" s="78">
        <v>0.11799999999999999</v>
      </c>
      <c r="AR33" s="78">
        <f t="shared" si="10"/>
        <v>0.10417511147142278</v>
      </c>
      <c r="AS33" s="78">
        <f t="shared" si="0"/>
        <v>2.1779661016949152</v>
      </c>
      <c r="AT33" s="78">
        <f t="shared" si="11"/>
        <v>0.29849012775842043</v>
      </c>
      <c r="AU33" s="78">
        <v>0.13200000000000001</v>
      </c>
      <c r="AV33" s="78">
        <v>0.17699999999999999</v>
      </c>
      <c r="AW33" s="78">
        <f t="shared" ref="AW33" si="32">AU33/AV33</f>
        <v>0.7457627118644069</v>
      </c>
      <c r="AX33" s="80">
        <f t="shared" ref="AX33" si="33">AP33/AU33</f>
        <v>1.946969696969697</v>
      </c>
      <c r="AY33" s="135" t="s">
        <v>75</v>
      </c>
      <c r="AZ33" s="137">
        <v>13</v>
      </c>
      <c r="BA33" s="135" t="s">
        <v>75</v>
      </c>
      <c r="BB33" s="135" t="s">
        <v>75</v>
      </c>
      <c r="BC33" s="242" t="s">
        <v>75</v>
      </c>
    </row>
    <row r="34" spans="2:55" ht="12.75" customHeight="1" x14ac:dyDescent="0.25">
      <c r="B34" s="83">
        <v>26813</v>
      </c>
      <c r="C34" s="280" t="s">
        <v>311</v>
      </c>
      <c r="D34" s="279" t="s">
        <v>313</v>
      </c>
      <c r="E34" s="279" t="s">
        <v>219</v>
      </c>
      <c r="F34" s="72">
        <f>1.129+1.079</f>
        <v>2.2080000000000002</v>
      </c>
      <c r="G34" s="82">
        <f>I34+J34+K34+L34+M34+N34+O34</f>
        <v>3.2959999999999998</v>
      </c>
      <c r="H34" s="82">
        <f>G34/F34</f>
        <v>1.4927536231884055</v>
      </c>
      <c r="I34" s="72">
        <v>0.104</v>
      </c>
      <c r="J34" s="72">
        <v>5.5E-2</v>
      </c>
      <c r="K34" s="72">
        <v>0.86299999999999999</v>
      </c>
      <c r="L34" s="72">
        <v>0.59299999999999997</v>
      </c>
      <c r="M34" s="72">
        <v>0.56599999999999995</v>
      </c>
      <c r="N34" s="72">
        <v>0.154</v>
      </c>
      <c r="O34" s="72">
        <v>0.96099999999999997</v>
      </c>
      <c r="P34" s="72">
        <f>N:N+O:O</f>
        <v>1.115</v>
      </c>
      <c r="Q34" s="82">
        <f t="shared" si="2"/>
        <v>1.2920046349942063</v>
      </c>
      <c r="R34" s="82">
        <f t="shared" si="3"/>
        <v>0.65585168018539974</v>
      </c>
      <c r="S34" s="82">
        <f t="shared" si="4"/>
        <v>0.68713789107763612</v>
      </c>
      <c r="T34" s="82">
        <f t="shared" si="5"/>
        <v>6.2402597402597397</v>
      </c>
      <c r="U34" s="72">
        <v>0.33800000000000002</v>
      </c>
      <c r="V34" s="72">
        <f t="shared" si="14"/>
        <v>9.7514792899408267</v>
      </c>
      <c r="W34" s="72">
        <v>0.56299999999999994</v>
      </c>
      <c r="X34" s="72">
        <v>0.126</v>
      </c>
      <c r="Y34" s="72">
        <f>W:W/X:X</f>
        <v>4.4682539682539675</v>
      </c>
      <c r="Z34" s="72">
        <v>0.47499999999999998</v>
      </c>
      <c r="AA34" s="72">
        <v>0.54800000000000004</v>
      </c>
      <c r="AB34" s="72">
        <f t="shared" si="31"/>
        <v>0.24818840579710144</v>
      </c>
      <c r="AC34" s="72">
        <v>1.242</v>
      </c>
      <c r="AD34" s="72">
        <f t="shared" ref="AD34:AD55" si="34">AC34/F34</f>
        <v>0.5625</v>
      </c>
      <c r="AE34" s="72">
        <v>0.111</v>
      </c>
      <c r="AF34" s="72">
        <f t="shared" si="9"/>
        <v>0.12862108922363846</v>
      </c>
      <c r="AG34" s="72">
        <f>AE:AE/P:P</f>
        <v>9.9551569506726459E-2</v>
      </c>
      <c r="AH34" s="72">
        <f>AE34/N34</f>
        <v>0.72077922077922085</v>
      </c>
      <c r="AI34" s="73" t="s">
        <v>75</v>
      </c>
      <c r="AJ34" s="73" t="s">
        <v>75</v>
      </c>
      <c r="AK34" s="73" t="s">
        <v>75</v>
      </c>
      <c r="AL34" s="73" t="s">
        <v>75</v>
      </c>
      <c r="AM34" s="73" t="s">
        <v>75</v>
      </c>
      <c r="AN34" s="73" t="s">
        <v>75</v>
      </c>
      <c r="AO34" s="73" t="s">
        <v>75</v>
      </c>
      <c r="AP34" s="72">
        <v>0.27200000000000002</v>
      </c>
      <c r="AQ34" s="72">
        <v>0.09</v>
      </c>
      <c r="AR34" s="72">
        <f t="shared" si="10"/>
        <v>0.12318840579710144</v>
      </c>
      <c r="AS34" s="72">
        <f t="shared" si="0"/>
        <v>3.0222222222222226</v>
      </c>
      <c r="AT34" s="72">
        <f t="shared" si="11"/>
        <v>0.3151796060254925</v>
      </c>
      <c r="AU34" s="72">
        <v>0.16700000000000001</v>
      </c>
      <c r="AV34" s="73" t="s">
        <v>75</v>
      </c>
      <c r="AW34" s="73" t="s">
        <v>75</v>
      </c>
      <c r="AX34" s="82">
        <f t="shared" si="15"/>
        <v>1.6287425149700598</v>
      </c>
      <c r="AY34" s="136">
        <v>5</v>
      </c>
      <c r="AZ34" s="136">
        <v>14</v>
      </c>
      <c r="BA34" s="134" t="s">
        <v>75</v>
      </c>
      <c r="BB34" s="136">
        <v>6</v>
      </c>
      <c r="BC34" s="143">
        <v>9</v>
      </c>
    </row>
    <row r="35" spans="2:55" ht="12.75" customHeight="1" x14ac:dyDescent="0.25">
      <c r="B35" s="69"/>
      <c r="C35" s="279"/>
      <c r="D35" s="279"/>
      <c r="E35" s="279"/>
      <c r="F35" s="72">
        <f>1.129+1.079</f>
        <v>2.2080000000000002</v>
      </c>
      <c r="G35" s="82">
        <f>I35+J35+K35+L35+M35+N35+O35</f>
        <v>3.1919999999999997</v>
      </c>
      <c r="H35" s="82">
        <f>G35/F35</f>
        <v>1.4456521739130432</v>
      </c>
      <c r="I35" s="72">
        <v>0.10299999999999999</v>
      </c>
      <c r="J35" s="72">
        <v>5.8000000000000003E-2</v>
      </c>
      <c r="K35" s="72">
        <v>0.84199999999999997</v>
      </c>
      <c r="L35" s="72">
        <v>0.57999999999999996</v>
      </c>
      <c r="M35" s="72">
        <v>0.55700000000000005</v>
      </c>
      <c r="N35" s="72">
        <v>0.14899999999999999</v>
      </c>
      <c r="O35" s="72">
        <v>0.90300000000000002</v>
      </c>
      <c r="P35" s="72">
        <f>N:N+O:O</f>
        <v>1.052</v>
      </c>
      <c r="Q35" s="82">
        <f t="shared" si="2"/>
        <v>1.2494061757719717</v>
      </c>
      <c r="R35" s="82">
        <f t="shared" si="3"/>
        <v>0.66152019002375306</v>
      </c>
      <c r="S35" s="82">
        <f t="shared" si="4"/>
        <v>0.6888361045130641</v>
      </c>
      <c r="T35" s="82">
        <f t="shared" si="5"/>
        <v>6.0604026845637584</v>
      </c>
      <c r="U35" s="72">
        <v>0.33800000000000002</v>
      </c>
      <c r="V35" s="72">
        <f t="shared" si="14"/>
        <v>9.4437869822485201</v>
      </c>
      <c r="W35" s="72">
        <v>0.56699999999999995</v>
      </c>
      <c r="X35" s="72">
        <v>0.121</v>
      </c>
      <c r="Y35" s="72">
        <f>W:W/X:X</f>
        <v>4.6859504132231402</v>
      </c>
      <c r="Z35" s="72">
        <v>0.47699999999999998</v>
      </c>
      <c r="AA35" s="72">
        <v>0.51600000000000001</v>
      </c>
      <c r="AB35" s="72">
        <f t="shared" si="31"/>
        <v>0.23369565217391303</v>
      </c>
      <c r="AC35" s="72">
        <v>1.181</v>
      </c>
      <c r="AD35" s="72">
        <f t="shared" si="34"/>
        <v>0.53487318840579712</v>
      </c>
      <c r="AE35" s="72">
        <v>0.109</v>
      </c>
      <c r="AF35" s="72">
        <f t="shared" si="9"/>
        <v>0.12945368171021379</v>
      </c>
      <c r="AG35" s="72">
        <f>AE:AE/P:P</f>
        <v>0.10361216730038023</v>
      </c>
      <c r="AH35" s="72">
        <f>AE35/N35</f>
        <v>0.73154362416107388</v>
      </c>
      <c r="AI35" s="73" t="s">
        <v>75</v>
      </c>
      <c r="AJ35" s="73" t="s">
        <v>75</v>
      </c>
      <c r="AK35" s="73" t="s">
        <v>75</v>
      </c>
      <c r="AL35" s="73" t="s">
        <v>75</v>
      </c>
      <c r="AM35" s="73" t="s">
        <v>75</v>
      </c>
      <c r="AN35" s="73" t="s">
        <v>75</v>
      </c>
      <c r="AO35" s="73" t="s">
        <v>75</v>
      </c>
      <c r="AP35" s="72">
        <v>0.27100000000000002</v>
      </c>
      <c r="AQ35" s="72">
        <v>9.1999999999999998E-2</v>
      </c>
      <c r="AR35" s="72">
        <f t="shared" si="10"/>
        <v>0.12273550724637682</v>
      </c>
      <c r="AS35" s="72">
        <f t="shared" si="0"/>
        <v>2.9456521739130439</v>
      </c>
      <c r="AT35" s="72">
        <f t="shared" si="11"/>
        <v>0.32185273159144895</v>
      </c>
      <c r="AU35" s="72">
        <v>0.16700000000000001</v>
      </c>
      <c r="AV35" s="73" t="s">
        <v>75</v>
      </c>
      <c r="AW35" s="73" t="s">
        <v>75</v>
      </c>
      <c r="AX35" s="82">
        <f t="shared" ref="AX35" si="35">AP35/AU35</f>
        <v>1.6227544910179641</v>
      </c>
      <c r="AY35" s="134" t="s">
        <v>75</v>
      </c>
      <c r="AZ35" s="136">
        <v>15</v>
      </c>
      <c r="BA35" s="134" t="s">
        <v>75</v>
      </c>
      <c r="BB35" s="134" t="s">
        <v>75</v>
      </c>
      <c r="BC35" s="247" t="s">
        <v>75</v>
      </c>
    </row>
    <row r="36" spans="2:55" ht="12.75" customHeight="1" x14ac:dyDescent="0.25">
      <c r="B36" s="86">
        <v>26813</v>
      </c>
      <c r="C36" s="276" t="s">
        <v>311</v>
      </c>
      <c r="D36" s="275" t="s">
        <v>313</v>
      </c>
      <c r="E36" s="275" t="s">
        <v>219</v>
      </c>
      <c r="F36" s="78">
        <f>1.196+1.202</f>
        <v>2.3979999999999997</v>
      </c>
      <c r="G36" s="114" t="s">
        <v>75</v>
      </c>
      <c r="H36" s="114" t="s">
        <v>75</v>
      </c>
      <c r="I36" s="78">
        <v>0.11899999999999999</v>
      </c>
      <c r="J36" s="79" t="s">
        <v>75</v>
      </c>
      <c r="K36" s="79" t="s">
        <v>75</v>
      </c>
      <c r="L36" s="79" t="s">
        <v>75</v>
      </c>
      <c r="M36" s="79" t="s">
        <v>75</v>
      </c>
      <c r="N36" s="79" t="s">
        <v>75</v>
      </c>
      <c r="O36" s="79" t="s">
        <v>75</v>
      </c>
      <c r="P36" s="79" t="s">
        <v>75</v>
      </c>
      <c r="Q36" s="114" t="s">
        <v>75</v>
      </c>
      <c r="R36" s="114" t="s">
        <v>75</v>
      </c>
      <c r="S36" s="114" t="s">
        <v>75</v>
      </c>
      <c r="T36" s="114" t="s">
        <v>75</v>
      </c>
      <c r="U36" s="78">
        <v>0.34100000000000003</v>
      </c>
      <c r="V36" s="79" t="s">
        <v>75</v>
      </c>
      <c r="W36" s="78">
        <v>0.58799999999999997</v>
      </c>
      <c r="X36" s="78">
        <v>0.11700000000000001</v>
      </c>
      <c r="Y36" s="78">
        <f>W:W/X:X</f>
        <v>5.0256410256410247</v>
      </c>
      <c r="Z36" s="79" t="s">
        <v>75</v>
      </c>
      <c r="AA36" s="78">
        <v>0.57799999999999996</v>
      </c>
      <c r="AB36" s="78">
        <f t="shared" si="31"/>
        <v>0.24103419516263555</v>
      </c>
      <c r="AC36" s="78">
        <v>1.33</v>
      </c>
      <c r="AD36" s="78">
        <f t="shared" si="34"/>
        <v>0.55462885738115109</v>
      </c>
      <c r="AE36" s="78">
        <v>0.123</v>
      </c>
      <c r="AF36" s="79" t="s">
        <v>75</v>
      </c>
      <c r="AG36" s="79" t="s">
        <v>75</v>
      </c>
      <c r="AH36" s="79" t="s">
        <v>75</v>
      </c>
      <c r="AI36" s="79" t="s">
        <v>75</v>
      </c>
      <c r="AJ36" s="79" t="s">
        <v>75</v>
      </c>
      <c r="AK36" s="79" t="s">
        <v>75</v>
      </c>
      <c r="AL36" s="79" t="s">
        <v>75</v>
      </c>
      <c r="AM36" s="79" t="s">
        <v>75</v>
      </c>
      <c r="AN36" s="79" t="s">
        <v>75</v>
      </c>
      <c r="AO36" s="79" t="s">
        <v>75</v>
      </c>
      <c r="AP36" s="78">
        <v>0.21</v>
      </c>
      <c r="AQ36" s="78">
        <v>9.4E-2</v>
      </c>
      <c r="AR36" s="78">
        <f t="shared" si="10"/>
        <v>8.7572977481234368E-2</v>
      </c>
      <c r="AS36" s="78">
        <f t="shared" si="0"/>
        <v>2.2340425531914891</v>
      </c>
      <c r="AT36" s="79" t="s">
        <v>75</v>
      </c>
      <c r="AU36" s="78">
        <v>0.13900000000000001</v>
      </c>
      <c r="AV36" s="78">
        <v>0.14099999999999999</v>
      </c>
      <c r="AW36" s="78">
        <f t="shared" si="22"/>
        <v>0.98581560283687963</v>
      </c>
      <c r="AX36" s="80">
        <f t="shared" si="15"/>
        <v>1.5107913669064745</v>
      </c>
      <c r="AY36" s="137">
        <v>5</v>
      </c>
      <c r="AZ36" s="137">
        <v>13</v>
      </c>
      <c r="BA36" s="135" t="s">
        <v>75</v>
      </c>
      <c r="BB36" s="137">
        <v>8</v>
      </c>
      <c r="BC36" s="145">
        <v>10</v>
      </c>
    </row>
    <row r="37" spans="2:55" ht="12.75" customHeight="1" x14ac:dyDescent="0.25">
      <c r="B37" s="75"/>
      <c r="C37" s="275"/>
      <c r="D37" s="275"/>
      <c r="E37" s="275"/>
      <c r="F37" s="78">
        <f>1.196+1.202</f>
        <v>2.3979999999999997</v>
      </c>
      <c r="G37" s="114" t="s">
        <v>75</v>
      </c>
      <c r="H37" s="114" t="s">
        <v>75</v>
      </c>
      <c r="I37" s="78">
        <v>0.122</v>
      </c>
      <c r="J37" s="78">
        <v>5.8000000000000003E-2</v>
      </c>
      <c r="K37" s="78">
        <v>0.88500000000000001</v>
      </c>
      <c r="L37" s="78">
        <v>0.64600000000000002</v>
      </c>
      <c r="M37" s="78">
        <v>0.59099999999999997</v>
      </c>
      <c r="N37" s="78">
        <v>0.13</v>
      </c>
      <c r="O37" s="79" t="s">
        <v>75</v>
      </c>
      <c r="P37" s="79" t="s">
        <v>75</v>
      </c>
      <c r="Q37" s="114" t="s">
        <v>75</v>
      </c>
      <c r="R37" s="80">
        <f t="shared" si="3"/>
        <v>0.66779661016949143</v>
      </c>
      <c r="S37" s="80">
        <f t="shared" si="4"/>
        <v>0.72994350282485876</v>
      </c>
      <c r="T37" s="114" t="s">
        <v>75</v>
      </c>
      <c r="U37" s="78">
        <v>0.34100000000000003</v>
      </c>
      <c r="V37" s="79" t="s">
        <v>75</v>
      </c>
      <c r="W37" s="79" t="s">
        <v>75</v>
      </c>
      <c r="X37" s="79" t="s">
        <v>75</v>
      </c>
      <c r="Y37" s="79" t="s">
        <v>75</v>
      </c>
      <c r="Z37" s="79" t="s">
        <v>75</v>
      </c>
      <c r="AA37" s="78">
        <v>0.58199999999999996</v>
      </c>
      <c r="AB37" s="78">
        <f t="shared" si="31"/>
        <v>0.24270225187656383</v>
      </c>
      <c r="AC37" s="78">
        <v>1.284</v>
      </c>
      <c r="AD37" s="78">
        <f t="shared" si="34"/>
        <v>0.53544620517097585</v>
      </c>
      <c r="AE37" s="78">
        <v>0.11600000000000001</v>
      </c>
      <c r="AF37" s="78">
        <f t="shared" si="9"/>
        <v>0.13107344632768361</v>
      </c>
      <c r="AG37" s="79" t="s">
        <v>75</v>
      </c>
      <c r="AH37" s="78">
        <f>AE37/N37</f>
        <v>0.89230769230769236</v>
      </c>
      <c r="AI37" s="79" t="s">
        <v>75</v>
      </c>
      <c r="AJ37" s="79" t="s">
        <v>75</v>
      </c>
      <c r="AK37" s="79" t="s">
        <v>75</v>
      </c>
      <c r="AL37" s="79" t="s">
        <v>75</v>
      </c>
      <c r="AM37" s="79" t="s">
        <v>75</v>
      </c>
      <c r="AN37" s="79" t="s">
        <v>75</v>
      </c>
      <c r="AO37" s="79" t="s">
        <v>75</v>
      </c>
      <c r="AP37" s="78">
        <v>0.224</v>
      </c>
      <c r="AQ37" s="78">
        <v>9.9000000000000005E-2</v>
      </c>
      <c r="AR37" s="78">
        <f t="shared" si="10"/>
        <v>9.341117597998333E-2</v>
      </c>
      <c r="AS37" s="78">
        <f t="shared" si="0"/>
        <v>2.2626262626262625</v>
      </c>
      <c r="AT37" s="78">
        <f>AP37/K37</f>
        <v>0.25310734463276835</v>
      </c>
      <c r="AU37" s="78">
        <v>0.13900000000000001</v>
      </c>
      <c r="AV37" s="78">
        <v>0.14099999999999999</v>
      </c>
      <c r="AW37" s="78">
        <f t="shared" ref="AW37" si="36">AU37/AV37</f>
        <v>0.98581560283687963</v>
      </c>
      <c r="AX37" s="80">
        <f t="shared" ref="AX37" si="37">AP37/AU37</f>
        <v>1.6115107913669064</v>
      </c>
      <c r="AY37" s="135" t="s">
        <v>75</v>
      </c>
      <c r="AZ37" s="135" t="s">
        <v>75</v>
      </c>
      <c r="BA37" s="135" t="s">
        <v>75</v>
      </c>
      <c r="BB37" s="135" t="s">
        <v>75</v>
      </c>
      <c r="BC37" s="242" t="s">
        <v>75</v>
      </c>
    </row>
    <row r="38" spans="2:55" ht="12.75" customHeight="1" x14ac:dyDescent="0.25">
      <c r="B38" s="83">
        <v>26813</v>
      </c>
      <c r="C38" s="280" t="s">
        <v>311</v>
      </c>
      <c r="D38" s="279" t="s">
        <v>313</v>
      </c>
      <c r="E38" s="279" t="s">
        <v>219</v>
      </c>
      <c r="F38" s="72">
        <f>1.17+1.064</f>
        <v>2.234</v>
      </c>
      <c r="G38" s="82">
        <f>I38+J38+K38+L38+M38+N38+O38</f>
        <v>3.4509999999999996</v>
      </c>
      <c r="H38" s="82">
        <f>G38/F38</f>
        <v>1.5447627573858549</v>
      </c>
      <c r="I38" s="72">
        <v>0.106</v>
      </c>
      <c r="J38" s="72">
        <v>6.2E-2</v>
      </c>
      <c r="K38" s="72">
        <v>0.88300000000000001</v>
      </c>
      <c r="L38" s="72">
        <v>0.60799999999999998</v>
      </c>
      <c r="M38" s="72">
        <f>0.414+0.215</f>
        <v>0.629</v>
      </c>
      <c r="N38" s="72">
        <v>0.17100000000000001</v>
      </c>
      <c r="O38" s="72">
        <f>0.616+0.376</f>
        <v>0.99199999999999999</v>
      </c>
      <c r="P38" s="72">
        <f>N:N+O:O</f>
        <v>1.163</v>
      </c>
      <c r="Q38" s="82">
        <f t="shared" si="2"/>
        <v>1.317100792751982</v>
      </c>
      <c r="R38" s="82">
        <f t="shared" si="3"/>
        <v>0.71234428086070212</v>
      </c>
      <c r="S38" s="82">
        <f t="shared" si="4"/>
        <v>0.6885617214043035</v>
      </c>
      <c r="T38" s="82">
        <f t="shared" si="5"/>
        <v>5.8011695906432745</v>
      </c>
      <c r="U38" s="72">
        <v>0.36799999999999999</v>
      </c>
      <c r="V38" s="72">
        <f t="shared" si="14"/>
        <v>9.3777173913043477</v>
      </c>
      <c r="W38" s="72">
        <v>0.752</v>
      </c>
      <c r="X38" s="72">
        <v>0.127</v>
      </c>
      <c r="Y38" s="72">
        <f>W:W/X:X</f>
        <v>5.9212598425196852</v>
      </c>
      <c r="Z38" s="72">
        <v>0.495</v>
      </c>
      <c r="AA38" s="72">
        <v>0.60399999999999998</v>
      </c>
      <c r="AB38" s="72">
        <f t="shared" si="31"/>
        <v>0.27036705461056398</v>
      </c>
      <c r="AC38" s="72">
        <v>1.327</v>
      </c>
      <c r="AD38" s="72">
        <f t="shared" si="34"/>
        <v>0.59400179051029545</v>
      </c>
      <c r="AE38" s="72">
        <v>0.11799999999999999</v>
      </c>
      <c r="AF38" s="72">
        <f t="shared" si="9"/>
        <v>0.13363533408833522</v>
      </c>
      <c r="AG38" s="72">
        <f>AE:AE/P:P</f>
        <v>0.10146173688736027</v>
      </c>
      <c r="AH38" s="72">
        <f>AE38/N38</f>
        <v>0.6900584795321637</v>
      </c>
      <c r="AI38" s="73" t="s">
        <v>75</v>
      </c>
      <c r="AJ38" s="73" t="s">
        <v>75</v>
      </c>
      <c r="AK38" s="73" t="s">
        <v>75</v>
      </c>
      <c r="AL38" s="73" t="s">
        <v>75</v>
      </c>
      <c r="AM38" s="73" t="s">
        <v>75</v>
      </c>
      <c r="AN38" s="73" t="s">
        <v>75</v>
      </c>
      <c r="AO38" s="73" t="s">
        <v>75</v>
      </c>
      <c r="AP38" s="72">
        <v>0.25900000000000001</v>
      </c>
      <c r="AQ38" s="72">
        <v>9.2999999999999999E-2</v>
      </c>
      <c r="AR38" s="72">
        <f t="shared" si="10"/>
        <v>0.11593554162936437</v>
      </c>
      <c r="AS38" s="72">
        <f t="shared" si="0"/>
        <v>2.78494623655914</v>
      </c>
      <c r="AT38" s="72">
        <f>AP38/K38</f>
        <v>0.29331823329558326</v>
      </c>
      <c r="AU38" s="72">
        <v>0.14399999999999999</v>
      </c>
      <c r="AV38" s="73" t="s">
        <v>75</v>
      </c>
      <c r="AW38" s="73" t="s">
        <v>75</v>
      </c>
      <c r="AX38" s="82">
        <f t="shared" si="15"/>
        <v>1.7986111111111114</v>
      </c>
      <c r="AY38" s="136">
        <v>4</v>
      </c>
      <c r="AZ38" s="136">
        <v>14</v>
      </c>
      <c r="BA38" s="134" t="s">
        <v>75</v>
      </c>
      <c r="BB38" s="136">
        <v>8</v>
      </c>
      <c r="BC38" s="143">
        <v>7</v>
      </c>
    </row>
    <row r="39" spans="2:55" ht="12.75" customHeight="1" x14ac:dyDescent="0.25">
      <c r="B39" s="69"/>
      <c r="C39" s="279"/>
      <c r="D39" s="279"/>
      <c r="E39" s="279"/>
      <c r="F39" s="72">
        <f>1.17+1.064</f>
        <v>2.234</v>
      </c>
      <c r="G39" s="110" t="s">
        <v>75</v>
      </c>
      <c r="H39" s="110" t="s">
        <v>75</v>
      </c>
      <c r="I39" s="73" t="s">
        <v>75</v>
      </c>
      <c r="J39" s="73" t="s">
        <v>75</v>
      </c>
      <c r="K39" s="73" t="s">
        <v>75</v>
      </c>
      <c r="L39" s="73" t="s">
        <v>75</v>
      </c>
      <c r="M39" s="73" t="s">
        <v>75</v>
      </c>
      <c r="N39" s="73" t="s">
        <v>75</v>
      </c>
      <c r="O39" s="73" t="s">
        <v>75</v>
      </c>
      <c r="P39" s="73" t="s">
        <v>75</v>
      </c>
      <c r="Q39" s="110" t="s">
        <v>75</v>
      </c>
      <c r="R39" s="110" t="s">
        <v>75</v>
      </c>
      <c r="S39" s="110" t="s">
        <v>75</v>
      </c>
      <c r="T39" s="110" t="s">
        <v>75</v>
      </c>
      <c r="U39" s="72">
        <v>0.36799999999999999</v>
      </c>
      <c r="V39" s="73" t="s">
        <v>75</v>
      </c>
      <c r="W39" s="72">
        <v>0.627</v>
      </c>
      <c r="X39" s="72">
        <v>0.123</v>
      </c>
      <c r="Y39" s="72">
        <f>W:W/X:X</f>
        <v>5.0975609756097562</v>
      </c>
      <c r="Z39" s="72">
        <v>0.48599999999999999</v>
      </c>
      <c r="AA39" s="72">
        <v>0.60399999999999998</v>
      </c>
      <c r="AB39" s="72">
        <f t="shared" si="31"/>
        <v>0.27036705461056398</v>
      </c>
      <c r="AC39" s="72">
        <v>1.3</v>
      </c>
      <c r="AD39" s="72">
        <f t="shared" si="34"/>
        <v>0.58191584601611457</v>
      </c>
      <c r="AE39" s="72">
        <v>0.128</v>
      </c>
      <c r="AF39" s="73" t="s">
        <v>75</v>
      </c>
      <c r="AG39" s="73" t="s">
        <v>75</v>
      </c>
      <c r="AH39" s="73" t="s">
        <v>75</v>
      </c>
      <c r="AI39" s="73" t="s">
        <v>75</v>
      </c>
      <c r="AJ39" s="73" t="s">
        <v>75</v>
      </c>
      <c r="AK39" s="73" t="s">
        <v>75</v>
      </c>
      <c r="AL39" s="73" t="s">
        <v>75</v>
      </c>
      <c r="AM39" s="73" t="s">
        <v>75</v>
      </c>
      <c r="AN39" s="73" t="s">
        <v>75</v>
      </c>
      <c r="AO39" s="73" t="s">
        <v>75</v>
      </c>
      <c r="AP39" s="72">
        <v>0.23599999999999999</v>
      </c>
      <c r="AQ39" s="72">
        <v>9.9000000000000005E-2</v>
      </c>
      <c r="AR39" s="72">
        <f t="shared" si="10"/>
        <v>0.10564010743061772</v>
      </c>
      <c r="AS39" s="72">
        <f t="shared" si="0"/>
        <v>2.3838383838383836</v>
      </c>
      <c r="AT39" s="73" t="s">
        <v>75</v>
      </c>
      <c r="AU39" s="72">
        <v>0.14399999999999999</v>
      </c>
      <c r="AV39" s="73" t="s">
        <v>75</v>
      </c>
      <c r="AW39" s="73" t="s">
        <v>75</v>
      </c>
      <c r="AX39" s="82">
        <f t="shared" ref="AX39" si="38">AP39/AU39</f>
        <v>1.6388888888888888</v>
      </c>
      <c r="AY39" s="134" t="s">
        <v>75</v>
      </c>
      <c r="AZ39" s="134" t="s">
        <v>75</v>
      </c>
      <c r="BA39" s="134" t="s">
        <v>75</v>
      </c>
      <c r="BB39" s="134" t="s">
        <v>75</v>
      </c>
      <c r="BC39" s="247" t="s">
        <v>75</v>
      </c>
    </row>
    <row r="40" spans="2:55" ht="12.75" customHeight="1" x14ac:dyDescent="0.25">
      <c r="B40" s="86">
        <v>21685</v>
      </c>
      <c r="C40" s="276" t="s">
        <v>311</v>
      </c>
      <c r="D40" s="275" t="s">
        <v>314</v>
      </c>
      <c r="E40" s="275" t="s">
        <v>218</v>
      </c>
      <c r="F40" s="78">
        <f>0.9+0.652+0.874</f>
        <v>2.4260000000000002</v>
      </c>
      <c r="G40" s="114" t="s">
        <v>75</v>
      </c>
      <c r="H40" s="114" t="s">
        <v>75</v>
      </c>
      <c r="I40" s="78">
        <v>0.104</v>
      </c>
      <c r="J40" s="78">
        <v>6.0999999999999999E-2</v>
      </c>
      <c r="K40" s="78">
        <v>0.9</v>
      </c>
      <c r="L40" s="78">
        <v>0.53800000000000003</v>
      </c>
      <c r="M40" s="79" t="s">
        <v>75</v>
      </c>
      <c r="N40" s="79" t="s">
        <v>75</v>
      </c>
      <c r="O40" s="79" t="s">
        <v>75</v>
      </c>
      <c r="P40" s="79" t="s">
        <v>75</v>
      </c>
      <c r="Q40" s="114" t="s">
        <v>75</v>
      </c>
      <c r="R40" s="114" t="s">
        <v>75</v>
      </c>
      <c r="S40" s="80">
        <f t="shared" si="4"/>
        <v>0.59777777777777785</v>
      </c>
      <c r="T40" s="114" t="s">
        <v>75</v>
      </c>
      <c r="U40" s="78">
        <v>0.36399999999999999</v>
      </c>
      <c r="V40" s="79" t="s">
        <v>75</v>
      </c>
      <c r="W40" s="78">
        <v>0.63900000000000001</v>
      </c>
      <c r="X40" s="78">
        <v>0.16700000000000001</v>
      </c>
      <c r="Y40" s="78">
        <f>W:W/X:X</f>
        <v>3.8263473053892216</v>
      </c>
      <c r="Z40" s="78">
        <v>0.45200000000000001</v>
      </c>
      <c r="AA40" s="78">
        <v>0.63500000000000001</v>
      </c>
      <c r="AB40" s="78">
        <f t="shared" si="31"/>
        <v>0.26174773289365211</v>
      </c>
      <c r="AC40" s="78">
        <v>1.264</v>
      </c>
      <c r="AD40" s="78">
        <f t="shared" si="34"/>
        <v>0.52102225886232478</v>
      </c>
      <c r="AE40" s="78">
        <v>0.125</v>
      </c>
      <c r="AF40" s="78">
        <f t="shared" si="9"/>
        <v>0.1388888888888889</v>
      </c>
      <c r="AG40" s="79" t="s">
        <v>75</v>
      </c>
      <c r="AH40" s="79" t="s">
        <v>75</v>
      </c>
      <c r="AI40" s="79" t="s">
        <v>75</v>
      </c>
      <c r="AJ40" s="79" t="s">
        <v>75</v>
      </c>
      <c r="AK40" s="79" t="s">
        <v>75</v>
      </c>
      <c r="AL40" s="79" t="s">
        <v>75</v>
      </c>
      <c r="AM40" s="79" t="s">
        <v>75</v>
      </c>
      <c r="AN40" s="79" t="s">
        <v>75</v>
      </c>
      <c r="AO40" s="79" t="s">
        <v>75</v>
      </c>
      <c r="AP40" s="78">
        <v>0.24299999999999999</v>
      </c>
      <c r="AQ40" s="78">
        <v>0.11</v>
      </c>
      <c r="AR40" s="78">
        <f t="shared" si="10"/>
        <v>0.10016488046166529</v>
      </c>
      <c r="AS40" s="78">
        <f t="shared" si="0"/>
        <v>2.209090909090909</v>
      </c>
      <c r="AT40" s="78">
        <f t="shared" ref="AT40:AT54" si="39">AP40/K40</f>
        <v>0.26999999999999996</v>
      </c>
      <c r="AU40" s="78">
        <v>0.14099999999999999</v>
      </c>
      <c r="AV40" s="78">
        <v>0.14399999999999999</v>
      </c>
      <c r="AW40" s="78">
        <f t="shared" si="22"/>
        <v>0.97916666666666663</v>
      </c>
      <c r="AX40" s="80">
        <f t="shared" si="15"/>
        <v>1.7234042553191491</v>
      </c>
      <c r="AY40" s="137">
        <v>5</v>
      </c>
      <c r="AZ40" s="137">
        <v>14</v>
      </c>
      <c r="BA40" s="135" t="s">
        <v>75</v>
      </c>
      <c r="BB40" s="137">
        <v>6</v>
      </c>
      <c r="BC40" s="145">
        <v>8</v>
      </c>
    </row>
    <row r="41" spans="2:55" ht="12.75" customHeight="1" x14ac:dyDescent="0.25">
      <c r="B41" s="75"/>
      <c r="C41" s="275"/>
      <c r="D41" s="275"/>
      <c r="E41" s="275"/>
      <c r="F41" s="78">
        <f>0.9+0.652+0.874</f>
        <v>2.4260000000000002</v>
      </c>
      <c r="G41" s="80">
        <f>I41+J41+K41+L41+M41+N41+O41</f>
        <v>3.1029999999999998</v>
      </c>
      <c r="H41" s="80">
        <f>G41/F41</f>
        <v>1.2790601813685076</v>
      </c>
      <c r="I41" s="78">
        <v>0.10199999999999999</v>
      </c>
      <c r="J41" s="78">
        <v>6.6000000000000003E-2</v>
      </c>
      <c r="K41" s="78">
        <v>0.879</v>
      </c>
      <c r="L41" s="78">
        <v>0.57099999999999995</v>
      </c>
      <c r="M41" s="78">
        <v>0.53300000000000003</v>
      </c>
      <c r="N41" s="78">
        <v>0.14099999999999999</v>
      </c>
      <c r="O41" s="78">
        <f>0.25+0.561</f>
        <v>0.81100000000000005</v>
      </c>
      <c r="P41" s="78">
        <f>N:N+O:O</f>
        <v>0.95200000000000007</v>
      </c>
      <c r="Q41" s="80">
        <f t="shared" si="2"/>
        <v>1.0830489192263937</v>
      </c>
      <c r="R41" s="80">
        <f t="shared" si="3"/>
        <v>0.60637087599544937</v>
      </c>
      <c r="S41" s="80">
        <f t="shared" si="4"/>
        <v>0.64960182025028435</v>
      </c>
      <c r="T41" s="80">
        <f t="shared" si="5"/>
        <v>5.7517730496453909</v>
      </c>
      <c r="U41" s="78">
        <v>0.36399999999999999</v>
      </c>
      <c r="V41" s="78">
        <f t="shared" si="14"/>
        <v>8.5247252747252737</v>
      </c>
      <c r="W41" s="79" t="s">
        <v>75</v>
      </c>
      <c r="X41" s="79" t="s">
        <v>75</v>
      </c>
      <c r="Y41" s="79" t="s">
        <v>75</v>
      </c>
      <c r="Z41" s="78">
        <v>0.45800000000000002</v>
      </c>
      <c r="AA41" s="78">
        <v>0.61499999999999999</v>
      </c>
      <c r="AB41" s="78">
        <f t="shared" si="31"/>
        <v>0.25350370981038745</v>
      </c>
      <c r="AC41" s="78">
        <v>1.2330000000000001</v>
      </c>
      <c r="AD41" s="78">
        <f t="shared" si="34"/>
        <v>0.50824402308326466</v>
      </c>
      <c r="AE41" s="78">
        <v>0.11899999999999999</v>
      </c>
      <c r="AF41" s="78">
        <f t="shared" si="9"/>
        <v>0.13538111490329921</v>
      </c>
      <c r="AG41" s="78">
        <f>AE:AE/P:P</f>
        <v>0.12499999999999999</v>
      </c>
      <c r="AH41" s="78">
        <f t="shared" ref="AH41:AH52" si="40">AE41/N41</f>
        <v>0.84397163120567376</v>
      </c>
      <c r="AI41" s="79" t="s">
        <v>75</v>
      </c>
      <c r="AJ41" s="79" t="s">
        <v>75</v>
      </c>
      <c r="AK41" s="79" t="s">
        <v>75</v>
      </c>
      <c r="AL41" s="79" t="s">
        <v>75</v>
      </c>
      <c r="AM41" s="79" t="s">
        <v>75</v>
      </c>
      <c r="AN41" s="79" t="s">
        <v>75</v>
      </c>
      <c r="AO41" s="79" t="s">
        <v>75</v>
      </c>
      <c r="AP41" s="78">
        <v>0.27500000000000002</v>
      </c>
      <c r="AQ41" s="78">
        <v>0.12</v>
      </c>
      <c r="AR41" s="78">
        <f t="shared" si="10"/>
        <v>0.1133553173948887</v>
      </c>
      <c r="AS41" s="78">
        <f t="shared" si="0"/>
        <v>2.291666666666667</v>
      </c>
      <c r="AT41" s="78">
        <f t="shared" si="39"/>
        <v>0.31285551763367464</v>
      </c>
      <c r="AU41" s="78">
        <v>0.14099999999999999</v>
      </c>
      <c r="AV41" s="78">
        <v>0.14399999999999999</v>
      </c>
      <c r="AW41" s="78">
        <f t="shared" ref="AW41" si="41">AU41/AV41</f>
        <v>0.97916666666666663</v>
      </c>
      <c r="AX41" s="80">
        <f t="shared" ref="AX41" si="42">AP41/AU41</f>
        <v>1.9503546099290783</v>
      </c>
      <c r="AY41" s="135" t="s">
        <v>75</v>
      </c>
      <c r="AZ41" s="137">
        <v>15</v>
      </c>
      <c r="BA41" s="135" t="s">
        <v>75</v>
      </c>
      <c r="BB41" s="135" t="s">
        <v>75</v>
      </c>
      <c r="BC41" s="242" t="s">
        <v>75</v>
      </c>
    </row>
    <row r="42" spans="2:55" ht="12.75" customHeight="1" x14ac:dyDescent="0.25">
      <c r="B42" s="83">
        <v>21685</v>
      </c>
      <c r="C42" s="280" t="s">
        <v>311</v>
      </c>
      <c r="D42" s="279" t="s">
        <v>314</v>
      </c>
      <c r="E42" s="279" t="s">
        <v>218</v>
      </c>
      <c r="F42" s="72">
        <f>1.229+1.252+0.32</f>
        <v>2.8009999999999997</v>
      </c>
      <c r="G42" s="82">
        <f>I42+J42+K42+L42+M42+N42+O42</f>
        <v>3.407</v>
      </c>
      <c r="H42" s="82">
        <f>G42/F42</f>
        <v>1.2163513031060338</v>
      </c>
      <c r="I42" s="72">
        <v>0.104</v>
      </c>
      <c r="J42" s="72">
        <v>5.5E-2</v>
      </c>
      <c r="K42" s="72">
        <v>0.89100000000000001</v>
      </c>
      <c r="L42" s="72">
        <v>0.56999999999999995</v>
      </c>
      <c r="M42" s="72">
        <v>0.59599999999999997</v>
      </c>
      <c r="N42" s="72">
        <v>0.15</v>
      </c>
      <c r="O42" s="72">
        <v>1.0409999999999999</v>
      </c>
      <c r="P42" s="72">
        <f>N:N+O:O</f>
        <v>1.1909999999999998</v>
      </c>
      <c r="Q42" s="82">
        <f t="shared" si="2"/>
        <v>1.3367003367003365</v>
      </c>
      <c r="R42" s="82">
        <f t="shared" si="3"/>
        <v>0.6689113355780022</v>
      </c>
      <c r="S42" s="82">
        <f t="shared" si="4"/>
        <v>0.63973063973063971</v>
      </c>
      <c r="T42" s="82">
        <f t="shared" si="5"/>
        <v>6.9399999999999995</v>
      </c>
      <c r="U42" s="72">
        <v>0.34499999999999997</v>
      </c>
      <c r="V42" s="72">
        <f t="shared" si="14"/>
        <v>9.8753623188405797</v>
      </c>
      <c r="W42" s="72">
        <v>0.64100000000000001</v>
      </c>
      <c r="X42" s="72">
        <v>0.17399999999999999</v>
      </c>
      <c r="Y42" s="72">
        <f t="shared" ref="Y42:Y55" si="43">W:W/X:X</f>
        <v>3.6839080459770117</v>
      </c>
      <c r="Z42" s="72">
        <v>0.439</v>
      </c>
      <c r="AA42" s="72">
        <v>0.65100000000000002</v>
      </c>
      <c r="AB42" s="72">
        <f t="shared" si="31"/>
        <v>0.23241699393073906</v>
      </c>
      <c r="AC42" s="72">
        <f>1.006+0.398</f>
        <v>1.4039999999999999</v>
      </c>
      <c r="AD42" s="72">
        <f t="shared" si="34"/>
        <v>0.50124955373081048</v>
      </c>
      <c r="AE42" s="72">
        <v>0.13100000000000001</v>
      </c>
      <c r="AF42" s="72">
        <f t="shared" si="9"/>
        <v>0.14702581369248036</v>
      </c>
      <c r="AG42" s="72">
        <f>AE:AE/P:P</f>
        <v>0.1099916036943745</v>
      </c>
      <c r="AH42" s="72">
        <f t="shared" si="40"/>
        <v>0.87333333333333341</v>
      </c>
      <c r="AI42" s="72">
        <v>9.7000000000000003E-2</v>
      </c>
      <c r="AJ42" s="72">
        <v>6.8000000000000005E-2</v>
      </c>
      <c r="AK42" s="72">
        <f t="shared" si="17"/>
        <v>1.4264705882352942</v>
      </c>
      <c r="AL42" s="72">
        <f t="shared" ref="AL42:AL55" si="44">AI42/AE42</f>
        <v>0.74045801526717558</v>
      </c>
      <c r="AM42" s="72">
        <f t="shared" ref="AM42:AM52" si="45">AI42/N42</f>
        <v>0.64666666666666672</v>
      </c>
      <c r="AN42" s="72">
        <f t="shared" ref="AN42:AN55" si="46">AI42/K42</f>
        <v>0.10886644219977554</v>
      </c>
      <c r="AO42" s="72">
        <f t="shared" si="18"/>
        <v>0.35661764705882354</v>
      </c>
      <c r="AP42" s="72">
        <v>0.27200000000000002</v>
      </c>
      <c r="AQ42" s="72">
        <v>0.125</v>
      </c>
      <c r="AR42" s="72">
        <f t="shared" si="10"/>
        <v>9.7108175651553039E-2</v>
      </c>
      <c r="AS42" s="72">
        <f t="shared" si="0"/>
        <v>2.1760000000000002</v>
      </c>
      <c r="AT42" s="72">
        <f t="shared" si="39"/>
        <v>0.30527497194163861</v>
      </c>
      <c r="AU42" s="72">
        <v>0.151</v>
      </c>
      <c r="AV42" s="72">
        <v>0.158</v>
      </c>
      <c r="AW42" s="72">
        <f t="shared" si="22"/>
        <v>0.95569620253164556</v>
      </c>
      <c r="AX42" s="82">
        <f t="shared" si="15"/>
        <v>1.8013245033112584</v>
      </c>
      <c r="AY42" s="136">
        <v>5</v>
      </c>
      <c r="AZ42" s="136">
        <v>13</v>
      </c>
      <c r="BA42" s="134" t="s">
        <v>75</v>
      </c>
      <c r="BB42" s="136">
        <v>7</v>
      </c>
      <c r="BC42" s="143">
        <v>7</v>
      </c>
    </row>
    <row r="43" spans="2:55" ht="12.75" customHeight="1" x14ac:dyDescent="0.25">
      <c r="B43" s="69"/>
      <c r="C43" s="279"/>
      <c r="D43" s="279"/>
      <c r="E43" s="279"/>
      <c r="F43" s="72">
        <f>1.229+1.252+0.32</f>
        <v>2.8009999999999997</v>
      </c>
      <c r="G43" s="110" t="s">
        <v>75</v>
      </c>
      <c r="H43" s="110" t="s">
        <v>75</v>
      </c>
      <c r="I43" s="72">
        <v>0.109</v>
      </c>
      <c r="J43" s="72">
        <v>5.6000000000000001E-2</v>
      </c>
      <c r="K43" s="72">
        <v>0.88600000000000001</v>
      </c>
      <c r="L43" s="72">
        <v>0.56000000000000005</v>
      </c>
      <c r="M43" s="72">
        <v>0.58299999999999996</v>
      </c>
      <c r="N43" s="72">
        <v>0.14599999999999999</v>
      </c>
      <c r="O43" s="73" t="s">
        <v>75</v>
      </c>
      <c r="P43" s="73" t="s">
        <v>75</v>
      </c>
      <c r="Q43" s="110" t="s">
        <v>75</v>
      </c>
      <c r="R43" s="82">
        <f t="shared" si="3"/>
        <v>0.65801354401805867</v>
      </c>
      <c r="S43" s="82">
        <f t="shared" si="4"/>
        <v>0.6320541760722348</v>
      </c>
      <c r="T43" s="110" t="s">
        <v>75</v>
      </c>
      <c r="U43" s="72">
        <v>0.34499999999999997</v>
      </c>
      <c r="V43" s="73" t="s">
        <v>75</v>
      </c>
      <c r="W43" s="72">
        <v>0.68600000000000005</v>
      </c>
      <c r="X43" s="72">
        <v>0.17799999999999999</v>
      </c>
      <c r="Y43" s="72">
        <f t="shared" si="43"/>
        <v>3.8539325842696632</v>
      </c>
      <c r="Z43" s="72">
        <v>0.48099999999999998</v>
      </c>
      <c r="AA43" s="72">
        <v>0.67400000000000004</v>
      </c>
      <c r="AB43" s="72">
        <f t="shared" si="31"/>
        <v>0.24062834701892186</v>
      </c>
      <c r="AC43" s="72">
        <f>1.353+0.064</f>
        <v>1.417</v>
      </c>
      <c r="AD43" s="72">
        <f t="shared" si="34"/>
        <v>0.50589075330239208</v>
      </c>
      <c r="AE43" s="72">
        <v>0.112</v>
      </c>
      <c r="AF43" s="72">
        <f t="shared" si="9"/>
        <v>0.12641083521444696</v>
      </c>
      <c r="AG43" s="73" t="s">
        <v>75</v>
      </c>
      <c r="AH43" s="72">
        <f t="shared" si="40"/>
        <v>0.76712328767123295</v>
      </c>
      <c r="AI43" s="72">
        <v>9.7000000000000003E-2</v>
      </c>
      <c r="AJ43" s="72">
        <v>6.8000000000000005E-2</v>
      </c>
      <c r="AK43" s="72">
        <f t="shared" si="17"/>
        <v>1.4264705882352942</v>
      </c>
      <c r="AL43" s="72">
        <f t="shared" si="44"/>
        <v>0.8660714285714286</v>
      </c>
      <c r="AM43" s="72">
        <f t="shared" si="45"/>
        <v>0.66438356164383572</v>
      </c>
      <c r="AN43" s="72">
        <f t="shared" si="46"/>
        <v>0.10948081264108353</v>
      </c>
      <c r="AO43" s="72">
        <f t="shared" si="18"/>
        <v>0.36742424242424243</v>
      </c>
      <c r="AP43" s="72">
        <v>0.26400000000000001</v>
      </c>
      <c r="AQ43" s="72">
        <v>0.13200000000000001</v>
      </c>
      <c r="AR43" s="72">
        <f t="shared" si="10"/>
        <v>9.4252052838272066E-2</v>
      </c>
      <c r="AS43" s="72">
        <f t="shared" si="0"/>
        <v>2</v>
      </c>
      <c r="AT43" s="72">
        <f t="shared" si="39"/>
        <v>0.2979683972911964</v>
      </c>
      <c r="AU43" s="72">
        <v>0.151</v>
      </c>
      <c r="AV43" s="72">
        <v>0.158</v>
      </c>
      <c r="AW43" s="72">
        <f t="shared" ref="AW43" si="47">AU43/AV43</f>
        <v>0.95569620253164556</v>
      </c>
      <c r="AX43" s="82">
        <f t="shared" ref="AX43" si="48">AP43/AU43</f>
        <v>1.7483443708609272</v>
      </c>
      <c r="AY43" s="134" t="s">
        <v>75</v>
      </c>
      <c r="AZ43" s="134" t="s">
        <v>75</v>
      </c>
      <c r="BA43" s="134" t="s">
        <v>75</v>
      </c>
      <c r="BB43" s="134" t="s">
        <v>75</v>
      </c>
      <c r="BC43" s="247" t="s">
        <v>75</v>
      </c>
    </row>
    <row r="44" spans="2:55" ht="12.75" customHeight="1" x14ac:dyDescent="0.25">
      <c r="B44" s="86">
        <v>27552</v>
      </c>
      <c r="C44" s="276" t="s">
        <v>311</v>
      </c>
      <c r="D44" s="275" t="s">
        <v>315</v>
      </c>
      <c r="E44" s="275" t="s">
        <v>220</v>
      </c>
      <c r="F44" s="78">
        <f>1.226+1.304</f>
        <v>2.5300000000000002</v>
      </c>
      <c r="G44" s="80">
        <f>I44+J44+K44+L44+M44+N44+O44</f>
        <v>3.6349999999999998</v>
      </c>
      <c r="H44" s="80">
        <f>G44/F44</f>
        <v>1.4367588932806321</v>
      </c>
      <c r="I44" s="78">
        <v>0.111</v>
      </c>
      <c r="J44" s="78">
        <v>6.0999999999999999E-2</v>
      </c>
      <c r="K44" s="78">
        <v>0.93799999999999994</v>
      </c>
      <c r="L44" s="78">
        <v>0.64600000000000002</v>
      </c>
      <c r="M44" s="78">
        <v>0.61</v>
      </c>
      <c r="N44" s="78">
        <v>0.154</v>
      </c>
      <c r="O44" s="78">
        <f>0.473+0.642</f>
        <v>1.115</v>
      </c>
      <c r="P44" s="78">
        <f t="shared" ref="P44:P52" si="49">N:N+O:O</f>
        <v>1.2689999999999999</v>
      </c>
      <c r="Q44" s="80">
        <f t="shared" si="2"/>
        <v>1.3528784648187633</v>
      </c>
      <c r="R44" s="80">
        <f t="shared" si="3"/>
        <v>0.65031982942430711</v>
      </c>
      <c r="S44" s="80">
        <f t="shared" si="4"/>
        <v>0.68869936034115142</v>
      </c>
      <c r="T44" s="80">
        <f t="shared" si="5"/>
        <v>7.2402597402597406</v>
      </c>
      <c r="U44" s="78">
        <v>0.35099999999999998</v>
      </c>
      <c r="V44" s="78">
        <f t="shared" si="14"/>
        <v>10.356125356125355</v>
      </c>
      <c r="W44" s="78">
        <v>0.753</v>
      </c>
      <c r="X44" s="78">
        <v>0.12</v>
      </c>
      <c r="Y44" s="78">
        <f t="shared" si="43"/>
        <v>6.2750000000000004</v>
      </c>
      <c r="Z44" s="78">
        <v>0.50900000000000001</v>
      </c>
      <c r="AA44" s="78">
        <v>0.68200000000000005</v>
      </c>
      <c r="AB44" s="78">
        <f t="shared" si="31"/>
        <v>0.26956521739130435</v>
      </c>
      <c r="AC44" s="78">
        <v>1.403</v>
      </c>
      <c r="AD44" s="78">
        <f t="shared" si="34"/>
        <v>0.55454545454545445</v>
      </c>
      <c r="AE44" s="78">
        <v>0.13600000000000001</v>
      </c>
      <c r="AF44" s="78">
        <f t="shared" si="9"/>
        <v>0.14498933901918978</v>
      </c>
      <c r="AG44" s="78">
        <f t="shared" ref="AG44:AG52" si="50">AE:AE/P:P</f>
        <v>0.10717100078802208</v>
      </c>
      <c r="AH44" s="78">
        <f t="shared" si="40"/>
        <v>0.88311688311688319</v>
      </c>
      <c r="AI44" s="78">
        <v>9.9000000000000005E-2</v>
      </c>
      <c r="AJ44" s="78">
        <v>6.2E-2</v>
      </c>
      <c r="AK44" s="78">
        <f t="shared" si="17"/>
        <v>1.5967741935483872</v>
      </c>
      <c r="AL44" s="78">
        <f t="shared" si="44"/>
        <v>0.7279411764705882</v>
      </c>
      <c r="AM44" s="78">
        <f t="shared" si="45"/>
        <v>0.6428571428571429</v>
      </c>
      <c r="AN44" s="78">
        <f t="shared" si="46"/>
        <v>0.10554371002132197</v>
      </c>
      <c r="AO44" s="78">
        <f t="shared" si="18"/>
        <v>0.36666666666666664</v>
      </c>
      <c r="AP44" s="78">
        <v>0.27</v>
      </c>
      <c r="AQ44" s="78">
        <v>8.6999999999999994E-2</v>
      </c>
      <c r="AR44" s="78">
        <f t="shared" si="10"/>
        <v>0.1067193675889328</v>
      </c>
      <c r="AS44" s="78">
        <f t="shared" si="0"/>
        <v>3.1034482758620694</v>
      </c>
      <c r="AT44" s="78">
        <f t="shared" si="39"/>
        <v>0.28784648187633266</v>
      </c>
      <c r="AU44" s="78">
        <v>0.152</v>
      </c>
      <c r="AV44" s="78">
        <v>0.13800000000000001</v>
      </c>
      <c r="AW44" s="78">
        <f t="shared" si="22"/>
        <v>1.1014492753623186</v>
      </c>
      <c r="AX44" s="80">
        <f t="shared" si="15"/>
        <v>1.7763157894736843</v>
      </c>
      <c r="AY44" s="137">
        <v>5</v>
      </c>
      <c r="AZ44" s="137">
        <v>11</v>
      </c>
      <c r="BA44" s="137">
        <v>7</v>
      </c>
      <c r="BB44" s="137">
        <v>7</v>
      </c>
      <c r="BC44" s="145">
        <v>7</v>
      </c>
    </row>
    <row r="45" spans="2:55" ht="12.75" customHeight="1" x14ac:dyDescent="0.25">
      <c r="B45" s="75"/>
      <c r="C45" s="275"/>
      <c r="D45" s="275"/>
      <c r="E45" s="275"/>
      <c r="F45" s="78">
        <f>1.226+1.304</f>
        <v>2.5300000000000002</v>
      </c>
      <c r="G45" s="80">
        <f>I45+J45+K45+L45+M45+N45+O45</f>
        <v>3.577</v>
      </c>
      <c r="H45" s="80">
        <f>G45/F45</f>
        <v>1.4138339920948615</v>
      </c>
      <c r="I45" s="78">
        <v>0.112</v>
      </c>
      <c r="J45" s="78">
        <v>0.06</v>
      </c>
      <c r="K45" s="78">
        <v>0.90800000000000003</v>
      </c>
      <c r="L45" s="78">
        <v>0.66700000000000004</v>
      </c>
      <c r="M45" s="78">
        <v>0.59099999999999997</v>
      </c>
      <c r="N45" s="78">
        <v>0.159</v>
      </c>
      <c r="O45" s="78">
        <f>0.657+0.423</f>
        <v>1.08</v>
      </c>
      <c r="P45" s="78">
        <f t="shared" si="49"/>
        <v>1.2390000000000001</v>
      </c>
      <c r="Q45" s="80">
        <f t="shared" si="2"/>
        <v>1.3645374449339207</v>
      </c>
      <c r="R45" s="80">
        <f t="shared" si="3"/>
        <v>0.65088105726872236</v>
      </c>
      <c r="S45" s="80">
        <f t="shared" si="4"/>
        <v>0.73458149779735682</v>
      </c>
      <c r="T45" s="80">
        <f t="shared" si="5"/>
        <v>6.7924528301886795</v>
      </c>
      <c r="U45" s="78">
        <v>0.35099999999999998</v>
      </c>
      <c r="V45" s="78">
        <f t="shared" si="14"/>
        <v>10.190883190883191</v>
      </c>
      <c r="W45" s="78">
        <v>0.73799999999999999</v>
      </c>
      <c r="X45" s="78">
        <v>0.13200000000000001</v>
      </c>
      <c r="Y45" s="78">
        <f t="shared" si="43"/>
        <v>5.5909090909090908</v>
      </c>
      <c r="Z45" s="78">
        <v>0.50900000000000001</v>
      </c>
      <c r="AA45" s="78">
        <v>0.68</v>
      </c>
      <c r="AB45" s="78">
        <f t="shared" si="31"/>
        <v>0.26877470355731226</v>
      </c>
      <c r="AC45" s="78">
        <v>1.43</v>
      </c>
      <c r="AD45" s="78">
        <f t="shared" si="34"/>
        <v>0.56521739130434778</v>
      </c>
      <c r="AE45" s="78">
        <v>0.13500000000000001</v>
      </c>
      <c r="AF45" s="78">
        <f t="shared" si="9"/>
        <v>0.14867841409691632</v>
      </c>
      <c r="AG45" s="78">
        <f t="shared" si="50"/>
        <v>0.10895883777239709</v>
      </c>
      <c r="AH45" s="78">
        <f t="shared" si="40"/>
        <v>0.84905660377358494</v>
      </c>
      <c r="AI45" s="78">
        <v>9.9000000000000005E-2</v>
      </c>
      <c r="AJ45" s="78">
        <v>6.2E-2</v>
      </c>
      <c r="AK45" s="78">
        <f t="shared" si="17"/>
        <v>1.5967741935483872</v>
      </c>
      <c r="AL45" s="78">
        <f t="shared" si="44"/>
        <v>0.73333333333333328</v>
      </c>
      <c r="AM45" s="78">
        <f t="shared" si="45"/>
        <v>0.62264150943396224</v>
      </c>
      <c r="AN45" s="78">
        <f t="shared" si="46"/>
        <v>0.10903083700440529</v>
      </c>
      <c r="AO45" s="78">
        <f t="shared" si="18"/>
        <v>0.3413793103448276</v>
      </c>
      <c r="AP45" s="78">
        <v>0.28999999999999998</v>
      </c>
      <c r="AQ45" s="78">
        <v>9.8000000000000004E-2</v>
      </c>
      <c r="AR45" s="78">
        <f t="shared" si="10"/>
        <v>0.11462450592885373</v>
      </c>
      <c r="AS45" s="78">
        <f t="shared" si="0"/>
        <v>2.9591836734693873</v>
      </c>
      <c r="AT45" s="78">
        <f t="shared" si="39"/>
        <v>0.31938325991189426</v>
      </c>
      <c r="AU45" s="78">
        <v>0.152</v>
      </c>
      <c r="AV45" s="78">
        <v>0.13800000000000001</v>
      </c>
      <c r="AW45" s="78">
        <f t="shared" ref="AW45" si="51">AU45/AV45</f>
        <v>1.1014492753623186</v>
      </c>
      <c r="AX45" s="80">
        <f t="shared" ref="AX45" si="52">AP45/AU45</f>
        <v>1.9078947368421051</v>
      </c>
      <c r="AY45" s="135" t="s">
        <v>75</v>
      </c>
      <c r="AZ45" s="137">
        <v>15</v>
      </c>
      <c r="BA45" s="135" t="s">
        <v>75</v>
      </c>
      <c r="BB45" s="135" t="s">
        <v>75</v>
      </c>
      <c r="BC45" s="242" t="s">
        <v>75</v>
      </c>
    </row>
    <row r="46" spans="2:55" ht="12.75" customHeight="1" x14ac:dyDescent="0.25">
      <c r="B46" s="83">
        <v>27552</v>
      </c>
      <c r="C46" s="280" t="s">
        <v>311</v>
      </c>
      <c r="D46" s="279" t="s">
        <v>315</v>
      </c>
      <c r="E46" s="279" t="s">
        <v>220</v>
      </c>
      <c r="F46" s="72">
        <f>1.108+1.138</f>
        <v>2.246</v>
      </c>
      <c r="G46" s="82">
        <f>I46+J46+K46+L46+M46+N46+O46</f>
        <v>3.4729999999999999</v>
      </c>
      <c r="H46" s="82">
        <f>G46/F46</f>
        <v>1.5463045414069456</v>
      </c>
      <c r="I46" s="72">
        <v>0.1</v>
      </c>
      <c r="J46" s="72">
        <v>5.5E-2</v>
      </c>
      <c r="K46" s="72">
        <v>0.92700000000000005</v>
      </c>
      <c r="L46" s="72">
        <v>0.60599999999999998</v>
      </c>
      <c r="M46" s="72">
        <v>0.61299999999999999</v>
      </c>
      <c r="N46" s="72">
        <v>0.16300000000000001</v>
      </c>
      <c r="O46" s="72">
        <v>1.0089999999999999</v>
      </c>
      <c r="P46" s="72">
        <f t="shared" si="49"/>
        <v>1.1719999999999999</v>
      </c>
      <c r="Q46" s="82">
        <f t="shared" si="2"/>
        <v>1.2642934196332254</v>
      </c>
      <c r="R46" s="82">
        <f t="shared" si="3"/>
        <v>0.66127292340884569</v>
      </c>
      <c r="S46" s="82">
        <f t="shared" si="4"/>
        <v>0.65372168284789633</v>
      </c>
      <c r="T46" s="82">
        <f t="shared" si="5"/>
        <v>6.1901840490797539</v>
      </c>
      <c r="U46" s="72">
        <v>0.33600000000000002</v>
      </c>
      <c r="V46" s="72">
        <f t="shared" si="14"/>
        <v>10.336309523809522</v>
      </c>
      <c r="W46" s="72">
        <v>0.67600000000000005</v>
      </c>
      <c r="X46" s="72">
        <v>0.13600000000000001</v>
      </c>
      <c r="Y46" s="72">
        <f t="shared" si="43"/>
        <v>4.9705882352941178</v>
      </c>
      <c r="Z46" s="72">
        <v>0.442</v>
      </c>
      <c r="AA46" s="72">
        <v>0.59499999999999997</v>
      </c>
      <c r="AB46" s="72">
        <f t="shared" si="31"/>
        <v>0.26491540516473727</v>
      </c>
      <c r="AC46" s="72">
        <v>1.238</v>
      </c>
      <c r="AD46" s="72">
        <f t="shared" si="34"/>
        <v>0.55120213713268029</v>
      </c>
      <c r="AE46" s="72">
        <v>0.13</v>
      </c>
      <c r="AF46" s="72">
        <f t="shared" si="9"/>
        <v>0.14023732470334413</v>
      </c>
      <c r="AG46" s="72">
        <f t="shared" si="50"/>
        <v>0.11092150170648465</v>
      </c>
      <c r="AH46" s="72">
        <f t="shared" si="40"/>
        <v>0.7975460122699386</v>
      </c>
      <c r="AI46" s="72">
        <v>9.5000000000000001E-2</v>
      </c>
      <c r="AJ46" s="72">
        <v>7.0999999999999994E-2</v>
      </c>
      <c r="AK46" s="72">
        <f t="shared" si="17"/>
        <v>1.3380281690140847</v>
      </c>
      <c r="AL46" s="72">
        <f t="shared" si="44"/>
        <v>0.73076923076923073</v>
      </c>
      <c r="AM46" s="72">
        <f t="shared" si="45"/>
        <v>0.58282208588957052</v>
      </c>
      <c r="AN46" s="72">
        <f t="shared" si="46"/>
        <v>0.10248112189859762</v>
      </c>
      <c r="AO46" s="72">
        <f t="shared" si="18"/>
        <v>0.38775510204081631</v>
      </c>
      <c r="AP46" s="72">
        <v>0.245</v>
      </c>
      <c r="AQ46" s="72">
        <v>7.8E-2</v>
      </c>
      <c r="AR46" s="72">
        <f t="shared" si="10"/>
        <v>0.10908281389136242</v>
      </c>
      <c r="AS46" s="72">
        <f t="shared" si="0"/>
        <v>3.141025641025641</v>
      </c>
      <c r="AT46" s="72">
        <f t="shared" si="39"/>
        <v>0.26429341963322545</v>
      </c>
      <c r="AU46" s="72">
        <v>0.13700000000000001</v>
      </c>
      <c r="AV46" s="72">
        <v>0.13800000000000001</v>
      </c>
      <c r="AW46" s="72">
        <f t="shared" si="22"/>
        <v>0.99275362318840576</v>
      </c>
      <c r="AX46" s="82">
        <f t="shared" si="15"/>
        <v>1.7883211678832116</v>
      </c>
      <c r="AY46" s="136">
        <v>4</v>
      </c>
      <c r="AZ46" s="136">
        <v>11</v>
      </c>
      <c r="BA46" s="136">
        <v>6</v>
      </c>
      <c r="BB46" s="136">
        <v>6</v>
      </c>
      <c r="BC46" s="143">
        <v>5</v>
      </c>
    </row>
    <row r="47" spans="2:55" ht="12.75" customHeight="1" x14ac:dyDescent="0.25">
      <c r="B47" s="69"/>
      <c r="C47" s="279"/>
      <c r="D47" s="279"/>
      <c r="E47" s="279"/>
      <c r="F47" s="72">
        <f>1.108+1.138</f>
        <v>2.246</v>
      </c>
      <c r="G47" s="82">
        <f>I47+J47+K47+L47+M47+N47+O47</f>
        <v>3.4080000000000004</v>
      </c>
      <c r="H47" s="82">
        <f>G47/F47</f>
        <v>1.5173642030276049</v>
      </c>
      <c r="I47" s="72">
        <v>0.106</v>
      </c>
      <c r="J47" s="72">
        <v>6.0999999999999999E-2</v>
      </c>
      <c r="K47" s="72">
        <v>0.92700000000000005</v>
      </c>
      <c r="L47" s="72">
        <v>0.55000000000000004</v>
      </c>
      <c r="M47" s="72">
        <v>0.58799999999999997</v>
      </c>
      <c r="N47" s="72">
        <v>0.17</v>
      </c>
      <c r="O47" s="72">
        <f>0.595+0.411</f>
        <v>1.006</v>
      </c>
      <c r="P47" s="72">
        <f t="shared" si="49"/>
        <v>1.1759999999999999</v>
      </c>
      <c r="Q47" s="82">
        <f t="shared" si="2"/>
        <v>1.268608414239482</v>
      </c>
      <c r="R47" s="82">
        <f t="shared" si="3"/>
        <v>0.634304207119741</v>
      </c>
      <c r="S47" s="82">
        <f t="shared" si="4"/>
        <v>0.59331175836030203</v>
      </c>
      <c r="T47" s="82">
        <f t="shared" si="5"/>
        <v>5.9176470588235288</v>
      </c>
      <c r="U47" s="72">
        <v>0.33600000000000002</v>
      </c>
      <c r="V47" s="72">
        <f t="shared" si="14"/>
        <v>10.142857142857144</v>
      </c>
      <c r="W47" s="72">
        <v>0.67400000000000004</v>
      </c>
      <c r="X47" s="72">
        <v>0.13300000000000001</v>
      </c>
      <c r="Y47" s="72">
        <f t="shared" si="43"/>
        <v>5.0676691729323311</v>
      </c>
      <c r="Z47" s="72">
        <v>0.437</v>
      </c>
      <c r="AA47" s="72">
        <v>0.58299999999999996</v>
      </c>
      <c r="AB47" s="72">
        <f t="shared" si="31"/>
        <v>0.25957257346393586</v>
      </c>
      <c r="AC47" s="72">
        <v>1.2050000000000001</v>
      </c>
      <c r="AD47" s="72">
        <f t="shared" si="34"/>
        <v>0.53650934995547639</v>
      </c>
      <c r="AE47" s="72">
        <v>0.13300000000000001</v>
      </c>
      <c r="AF47" s="72">
        <f t="shared" si="9"/>
        <v>0.14347357065803668</v>
      </c>
      <c r="AG47" s="72">
        <f t="shared" si="50"/>
        <v>0.11309523809523811</v>
      </c>
      <c r="AH47" s="72">
        <f t="shared" si="40"/>
        <v>0.78235294117647058</v>
      </c>
      <c r="AI47" s="72">
        <v>9.5000000000000001E-2</v>
      </c>
      <c r="AJ47" s="72">
        <v>7.0999999999999994E-2</v>
      </c>
      <c r="AK47" s="72">
        <f t="shared" si="17"/>
        <v>1.3380281690140847</v>
      </c>
      <c r="AL47" s="72">
        <f t="shared" si="44"/>
        <v>0.7142857142857143</v>
      </c>
      <c r="AM47" s="72">
        <f t="shared" si="45"/>
        <v>0.55882352941176472</v>
      </c>
      <c r="AN47" s="72">
        <f t="shared" si="46"/>
        <v>0.10248112189859762</v>
      </c>
      <c r="AO47" s="72">
        <f t="shared" si="18"/>
        <v>0.38775510204081631</v>
      </c>
      <c r="AP47" s="72">
        <v>0.245</v>
      </c>
      <c r="AQ47" s="72">
        <v>7.8E-2</v>
      </c>
      <c r="AR47" s="72">
        <f t="shared" si="10"/>
        <v>0.10908281389136242</v>
      </c>
      <c r="AS47" s="72">
        <f t="shared" si="0"/>
        <v>3.141025641025641</v>
      </c>
      <c r="AT47" s="72">
        <f t="shared" si="39"/>
        <v>0.26429341963322545</v>
      </c>
      <c r="AU47" s="72">
        <v>0.13700000000000001</v>
      </c>
      <c r="AV47" s="72">
        <v>0.13800000000000001</v>
      </c>
      <c r="AW47" s="72">
        <f t="shared" ref="AW47" si="53">AU47/AV47</f>
        <v>0.99275362318840576</v>
      </c>
      <c r="AX47" s="82">
        <f t="shared" ref="AX47" si="54">AP47/AU47</f>
        <v>1.7883211678832116</v>
      </c>
      <c r="AY47" s="134" t="s">
        <v>75</v>
      </c>
      <c r="AZ47" s="136">
        <v>13</v>
      </c>
      <c r="BA47" s="134" t="s">
        <v>75</v>
      </c>
      <c r="BB47" s="134" t="s">
        <v>75</v>
      </c>
      <c r="BC47" s="247" t="s">
        <v>75</v>
      </c>
    </row>
    <row r="48" spans="2:55" ht="12.75" customHeight="1" x14ac:dyDescent="0.25">
      <c r="B48" s="86">
        <v>27662</v>
      </c>
      <c r="C48" s="276" t="s">
        <v>311</v>
      </c>
      <c r="D48" s="275" t="s">
        <v>312</v>
      </c>
      <c r="E48" s="275" t="s">
        <v>216</v>
      </c>
      <c r="F48" s="78">
        <f>0.959+1.305</f>
        <v>2.2639999999999998</v>
      </c>
      <c r="G48" s="80">
        <f>I48+J48+K48+L48+M48+N48+O48</f>
        <v>3.008</v>
      </c>
      <c r="H48" s="80">
        <f>G48/F48</f>
        <v>1.3286219081272086</v>
      </c>
      <c r="I48" s="78">
        <v>9.7000000000000003E-2</v>
      </c>
      <c r="J48" s="78">
        <v>5.0999999999999997E-2</v>
      </c>
      <c r="K48" s="78">
        <v>0.76700000000000002</v>
      </c>
      <c r="L48" s="78">
        <v>0.58799999999999997</v>
      </c>
      <c r="M48" s="78">
        <v>0.55600000000000005</v>
      </c>
      <c r="N48" s="78">
        <v>0.13500000000000001</v>
      </c>
      <c r="O48" s="78">
        <v>0.81399999999999995</v>
      </c>
      <c r="P48" s="78">
        <f t="shared" si="49"/>
        <v>0.94899999999999995</v>
      </c>
      <c r="Q48" s="80">
        <f t="shared" si="2"/>
        <v>1.2372881355932202</v>
      </c>
      <c r="R48" s="80">
        <f t="shared" si="3"/>
        <v>0.72490221642764019</v>
      </c>
      <c r="S48" s="80">
        <f t="shared" si="4"/>
        <v>0.76662320730117339</v>
      </c>
      <c r="T48" s="80">
        <f t="shared" si="5"/>
        <v>6.0296296296296292</v>
      </c>
      <c r="U48" s="78">
        <v>0.32400000000000001</v>
      </c>
      <c r="V48" s="78">
        <f t="shared" si="14"/>
        <v>9.283950617283951</v>
      </c>
      <c r="W48" s="78">
        <v>0.57499999999999996</v>
      </c>
      <c r="X48" s="78">
        <v>0.125</v>
      </c>
      <c r="Y48" s="78">
        <f t="shared" si="43"/>
        <v>4.5999999999999996</v>
      </c>
      <c r="Z48" s="78">
        <v>0.35699999999999998</v>
      </c>
      <c r="AA48" s="78">
        <v>0.499</v>
      </c>
      <c r="AB48" s="78">
        <f t="shared" si="31"/>
        <v>0.22040636042402828</v>
      </c>
      <c r="AC48" s="78">
        <v>1.101</v>
      </c>
      <c r="AD48" s="78">
        <f t="shared" si="34"/>
        <v>0.48630742049469966</v>
      </c>
      <c r="AE48" s="78">
        <v>9.7000000000000003E-2</v>
      </c>
      <c r="AF48" s="78">
        <f t="shared" si="9"/>
        <v>0.12646675358539766</v>
      </c>
      <c r="AG48" s="78">
        <f t="shared" si="50"/>
        <v>0.10221285563751319</v>
      </c>
      <c r="AH48" s="78">
        <f t="shared" si="40"/>
        <v>0.71851851851851845</v>
      </c>
      <c r="AI48" s="78">
        <v>8.4000000000000005E-2</v>
      </c>
      <c r="AJ48" s="78">
        <v>6.0999999999999999E-2</v>
      </c>
      <c r="AK48" s="78">
        <f t="shared" si="17"/>
        <v>1.377049180327869</v>
      </c>
      <c r="AL48" s="78">
        <f t="shared" si="44"/>
        <v>0.865979381443299</v>
      </c>
      <c r="AM48" s="78">
        <f t="shared" si="45"/>
        <v>0.62222222222222223</v>
      </c>
      <c r="AN48" s="78">
        <f t="shared" si="46"/>
        <v>0.10951760104302477</v>
      </c>
      <c r="AO48" s="78">
        <f t="shared" si="18"/>
        <v>0.40579710144927539</v>
      </c>
      <c r="AP48" s="78">
        <v>0.20699999999999999</v>
      </c>
      <c r="AQ48" s="78">
        <v>7.0000000000000007E-2</v>
      </c>
      <c r="AR48" s="78">
        <f t="shared" si="10"/>
        <v>9.1431095406360421E-2</v>
      </c>
      <c r="AS48" s="78">
        <f t="shared" si="0"/>
        <v>2.9571428571428569</v>
      </c>
      <c r="AT48" s="78">
        <f t="shared" si="39"/>
        <v>0.26988265971316816</v>
      </c>
      <c r="AU48" s="78">
        <v>0.111</v>
      </c>
      <c r="AV48" s="78">
        <v>0.127</v>
      </c>
      <c r="AW48" s="78">
        <f t="shared" si="22"/>
        <v>0.87401574803149606</v>
      </c>
      <c r="AX48" s="80">
        <f t="shared" si="15"/>
        <v>1.8648648648648647</v>
      </c>
      <c r="AY48" s="137">
        <v>4</v>
      </c>
      <c r="AZ48" s="137">
        <v>12</v>
      </c>
      <c r="BA48" s="137">
        <v>9</v>
      </c>
      <c r="BB48" s="137">
        <v>7</v>
      </c>
      <c r="BC48" s="145">
        <v>8</v>
      </c>
    </row>
    <row r="49" spans="2:55" ht="12.75" customHeight="1" x14ac:dyDescent="0.25">
      <c r="B49" s="75"/>
      <c r="C49" s="275"/>
      <c r="D49" s="275"/>
      <c r="E49" s="275"/>
      <c r="F49" s="78">
        <f>0.959+1.305</f>
        <v>2.2639999999999998</v>
      </c>
      <c r="G49" s="80">
        <f t="shared" ref="G49:G54" si="55">I49+J49+K49+L49+M49+N49+O49</f>
        <v>2.8350000000000009</v>
      </c>
      <c r="H49" s="80">
        <f t="shared" ref="H49:H54" si="56">G49/F49</f>
        <v>1.2522084805653715</v>
      </c>
      <c r="I49" s="78">
        <v>9.4E-2</v>
      </c>
      <c r="J49" s="78">
        <v>5.5E-2</v>
      </c>
      <c r="K49" s="78">
        <v>0.75800000000000001</v>
      </c>
      <c r="L49" s="78">
        <v>0.55900000000000005</v>
      </c>
      <c r="M49" s="78">
        <v>0.56200000000000006</v>
      </c>
      <c r="N49" s="78">
        <v>0.13600000000000001</v>
      </c>
      <c r="O49" s="78">
        <v>0.67100000000000004</v>
      </c>
      <c r="P49" s="78">
        <f t="shared" si="49"/>
        <v>0.80700000000000005</v>
      </c>
      <c r="Q49" s="80">
        <f t="shared" si="2"/>
        <v>1.0646437994722955</v>
      </c>
      <c r="R49" s="80">
        <f t="shared" si="3"/>
        <v>0.74142480211081796</v>
      </c>
      <c r="S49" s="80">
        <f t="shared" si="4"/>
        <v>0.73746701846965701</v>
      </c>
      <c r="T49" s="80">
        <f t="shared" si="5"/>
        <v>4.9338235294117645</v>
      </c>
      <c r="U49" s="78">
        <v>0.32400000000000001</v>
      </c>
      <c r="V49" s="78">
        <f t="shared" si="14"/>
        <v>8.7500000000000018</v>
      </c>
      <c r="W49" s="78">
        <v>0.56200000000000006</v>
      </c>
      <c r="X49" s="78">
        <v>0.13600000000000001</v>
      </c>
      <c r="Y49" s="78">
        <f t="shared" si="43"/>
        <v>4.132352941176471</v>
      </c>
      <c r="Z49" s="78">
        <v>0.35399999999999998</v>
      </c>
      <c r="AA49" s="78">
        <v>0.501</v>
      </c>
      <c r="AB49" s="78">
        <f t="shared" si="31"/>
        <v>0.2212897526501767</v>
      </c>
      <c r="AC49" s="78">
        <v>1.0740000000000001</v>
      </c>
      <c r="AD49" s="78">
        <f t="shared" si="34"/>
        <v>0.47438162544169621</v>
      </c>
      <c r="AE49" s="78">
        <v>0.10299999999999999</v>
      </c>
      <c r="AF49" s="78">
        <f t="shared" si="9"/>
        <v>0.13588390501319261</v>
      </c>
      <c r="AG49" s="78">
        <f t="shared" si="50"/>
        <v>0.12763320941759601</v>
      </c>
      <c r="AH49" s="78">
        <f t="shared" si="40"/>
        <v>0.75735294117647045</v>
      </c>
      <c r="AI49" s="78">
        <v>8.4000000000000005E-2</v>
      </c>
      <c r="AJ49" s="78">
        <v>6.0999999999999999E-2</v>
      </c>
      <c r="AK49" s="78">
        <f t="shared" si="17"/>
        <v>1.377049180327869</v>
      </c>
      <c r="AL49" s="78">
        <f t="shared" si="44"/>
        <v>0.81553398058252435</v>
      </c>
      <c r="AM49" s="78">
        <f t="shared" si="45"/>
        <v>0.61764705882352944</v>
      </c>
      <c r="AN49" s="78">
        <f t="shared" si="46"/>
        <v>0.1108179419525066</v>
      </c>
      <c r="AO49" s="78">
        <f t="shared" si="18"/>
        <v>0.46153846153846156</v>
      </c>
      <c r="AP49" s="78">
        <v>0.182</v>
      </c>
      <c r="AQ49" s="78">
        <v>6.5000000000000002E-2</v>
      </c>
      <c r="AR49" s="78">
        <f t="shared" si="10"/>
        <v>8.0388692579505303E-2</v>
      </c>
      <c r="AS49" s="78">
        <f t="shared" si="0"/>
        <v>2.8</v>
      </c>
      <c r="AT49" s="78">
        <f t="shared" si="39"/>
        <v>0.24010554089709762</v>
      </c>
      <c r="AU49" s="78">
        <v>0.111</v>
      </c>
      <c r="AV49" s="78">
        <v>0.127</v>
      </c>
      <c r="AW49" s="78">
        <f t="shared" ref="AW49" si="57">AU49/AV49</f>
        <v>0.87401574803149606</v>
      </c>
      <c r="AX49" s="80">
        <f t="shared" ref="AX49" si="58">AP49/AU49</f>
        <v>1.6396396396396395</v>
      </c>
      <c r="AY49" s="135" t="s">
        <v>75</v>
      </c>
      <c r="AZ49" s="135" t="s">
        <v>75</v>
      </c>
      <c r="BA49" s="135" t="s">
        <v>75</v>
      </c>
      <c r="BB49" s="135" t="s">
        <v>75</v>
      </c>
      <c r="BC49" s="242" t="s">
        <v>75</v>
      </c>
    </row>
    <row r="50" spans="2:55" ht="12.75" customHeight="1" x14ac:dyDescent="0.25">
      <c r="B50" s="83">
        <v>27662</v>
      </c>
      <c r="C50" s="280" t="s">
        <v>311</v>
      </c>
      <c r="D50" s="279" t="s">
        <v>312</v>
      </c>
      <c r="E50" s="279" t="s">
        <v>216</v>
      </c>
      <c r="F50" s="72">
        <f>1.119+1.282</f>
        <v>2.4009999999999998</v>
      </c>
      <c r="G50" s="82">
        <f t="shared" si="55"/>
        <v>3.1509999999999998</v>
      </c>
      <c r="H50" s="82">
        <f t="shared" si="56"/>
        <v>1.3123698458975428</v>
      </c>
      <c r="I50" s="72">
        <v>0.104</v>
      </c>
      <c r="J50" s="72">
        <v>5.8999999999999997E-2</v>
      </c>
      <c r="K50" s="72">
        <v>0.82799999999999996</v>
      </c>
      <c r="L50" s="72">
        <v>0.63800000000000001</v>
      </c>
      <c r="M50" s="72">
        <v>0.66900000000000004</v>
      </c>
      <c r="N50" s="72">
        <v>0.14699999999999999</v>
      </c>
      <c r="O50" s="72">
        <v>0.70599999999999996</v>
      </c>
      <c r="P50" s="72">
        <f t="shared" si="49"/>
        <v>0.85299999999999998</v>
      </c>
      <c r="Q50" s="82">
        <f t="shared" si="2"/>
        <v>1.030193236714976</v>
      </c>
      <c r="R50" s="82">
        <f t="shared" si="3"/>
        <v>0.80797101449275366</v>
      </c>
      <c r="S50" s="82">
        <f t="shared" si="4"/>
        <v>0.77053140096618367</v>
      </c>
      <c r="T50" s="82">
        <f t="shared" si="5"/>
        <v>4.8027210884353737</v>
      </c>
      <c r="U50" s="72">
        <v>0.32600000000000001</v>
      </c>
      <c r="V50" s="72">
        <f t="shared" si="14"/>
        <v>9.6656441717791406</v>
      </c>
      <c r="W50" s="72">
        <v>0.69699999999999995</v>
      </c>
      <c r="X50" s="72">
        <v>0.14499999999999999</v>
      </c>
      <c r="Y50" s="72">
        <f t="shared" si="43"/>
        <v>4.8068965517241375</v>
      </c>
      <c r="Z50" s="72">
        <v>0.44700000000000001</v>
      </c>
      <c r="AA50" s="72">
        <v>0.60199999999999998</v>
      </c>
      <c r="AB50" s="72">
        <f t="shared" si="31"/>
        <v>0.25072886297376096</v>
      </c>
      <c r="AC50" s="72">
        <v>1.2709999999999999</v>
      </c>
      <c r="AD50" s="72">
        <f t="shared" si="34"/>
        <v>0.529362765514369</v>
      </c>
      <c r="AE50" s="72">
        <v>0.129</v>
      </c>
      <c r="AF50" s="72">
        <f t="shared" si="9"/>
        <v>0.15579710144927539</v>
      </c>
      <c r="AG50" s="72">
        <f t="shared" si="50"/>
        <v>0.15123094958968347</v>
      </c>
      <c r="AH50" s="72">
        <f t="shared" si="40"/>
        <v>0.87755102040816335</v>
      </c>
      <c r="AI50" s="72">
        <v>9.8000000000000004E-2</v>
      </c>
      <c r="AJ50" s="72">
        <v>6.2E-2</v>
      </c>
      <c r="AK50" s="72">
        <f t="shared" si="17"/>
        <v>1.5806451612903227</v>
      </c>
      <c r="AL50" s="72">
        <f t="shared" si="44"/>
        <v>0.75968992248062017</v>
      </c>
      <c r="AM50" s="72">
        <f t="shared" si="45"/>
        <v>0.66666666666666674</v>
      </c>
      <c r="AN50" s="72">
        <f t="shared" si="46"/>
        <v>0.11835748792270533</v>
      </c>
      <c r="AO50" s="72">
        <f t="shared" si="18"/>
        <v>0.41525423728813565</v>
      </c>
      <c r="AP50" s="72">
        <v>0.23599999999999999</v>
      </c>
      <c r="AQ50" s="72">
        <v>8.5000000000000006E-2</v>
      </c>
      <c r="AR50" s="72">
        <f t="shared" si="10"/>
        <v>9.8292378175760101E-2</v>
      </c>
      <c r="AS50" s="72">
        <f t="shared" si="0"/>
        <v>2.7764705882352936</v>
      </c>
      <c r="AT50" s="72">
        <f t="shared" si="39"/>
        <v>0.28502415458937197</v>
      </c>
      <c r="AU50" s="72">
        <v>0.1</v>
      </c>
      <c r="AV50" s="72">
        <v>0.128</v>
      </c>
      <c r="AW50" s="72">
        <f t="shared" si="22"/>
        <v>0.78125</v>
      </c>
      <c r="AX50" s="82">
        <f t="shared" si="15"/>
        <v>2.36</v>
      </c>
      <c r="AY50" s="136">
        <v>4</v>
      </c>
      <c r="AZ50" s="136">
        <v>13</v>
      </c>
      <c r="BA50" s="136">
        <v>9</v>
      </c>
      <c r="BB50" s="136">
        <v>7</v>
      </c>
      <c r="BC50" s="143">
        <v>8</v>
      </c>
    </row>
    <row r="51" spans="2:55" ht="12.75" customHeight="1" x14ac:dyDescent="0.25">
      <c r="B51" s="69"/>
      <c r="C51" s="279"/>
      <c r="D51" s="279"/>
      <c r="E51" s="279"/>
      <c r="F51" s="72">
        <f>1.119+1.282</f>
        <v>2.4009999999999998</v>
      </c>
      <c r="G51" s="82">
        <f t="shared" si="55"/>
        <v>3.64</v>
      </c>
      <c r="H51" s="82">
        <f t="shared" si="56"/>
        <v>1.5160349854227406</v>
      </c>
      <c r="I51" s="72">
        <v>9.5000000000000001E-2</v>
      </c>
      <c r="J51" s="72">
        <v>5.7000000000000002E-2</v>
      </c>
      <c r="K51" s="72">
        <v>0.84399999999999997</v>
      </c>
      <c r="L51" s="72">
        <v>0.64100000000000001</v>
      </c>
      <c r="M51" s="72">
        <v>0.66900000000000004</v>
      </c>
      <c r="N51" s="72">
        <v>0.14899999999999999</v>
      </c>
      <c r="O51" s="72">
        <v>1.1850000000000001</v>
      </c>
      <c r="P51" s="72">
        <f t="shared" si="49"/>
        <v>1.3340000000000001</v>
      </c>
      <c r="Q51" s="82">
        <f t="shared" si="2"/>
        <v>1.580568720379147</v>
      </c>
      <c r="R51" s="82">
        <f t="shared" si="3"/>
        <v>0.79265402843601906</v>
      </c>
      <c r="S51" s="82">
        <f t="shared" si="4"/>
        <v>0.75947867298578198</v>
      </c>
      <c r="T51" s="82">
        <f t="shared" si="5"/>
        <v>7.953020134228189</v>
      </c>
      <c r="U51" s="72">
        <v>0.32600000000000001</v>
      </c>
      <c r="V51" s="72">
        <f t="shared" si="14"/>
        <v>11.165644171779141</v>
      </c>
      <c r="W51" s="72">
        <v>0.66300000000000003</v>
      </c>
      <c r="X51" s="72">
        <v>0.121</v>
      </c>
      <c r="Y51" s="72">
        <f t="shared" si="43"/>
        <v>5.4793388429752072</v>
      </c>
      <c r="Z51" s="72">
        <v>0.41899999999999998</v>
      </c>
      <c r="AA51" s="72">
        <v>0.57999999999999996</v>
      </c>
      <c r="AB51" s="72">
        <f t="shared" si="31"/>
        <v>0.24156601416076634</v>
      </c>
      <c r="AC51" s="72">
        <v>1.252</v>
      </c>
      <c r="AD51" s="72">
        <f t="shared" si="34"/>
        <v>0.52144939608496466</v>
      </c>
      <c r="AE51" s="72">
        <v>0.124</v>
      </c>
      <c r="AF51" s="72">
        <f t="shared" si="9"/>
        <v>0.14691943127962084</v>
      </c>
      <c r="AG51" s="72">
        <f t="shared" si="50"/>
        <v>9.2953523238380797E-2</v>
      </c>
      <c r="AH51" s="72">
        <f t="shared" si="40"/>
        <v>0.83221476510067116</v>
      </c>
      <c r="AI51" s="72">
        <v>9.8000000000000004E-2</v>
      </c>
      <c r="AJ51" s="72">
        <v>6.2E-2</v>
      </c>
      <c r="AK51" s="72">
        <f t="shared" si="17"/>
        <v>1.5806451612903227</v>
      </c>
      <c r="AL51" s="72">
        <f t="shared" si="44"/>
        <v>0.79032258064516137</v>
      </c>
      <c r="AM51" s="72">
        <f t="shared" si="45"/>
        <v>0.65771812080536918</v>
      </c>
      <c r="AN51" s="72">
        <f t="shared" si="46"/>
        <v>0.11611374407582939</v>
      </c>
      <c r="AO51" s="72">
        <f t="shared" si="18"/>
        <v>0.42608695652173911</v>
      </c>
      <c r="AP51" s="72">
        <v>0.23</v>
      </c>
      <c r="AQ51" s="72">
        <v>7.8E-2</v>
      </c>
      <c r="AR51" s="72">
        <f t="shared" si="10"/>
        <v>9.5793419408579772E-2</v>
      </c>
      <c r="AS51" s="72">
        <f t="shared" si="0"/>
        <v>2.9487179487179489</v>
      </c>
      <c r="AT51" s="72">
        <f t="shared" si="39"/>
        <v>0.27251184834123227</v>
      </c>
      <c r="AU51" s="72">
        <v>0.1</v>
      </c>
      <c r="AV51" s="72">
        <v>0.128</v>
      </c>
      <c r="AW51" s="72">
        <f t="shared" ref="AW51" si="59">AU51/AV51</f>
        <v>0.78125</v>
      </c>
      <c r="AX51" s="82">
        <f t="shared" ref="AX51" si="60">AP51/AU51</f>
        <v>2.2999999999999998</v>
      </c>
      <c r="AY51" s="134" t="s">
        <v>75</v>
      </c>
      <c r="AZ51" s="136">
        <v>16</v>
      </c>
      <c r="BA51" s="134" t="s">
        <v>75</v>
      </c>
      <c r="BB51" s="134" t="s">
        <v>75</v>
      </c>
      <c r="BC51" s="247" t="s">
        <v>75</v>
      </c>
    </row>
    <row r="52" spans="2:55" ht="12.75" customHeight="1" x14ac:dyDescent="0.25">
      <c r="B52" s="86">
        <v>25404</v>
      </c>
      <c r="C52" s="276" t="s">
        <v>311</v>
      </c>
      <c r="D52" s="275" t="s">
        <v>316</v>
      </c>
      <c r="E52" s="275" t="s">
        <v>184</v>
      </c>
      <c r="F52" s="78">
        <f>1.275+1.19</f>
        <v>2.4649999999999999</v>
      </c>
      <c r="G52" s="80">
        <f t="shared" si="55"/>
        <v>4.109</v>
      </c>
      <c r="H52" s="80">
        <f t="shared" si="56"/>
        <v>1.6669371196754565</v>
      </c>
      <c r="I52" s="78">
        <v>0.11</v>
      </c>
      <c r="J52" s="78">
        <v>4.7E-2</v>
      </c>
      <c r="K52" s="78">
        <v>0.97199999999999998</v>
      </c>
      <c r="L52" s="78">
        <v>0.77900000000000003</v>
      </c>
      <c r="M52" s="78">
        <v>0.70499999999999996</v>
      </c>
      <c r="N52" s="78">
        <v>0.17</v>
      </c>
      <c r="O52" s="78">
        <f>0.715+0.611</f>
        <v>1.3260000000000001</v>
      </c>
      <c r="P52" s="78">
        <f t="shared" si="49"/>
        <v>1.496</v>
      </c>
      <c r="Q52" s="80">
        <f t="shared" si="2"/>
        <v>1.5390946502057614</v>
      </c>
      <c r="R52" s="80">
        <f t="shared" si="3"/>
        <v>0.72530864197530864</v>
      </c>
      <c r="S52" s="80">
        <f t="shared" si="4"/>
        <v>0.80144032921810704</v>
      </c>
      <c r="T52" s="80">
        <f t="shared" si="5"/>
        <v>7.8</v>
      </c>
      <c r="U52" s="78">
        <v>0.38800000000000001</v>
      </c>
      <c r="V52" s="78">
        <f t="shared" si="14"/>
        <v>10.590206185567009</v>
      </c>
      <c r="W52" s="78">
        <v>0.83399999999999996</v>
      </c>
      <c r="X52" s="78">
        <v>0.155</v>
      </c>
      <c r="Y52" s="78">
        <f t="shared" si="43"/>
        <v>5.3806451612903228</v>
      </c>
      <c r="Z52" s="78">
        <v>0.51200000000000001</v>
      </c>
      <c r="AA52" s="78">
        <v>0.72399999999999998</v>
      </c>
      <c r="AB52" s="78">
        <f t="shared" si="31"/>
        <v>0.29371196754563894</v>
      </c>
      <c r="AC52" s="78">
        <v>1.4770000000000001</v>
      </c>
      <c r="AD52" s="78">
        <f t="shared" si="34"/>
        <v>0.59918864097363089</v>
      </c>
      <c r="AE52" s="78">
        <v>0.121</v>
      </c>
      <c r="AF52" s="78">
        <f t="shared" si="9"/>
        <v>0.12448559670781893</v>
      </c>
      <c r="AG52" s="78">
        <f t="shared" si="50"/>
        <v>8.0882352941176475E-2</v>
      </c>
      <c r="AH52" s="78">
        <f t="shared" si="40"/>
        <v>0.71176470588235285</v>
      </c>
      <c r="AI52" s="78">
        <v>0.105</v>
      </c>
      <c r="AJ52" s="78">
        <v>6.2E-2</v>
      </c>
      <c r="AK52" s="78">
        <f t="shared" si="17"/>
        <v>1.6935483870967742</v>
      </c>
      <c r="AL52" s="78">
        <f t="shared" si="44"/>
        <v>0.86776859504132231</v>
      </c>
      <c r="AM52" s="78">
        <f t="shared" si="45"/>
        <v>0.61764705882352933</v>
      </c>
      <c r="AN52" s="78">
        <f t="shared" si="46"/>
        <v>0.10802469135802469</v>
      </c>
      <c r="AO52" s="78">
        <f t="shared" si="18"/>
        <v>0.34883720930232559</v>
      </c>
      <c r="AP52" s="78">
        <v>0.30099999999999999</v>
      </c>
      <c r="AQ52" s="78">
        <v>0.108</v>
      </c>
      <c r="AR52" s="78">
        <f t="shared" si="10"/>
        <v>0.12210953346855984</v>
      </c>
      <c r="AS52" s="78">
        <f t="shared" si="0"/>
        <v>2.7870370370370368</v>
      </c>
      <c r="AT52" s="78">
        <f t="shared" si="39"/>
        <v>0.30967078189300412</v>
      </c>
      <c r="AU52" s="79" t="s">
        <v>75</v>
      </c>
      <c r="AV52" s="79" t="s">
        <v>75</v>
      </c>
      <c r="AW52" s="79" t="s">
        <v>75</v>
      </c>
      <c r="AX52" s="114" t="s">
        <v>75</v>
      </c>
      <c r="AY52" s="140" t="s">
        <v>75</v>
      </c>
      <c r="AZ52" s="137">
        <v>21</v>
      </c>
      <c r="BA52" s="135" t="s">
        <v>75</v>
      </c>
      <c r="BB52" s="135" t="s">
        <v>75</v>
      </c>
      <c r="BC52" s="242" t="s">
        <v>75</v>
      </c>
    </row>
    <row r="53" spans="2:55" ht="12.75" customHeight="1" x14ac:dyDescent="0.25">
      <c r="B53" s="75"/>
      <c r="C53" s="275"/>
      <c r="D53" s="275"/>
      <c r="E53" s="275"/>
      <c r="F53" s="78">
        <f>1.275+1.19</f>
        <v>2.4649999999999999</v>
      </c>
      <c r="G53" s="114" t="s">
        <v>75</v>
      </c>
      <c r="H53" s="114" t="s">
        <v>75</v>
      </c>
      <c r="I53" s="78">
        <v>0.109</v>
      </c>
      <c r="J53" s="78">
        <v>4.9000000000000002E-2</v>
      </c>
      <c r="K53" s="78">
        <v>1.006</v>
      </c>
      <c r="L53" s="78">
        <v>0.76300000000000001</v>
      </c>
      <c r="M53" s="79" t="s">
        <v>75</v>
      </c>
      <c r="N53" s="79" t="s">
        <v>75</v>
      </c>
      <c r="O53" s="79" t="s">
        <v>75</v>
      </c>
      <c r="P53" s="79" t="s">
        <v>75</v>
      </c>
      <c r="Q53" s="114" t="s">
        <v>75</v>
      </c>
      <c r="R53" s="114" t="s">
        <v>75</v>
      </c>
      <c r="S53" s="80">
        <f t="shared" si="4"/>
        <v>0.75844930417495027</v>
      </c>
      <c r="T53" s="114" t="s">
        <v>75</v>
      </c>
      <c r="U53" s="78">
        <v>0.38800000000000001</v>
      </c>
      <c r="V53" s="79" t="s">
        <v>75</v>
      </c>
      <c r="W53" s="78">
        <v>0.874</v>
      </c>
      <c r="X53" s="78">
        <v>0.16300000000000001</v>
      </c>
      <c r="Y53" s="78">
        <f t="shared" si="43"/>
        <v>5.3619631901840492</v>
      </c>
      <c r="Z53" s="78">
        <v>0.498</v>
      </c>
      <c r="AA53" s="78">
        <v>0.70599999999999996</v>
      </c>
      <c r="AB53" s="78">
        <f t="shared" si="31"/>
        <v>0.28640973630831645</v>
      </c>
      <c r="AC53" s="78">
        <v>1.4610000000000001</v>
      </c>
      <c r="AD53" s="78">
        <f t="shared" si="34"/>
        <v>0.59269776876267755</v>
      </c>
      <c r="AE53" s="78">
        <v>0.13700000000000001</v>
      </c>
      <c r="AF53" s="78">
        <f t="shared" si="9"/>
        <v>0.13618290258449306</v>
      </c>
      <c r="AG53" s="79" t="s">
        <v>75</v>
      </c>
      <c r="AH53" s="79" t="s">
        <v>75</v>
      </c>
      <c r="AI53" s="78">
        <v>0.105</v>
      </c>
      <c r="AJ53" s="78">
        <v>6.2E-2</v>
      </c>
      <c r="AK53" s="78">
        <f t="shared" si="17"/>
        <v>1.6935483870967742</v>
      </c>
      <c r="AL53" s="78">
        <f t="shared" si="44"/>
        <v>0.76642335766423353</v>
      </c>
      <c r="AM53" s="79" t="s">
        <v>75</v>
      </c>
      <c r="AN53" s="78">
        <f t="shared" si="46"/>
        <v>0.10437375745526839</v>
      </c>
      <c r="AO53" s="78">
        <f t="shared" si="18"/>
        <v>0.3511705685618729</v>
      </c>
      <c r="AP53" s="78">
        <v>0.29899999999999999</v>
      </c>
      <c r="AQ53" s="78">
        <v>0.114</v>
      </c>
      <c r="AR53" s="78">
        <f t="shared" si="10"/>
        <v>0.12129817444219067</v>
      </c>
      <c r="AS53" s="78">
        <f t="shared" si="0"/>
        <v>2.6228070175438596</v>
      </c>
      <c r="AT53" s="78">
        <f t="shared" si="39"/>
        <v>0.29721669980119281</v>
      </c>
      <c r="AU53" s="79" t="s">
        <v>75</v>
      </c>
      <c r="AV53" s="79" t="s">
        <v>75</v>
      </c>
      <c r="AW53" s="79" t="s">
        <v>75</v>
      </c>
      <c r="AX53" s="114" t="s">
        <v>75</v>
      </c>
      <c r="AY53" s="140" t="s">
        <v>75</v>
      </c>
      <c r="AZ53" s="137">
        <v>22</v>
      </c>
      <c r="BA53" s="135" t="s">
        <v>75</v>
      </c>
      <c r="BB53" s="135" t="s">
        <v>75</v>
      </c>
      <c r="BC53" s="242" t="s">
        <v>75</v>
      </c>
    </row>
    <row r="54" spans="2:55" ht="12.75" customHeight="1" x14ac:dyDescent="0.25">
      <c r="B54" s="83">
        <v>25404</v>
      </c>
      <c r="C54" s="280" t="s">
        <v>311</v>
      </c>
      <c r="D54" s="279" t="s">
        <v>316</v>
      </c>
      <c r="E54" s="279" t="s">
        <v>184</v>
      </c>
      <c r="F54" s="72">
        <f>1.104+1.308</f>
        <v>2.4119999999999999</v>
      </c>
      <c r="G54" s="82">
        <f t="shared" si="55"/>
        <v>3.4719999999999995</v>
      </c>
      <c r="H54" s="82">
        <f t="shared" si="56"/>
        <v>1.4394693200663349</v>
      </c>
      <c r="I54" s="72">
        <v>0.114</v>
      </c>
      <c r="J54" s="72">
        <v>4.8000000000000001E-2</v>
      </c>
      <c r="K54" s="72">
        <v>0.88600000000000001</v>
      </c>
      <c r="L54" s="72">
        <v>0.70699999999999996</v>
      </c>
      <c r="M54" s="72">
        <v>0.71199999999999997</v>
      </c>
      <c r="N54" s="72">
        <v>0.16800000000000001</v>
      </c>
      <c r="O54" s="72">
        <v>0.83699999999999997</v>
      </c>
      <c r="P54" s="72">
        <f>N:N+O:O</f>
        <v>1.0049999999999999</v>
      </c>
      <c r="Q54" s="82">
        <f t="shared" si="2"/>
        <v>1.1343115124153498</v>
      </c>
      <c r="R54" s="82">
        <f t="shared" si="3"/>
        <v>0.80361173814898412</v>
      </c>
      <c r="S54" s="82">
        <f t="shared" si="4"/>
        <v>0.79796839729119629</v>
      </c>
      <c r="T54" s="82">
        <f t="shared" si="5"/>
        <v>4.9821428571428568</v>
      </c>
      <c r="U54" s="72">
        <v>0.33400000000000002</v>
      </c>
      <c r="V54" s="72">
        <f t="shared" si="14"/>
        <v>10.395209580838321</v>
      </c>
      <c r="W54" s="72">
        <v>0.69799999999999995</v>
      </c>
      <c r="X54" s="72">
        <v>0.14099999999999999</v>
      </c>
      <c r="Y54" s="72">
        <f t="shared" si="43"/>
        <v>4.9503546099290778</v>
      </c>
      <c r="Z54" s="72">
        <v>0.41599999999999998</v>
      </c>
      <c r="AA54" s="72">
        <v>0.58799999999999997</v>
      </c>
      <c r="AB54" s="72">
        <f t="shared" si="31"/>
        <v>0.24378109452736318</v>
      </c>
      <c r="AC54" s="72">
        <v>1.302</v>
      </c>
      <c r="AD54" s="72">
        <f t="shared" si="34"/>
        <v>0.53980099502487566</v>
      </c>
      <c r="AE54" s="72">
        <v>0.124</v>
      </c>
      <c r="AF54" s="72">
        <f t="shared" si="9"/>
        <v>0.1399548532731377</v>
      </c>
      <c r="AG54" s="72">
        <f>AE:AE/P:P</f>
        <v>0.12338308457711444</v>
      </c>
      <c r="AH54" s="72">
        <f>AE54/N54</f>
        <v>0.73809523809523803</v>
      </c>
      <c r="AI54" s="72">
        <v>8.2000000000000003E-2</v>
      </c>
      <c r="AJ54" s="72">
        <v>5.6000000000000001E-2</v>
      </c>
      <c r="AK54" s="72">
        <f t="shared" si="17"/>
        <v>1.4642857142857144</v>
      </c>
      <c r="AL54" s="72">
        <f t="shared" si="44"/>
        <v>0.66129032258064524</v>
      </c>
      <c r="AM54" s="72">
        <f>AI54/N54</f>
        <v>0.48809523809523808</v>
      </c>
      <c r="AN54" s="72">
        <f t="shared" si="46"/>
        <v>9.2550790067720087E-2</v>
      </c>
      <c r="AO54" s="72">
        <f t="shared" si="18"/>
        <v>0.354978354978355</v>
      </c>
      <c r="AP54" s="72">
        <v>0.23100000000000001</v>
      </c>
      <c r="AQ54" s="72">
        <v>9.6000000000000002E-2</v>
      </c>
      <c r="AR54" s="72">
        <f t="shared" si="10"/>
        <v>9.5771144278606973E-2</v>
      </c>
      <c r="AS54" s="72">
        <f t="shared" si="0"/>
        <v>2.40625</v>
      </c>
      <c r="AT54" s="72">
        <f t="shared" si="39"/>
        <v>0.26072234762979685</v>
      </c>
      <c r="AU54" s="72">
        <v>0.11</v>
      </c>
      <c r="AV54" s="72">
        <v>0.126</v>
      </c>
      <c r="AW54" s="72">
        <f t="shared" si="22"/>
        <v>0.87301587301587302</v>
      </c>
      <c r="AX54" s="82">
        <f t="shared" si="15"/>
        <v>2.1</v>
      </c>
      <c r="AY54" s="136">
        <v>4</v>
      </c>
      <c r="AZ54" s="136">
        <v>17</v>
      </c>
      <c r="BA54" s="136">
        <v>10</v>
      </c>
      <c r="BB54" s="136">
        <v>7</v>
      </c>
      <c r="BC54" s="143">
        <v>4</v>
      </c>
    </row>
    <row r="55" spans="2:55" ht="12.75" customHeight="1" x14ac:dyDescent="0.25">
      <c r="B55" s="119"/>
      <c r="C55" s="281"/>
      <c r="D55" s="281"/>
      <c r="E55" s="281"/>
      <c r="F55" s="121">
        <f>1.104+1.308</f>
        <v>2.4119999999999999</v>
      </c>
      <c r="G55" s="123" t="s">
        <v>75</v>
      </c>
      <c r="H55" s="123" t="s">
        <v>75</v>
      </c>
      <c r="I55" s="121">
        <v>0.10299999999999999</v>
      </c>
      <c r="J55" s="121">
        <v>0.05</v>
      </c>
      <c r="K55" s="121">
        <v>0.86799999999999999</v>
      </c>
      <c r="L55" s="121">
        <v>0.70299999999999996</v>
      </c>
      <c r="M55" s="228" t="s">
        <v>75</v>
      </c>
      <c r="N55" s="228" t="s">
        <v>75</v>
      </c>
      <c r="O55" s="228" t="s">
        <v>75</v>
      </c>
      <c r="P55" s="228" t="s">
        <v>75</v>
      </c>
      <c r="Q55" s="228" t="s">
        <v>75</v>
      </c>
      <c r="R55" s="123" t="s">
        <v>75</v>
      </c>
      <c r="S55" s="122">
        <f t="shared" si="4"/>
        <v>0.80990783410138245</v>
      </c>
      <c r="T55" s="123" t="s">
        <v>75</v>
      </c>
      <c r="U55" s="121">
        <v>0.33400000000000002</v>
      </c>
      <c r="V55" s="228" t="s">
        <v>75</v>
      </c>
      <c r="W55" s="121">
        <v>0.68500000000000005</v>
      </c>
      <c r="X55" s="121">
        <v>0.14099999999999999</v>
      </c>
      <c r="Y55" s="121">
        <f t="shared" si="43"/>
        <v>4.8581560283687955</v>
      </c>
      <c r="Z55" s="121">
        <v>0.43099999999999999</v>
      </c>
      <c r="AA55" s="121">
        <v>0.59599999999999997</v>
      </c>
      <c r="AB55" s="121">
        <f t="shared" si="31"/>
        <v>0.24709784411276947</v>
      </c>
      <c r="AC55" s="121">
        <v>1.29</v>
      </c>
      <c r="AD55" s="121">
        <f t="shared" si="34"/>
        <v>0.53482587064676623</v>
      </c>
      <c r="AE55" s="121">
        <v>0.13100000000000001</v>
      </c>
      <c r="AF55" s="121">
        <f t="shared" si="9"/>
        <v>0.15092165898617513</v>
      </c>
      <c r="AG55" s="228" t="s">
        <v>75</v>
      </c>
      <c r="AH55" s="228" t="s">
        <v>75</v>
      </c>
      <c r="AI55" s="121">
        <v>8.2000000000000003E-2</v>
      </c>
      <c r="AJ55" s="121">
        <v>5.6000000000000001E-2</v>
      </c>
      <c r="AK55" s="121">
        <f t="shared" si="17"/>
        <v>1.4642857142857144</v>
      </c>
      <c r="AL55" s="121">
        <f t="shared" si="44"/>
        <v>0.62595419847328249</v>
      </c>
      <c r="AM55" s="228" t="s">
        <v>75</v>
      </c>
      <c r="AN55" s="121">
        <f t="shared" si="46"/>
        <v>9.4470046082949316E-2</v>
      </c>
      <c r="AO55" s="228" t="s">
        <v>75</v>
      </c>
      <c r="AP55" s="228" t="s">
        <v>75</v>
      </c>
      <c r="AQ55" s="228" t="s">
        <v>75</v>
      </c>
      <c r="AR55" s="228" t="s">
        <v>75</v>
      </c>
      <c r="AS55" s="228" t="s">
        <v>75</v>
      </c>
      <c r="AT55" s="228" t="s">
        <v>75</v>
      </c>
      <c r="AU55" s="121">
        <v>0.11</v>
      </c>
      <c r="AV55" s="121">
        <v>0.126</v>
      </c>
      <c r="AW55" s="121">
        <f t="shared" ref="AW55" si="61">AU55/AV55</f>
        <v>0.87301587301587302</v>
      </c>
      <c r="AX55" s="123" t="s">
        <v>75</v>
      </c>
      <c r="AY55" s="249" t="s">
        <v>75</v>
      </c>
      <c r="AZ55" s="144">
        <v>18</v>
      </c>
      <c r="BA55" s="249" t="s">
        <v>75</v>
      </c>
      <c r="BB55" s="249" t="s">
        <v>75</v>
      </c>
      <c r="BC55" s="250" t="s">
        <v>75</v>
      </c>
    </row>
    <row r="56" spans="2:55" ht="12.75" customHeight="1" x14ac:dyDescent="0.25">
      <c r="B56" s="7"/>
      <c r="E56" s="2" t="s">
        <v>25</v>
      </c>
      <c r="F56" s="8">
        <f>MIN(F3:F55)</f>
        <v>1.5509999999999999</v>
      </c>
      <c r="G56" s="8">
        <f t="shared" ref="G56:BC56" si="62">MIN(G3:G55)</f>
        <v>2.8350000000000009</v>
      </c>
      <c r="H56" s="8">
        <f t="shared" si="62"/>
        <v>1.135658914728682</v>
      </c>
      <c r="I56" s="8">
        <f t="shared" si="62"/>
        <v>8.1000000000000003E-2</v>
      </c>
      <c r="J56" s="8">
        <f t="shared" si="62"/>
        <v>4.7E-2</v>
      </c>
      <c r="K56" s="8">
        <f t="shared" si="62"/>
        <v>0.74</v>
      </c>
      <c r="L56" s="8">
        <f t="shared" si="62"/>
        <v>0.48399999999999999</v>
      </c>
      <c r="M56" s="8">
        <f t="shared" si="62"/>
        <v>0.443</v>
      </c>
      <c r="N56" s="8">
        <f t="shared" si="62"/>
        <v>0.12</v>
      </c>
      <c r="O56" s="8">
        <f t="shared" si="62"/>
        <v>0.61499999999999999</v>
      </c>
      <c r="P56" s="8">
        <f t="shared" si="62"/>
        <v>0.75900000000000001</v>
      </c>
      <c r="Q56" s="8">
        <f t="shared" si="62"/>
        <v>0.86941580756013748</v>
      </c>
      <c r="R56" s="8">
        <f t="shared" si="62"/>
        <v>0.50100401606425704</v>
      </c>
      <c r="S56" s="8">
        <f t="shared" si="62"/>
        <v>0.57259713701431503</v>
      </c>
      <c r="T56" s="8">
        <f t="shared" si="62"/>
        <v>4.2708333333333339</v>
      </c>
      <c r="U56" s="8">
        <f t="shared" si="62"/>
        <v>0.26700000000000002</v>
      </c>
      <c r="V56" s="8">
        <f>MIN(V3:V55)</f>
        <v>8.5247252747252737</v>
      </c>
      <c r="W56" s="8">
        <f t="shared" si="62"/>
        <v>0.51</v>
      </c>
      <c r="X56" s="8">
        <f t="shared" si="62"/>
        <v>0.10100000000000001</v>
      </c>
      <c r="Y56" s="8">
        <f t="shared" si="62"/>
        <v>3.6839080459770117</v>
      </c>
      <c r="Z56" s="8">
        <f t="shared" si="62"/>
        <v>0.35399999999999998</v>
      </c>
      <c r="AA56" s="8">
        <f t="shared" si="62"/>
        <v>0.499</v>
      </c>
      <c r="AB56" s="8">
        <f t="shared" si="62"/>
        <v>0.22040636042402828</v>
      </c>
      <c r="AC56" s="8">
        <f t="shared" si="62"/>
        <v>1.05</v>
      </c>
      <c r="AD56" s="8">
        <f t="shared" si="62"/>
        <v>0.41155234657039702</v>
      </c>
      <c r="AE56" s="8">
        <f t="shared" si="62"/>
        <v>9.7000000000000003E-2</v>
      </c>
      <c r="AF56" s="8">
        <f t="shared" si="62"/>
        <v>0.12448559670781893</v>
      </c>
      <c r="AG56" s="8">
        <f t="shared" si="62"/>
        <v>8.0882352941176475E-2</v>
      </c>
      <c r="AH56" s="8">
        <f t="shared" si="62"/>
        <v>0.6900584795321637</v>
      </c>
      <c r="AI56" s="8">
        <f t="shared" si="62"/>
        <v>8.2000000000000003E-2</v>
      </c>
      <c r="AJ56" s="8">
        <f t="shared" si="62"/>
        <v>0.05</v>
      </c>
      <c r="AK56" s="8">
        <f t="shared" si="62"/>
        <v>1.3098591549295775</v>
      </c>
      <c r="AL56" s="8">
        <f t="shared" si="62"/>
        <v>0.62595419847328249</v>
      </c>
      <c r="AM56" s="8">
        <f t="shared" si="62"/>
        <v>0.48809523809523808</v>
      </c>
      <c r="AN56" s="8">
        <f t="shared" si="62"/>
        <v>9.2550790067720087E-2</v>
      </c>
      <c r="AO56" s="8">
        <f t="shared" si="62"/>
        <v>0.33214285714285713</v>
      </c>
      <c r="AP56" s="8">
        <f t="shared" si="62"/>
        <v>0.182</v>
      </c>
      <c r="AQ56" s="8">
        <f t="shared" si="62"/>
        <v>6.5000000000000002E-2</v>
      </c>
      <c r="AR56" s="8">
        <f t="shared" si="62"/>
        <v>8.0388692579505303E-2</v>
      </c>
      <c r="AS56" s="8">
        <f t="shared" si="62"/>
        <v>1.3351955307262571</v>
      </c>
      <c r="AT56" s="8">
        <f t="shared" si="62"/>
        <v>0.24010554089709762</v>
      </c>
      <c r="AU56" s="8">
        <f t="shared" si="62"/>
        <v>0.1</v>
      </c>
      <c r="AV56" s="8">
        <f t="shared" si="62"/>
        <v>0.106</v>
      </c>
      <c r="AW56" s="8">
        <f t="shared" si="62"/>
        <v>0.7457627118644069</v>
      </c>
      <c r="AX56" s="8">
        <f t="shared" si="62"/>
        <v>1.3687150837988826</v>
      </c>
      <c r="AY56" s="9">
        <f t="shared" si="62"/>
        <v>3</v>
      </c>
      <c r="AZ56" s="9">
        <f t="shared" si="62"/>
        <v>9</v>
      </c>
      <c r="BA56" s="9">
        <f t="shared" si="62"/>
        <v>3</v>
      </c>
      <c r="BB56" s="9">
        <f t="shared" si="62"/>
        <v>3</v>
      </c>
      <c r="BC56" s="9">
        <f t="shared" si="62"/>
        <v>4</v>
      </c>
    </row>
    <row r="57" spans="2:55" ht="12.75" customHeight="1" x14ac:dyDescent="0.25">
      <c r="B57" s="7"/>
      <c r="E57" s="2" t="s">
        <v>26</v>
      </c>
      <c r="F57" s="8">
        <f>MAX(F3:F55)</f>
        <v>2.8009999999999997</v>
      </c>
      <c r="G57" s="8">
        <f t="shared" ref="G57:BC57" si="63">MAX(G3:G55)</f>
        <v>4.173</v>
      </c>
      <c r="H57" s="8">
        <f t="shared" si="63"/>
        <v>2.0546528803545057</v>
      </c>
      <c r="I57" s="8">
        <f t="shared" si="63"/>
        <v>0.99</v>
      </c>
      <c r="J57" s="8">
        <f t="shared" si="63"/>
        <v>6.6000000000000003E-2</v>
      </c>
      <c r="K57" s="8">
        <f t="shared" si="63"/>
        <v>1.006</v>
      </c>
      <c r="L57" s="8">
        <f t="shared" si="63"/>
        <v>0.77900000000000003</v>
      </c>
      <c r="M57" s="8">
        <f t="shared" si="63"/>
        <v>0.72599999999999998</v>
      </c>
      <c r="N57" s="8">
        <f t="shared" si="63"/>
        <v>0.17199999999999999</v>
      </c>
      <c r="O57" s="8">
        <f t="shared" si="63"/>
        <v>1.3260000000000001</v>
      </c>
      <c r="P57" s="8">
        <f t="shared" si="63"/>
        <v>1.496</v>
      </c>
      <c r="Q57" s="8">
        <f t="shared" si="63"/>
        <v>1.6795511221945136</v>
      </c>
      <c r="R57" s="8">
        <f t="shared" si="63"/>
        <v>0.86907730673316697</v>
      </c>
      <c r="S57" s="8">
        <f t="shared" si="63"/>
        <v>0.88098159509202456</v>
      </c>
      <c r="T57" s="8">
        <f t="shared" si="63"/>
        <v>9.0416666666666661</v>
      </c>
      <c r="U57" s="8">
        <f t="shared" si="63"/>
        <v>0.38800000000000001</v>
      </c>
      <c r="V57" s="8">
        <f>MAX(V3:V55)</f>
        <v>15.455555555555554</v>
      </c>
      <c r="W57" s="8">
        <f t="shared" si="63"/>
        <v>0.874</v>
      </c>
      <c r="X57" s="8">
        <f t="shared" si="63"/>
        <v>0.18</v>
      </c>
      <c r="Y57" s="8">
        <f t="shared" si="63"/>
        <v>6.4158415841584153</v>
      </c>
      <c r="Z57" s="8">
        <f t="shared" si="63"/>
        <v>0.52200000000000002</v>
      </c>
      <c r="AA57" s="8">
        <f t="shared" si="63"/>
        <v>0.72699999999999998</v>
      </c>
      <c r="AB57" s="8">
        <f t="shared" si="63"/>
        <v>0.34743521946060285</v>
      </c>
      <c r="AC57" s="8">
        <f t="shared" si="63"/>
        <v>1.4770000000000001</v>
      </c>
      <c r="AD57" s="8">
        <f t="shared" si="63"/>
        <v>0.66631411951348496</v>
      </c>
      <c r="AE57" s="8">
        <f t="shared" si="63"/>
        <v>0.13700000000000001</v>
      </c>
      <c r="AF57" s="8">
        <f t="shared" si="63"/>
        <v>0.17861799217731422</v>
      </c>
      <c r="AG57" s="8">
        <f t="shared" si="63"/>
        <v>0.15123094958968347</v>
      </c>
      <c r="AH57" s="8">
        <f t="shared" si="63"/>
        <v>0.95138888888888906</v>
      </c>
      <c r="AI57" s="8">
        <f t="shared" si="63"/>
        <v>0.105</v>
      </c>
      <c r="AJ57" s="8">
        <f t="shared" si="63"/>
        <v>7.0999999999999994E-2</v>
      </c>
      <c r="AK57" s="8">
        <f t="shared" si="63"/>
        <v>1.92</v>
      </c>
      <c r="AL57" s="8">
        <f t="shared" si="63"/>
        <v>0.86776859504132231</v>
      </c>
      <c r="AM57" s="8">
        <f t="shared" si="63"/>
        <v>0.73529411764705876</v>
      </c>
      <c r="AN57" s="8">
        <f t="shared" si="63"/>
        <v>0.12642225031605564</v>
      </c>
      <c r="AO57" s="8">
        <f t="shared" si="63"/>
        <v>0.46153846153846156</v>
      </c>
      <c r="AP57" s="8">
        <f t="shared" si="63"/>
        <v>0.30099999999999999</v>
      </c>
      <c r="AQ57" s="8">
        <f t="shared" si="63"/>
        <v>0.17899999999999999</v>
      </c>
      <c r="AR57" s="8">
        <f t="shared" si="63"/>
        <v>0.1263881544156531</v>
      </c>
      <c r="AS57" s="8">
        <f t="shared" si="63"/>
        <v>3.166666666666667</v>
      </c>
      <c r="AT57" s="8">
        <f t="shared" si="63"/>
        <v>0.33628318584070799</v>
      </c>
      <c r="AU57" s="8">
        <f t="shared" si="63"/>
        <v>0.18</v>
      </c>
      <c r="AV57" s="8">
        <f t="shared" si="63"/>
        <v>0.17699999999999999</v>
      </c>
      <c r="AW57" s="8">
        <f t="shared" si="63"/>
        <v>1.4811320754716981</v>
      </c>
      <c r="AX57" s="8">
        <f t="shared" si="63"/>
        <v>2.36</v>
      </c>
      <c r="AY57" s="9">
        <f t="shared" si="63"/>
        <v>5</v>
      </c>
      <c r="AZ57" s="9">
        <f t="shared" si="63"/>
        <v>22</v>
      </c>
      <c r="BA57" s="9">
        <f t="shared" si="63"/>
        <v>10</v>
      </c>
      <c r="BB57" s="9">
        <f t="shared" si="63"/>
        <v>9</v>
      </c>
      <c r="BC57" s="9">
        <f t="shared" si="63"/>
        <v>11</v>
      </c>
    </row>
    <row r="58" spans="2:55" ht="12.75" customHeight="1" x14ac:dyDescent="0.25">
      <c r="AY58" s="178"/>
      <c r="AZ58" s="178"/>
      <c r="BA58" s="178"/>
      <c r="BB58" s="178"/>
      <c r="BC58" s="17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D106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4" width="18.7109375" style="1" customWidth="1"/>
    <col min="5" max="5" width="36.7109375" style="1" customWidth="1"/>
    <col min="6" max="52" width="8.7109375" style="1" customWidth="1"/>
    <col min="53" max="55" width="10.7109375" style="1" customWidth="1"/>
    <col min="56" max="16384" width="9.140625" style="1"/>
  </cols>
  <sheetData>
    <row r="1" spans="2:56" ht="12" customHeight="1" x14ac:dyDescent="0.2"/>
    <row r="2" spans="2:56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  <c r="BD2" s="60"/>
    </row>
    <row r="3" spans="2:56" ht="12.75" customHeight="1" x14ac:dyDescent="0.2">
      <c r="B3" s="47">
        <v>27225</v>
      </c>
      <c r="C3" s="28" t="s">
        <v>59</v>
      </c>
      <c r="D3" s="29" t="s">
        <v>60</v>
      </c>
      <c r="E3" s="29" t="s">
        <v>172</v>
      </c>
      <c r="F3" s="30">
        <f>1.354+0.708</f>
        <v>2.0620000000000003</v>
      </c>
      <c r="G3" s="31" t="s">
        <v>75</v>
      </c>
      <c r="H3" s="31" t="s">
        <v>75</v>
      </c>
      <c r="I3" s="30">
        <v>0.113</v>
      </c>
      <c r="J3" s="30">
        <v>6.0999999999999999E-2</v>
      </c>
      <c r="K3" s="30">
        <v>0.84899999999999998</v>
      </c>
      <c r="L3" s="30">
        <v>0.60199999999999998</v>
      </c>
      <c r="M3" s="30">
        <v>0.65600000000000003</v>
      </c>
      <c r="N3" s="30">
        <v>0.13</v>
      </c>
      <c r="O3" s="31" t="s">
        <v>75</v>
      </c>
      <c r="P3" s="31" t="s">
        <v>75</v>
      </c>
      <c r="Q3" s="31" t="s">
        <v>75</v>
      </c>
      <c r="R3" s="32">
        <f t="shared" ref="R3:R54" si="0">M3/K3</f>
        <v>0.7726737338044759</v>
      </c>
      <c r="S3" s="32">
        <f t="shared" ref="S3:S54" si="1">L3/K3</f>
        <v>0.70906949352179038</v>
      </c>
      <c r="T3" s="31" t="s">
        <v>75</v>
      </c>
      <c r="U3" s="30">
        <v>0.33300000000000002</v>
      </c>
      <c r="V3" s="157" t="s">
        <v>75</v>
      </c>
      <c r="W3" s="30">
        <v>0.65700000000000003</v>
      </c>
      <c r="X3" s="30">
        <v>0.12</v>
      </c>
      <c r="Y3" s="30">
        <f>W3/X3</f>
        <v>5.4750000000000005</v>
      </c>
      <c r="Z3" s="30">
        <v>0.43099999999999999</v>
      </c>
      <c r="AA3" s="30">
        <v>0.51500000000000001</v>
      </c>
      <c r="AB3" s="30">
        <f>AA3/F3</f>
        <v>0.24975751697381179</v>
      </c>
      <c r="AC3" s="30">
        <v>1.218</v>
      </c>
      <c r="AD3" s="30">
        <f>AC3/F3</f>
        <v>0.59068865179437435</v>
      </c>
      <c r="AE3" s="30">
        <v>0.105</v>
      </c>
      <c r="AF3" s="30">
        <f>AE3/K3</f>
        <v>0.12367491166077739</v>
      </c>
      <c r="AG3" s="31" t="s">
        <v>75</v>
      </c>
      <c r="AH3" s="30">
        <f>AE3/N3</f>
        <v>0.8076923076923076</v>
      </c>
      <c r="AI3" s="30">
        <v>0.09</v>
      </c>
      <c r="AJ3" s="30">
        <v>5.7000000000000002E-2</v>
      </c>
      <c r="AK3" s="30">
        <f t="shared" ref="AK3:AK54" si="2">AI3/AJ3</f>
        <v>1.5789473684210524</v>
      </c>
      <c r="AL3" s="30">
        <f>AI3/AE3</f>
        <v>0.8571428571428571</v>
      </c>
      <c r="AM3" s="30">
        <f>AI3/N3</f>
        <v>0.69230769230769229</v>
      </c>
      <c r="AN3" s="30">
        <f>AI3/K3</f>
        <v>0.10600706713780919</v>
      </c>
      <c r="AO3" s="30">
        <f t="shared" ref="AO3:AO54" si="3">AI3/AP3</f>
        <v>0.34883720930232553</v>
      </c>
      <c r="AP3" s="30">
        <v>0.25800000000000001</v>
      </c>
      <c r="AQ3" s="30">
        <v>0.123</v>
      </c>
      <c r="AR3" s="30">
        <f t="shared" ref="AR3:AR34" si="4">AP3/F3</f>
        <v>0.12512124151309406</v>
      </c>
      <c r="AS3" s="30">
        <f t="shared" ref="AS3:AS54" si="5">AP3/AQ3</f>
        <v>2.0975609756097562</v>
      </c>
      <c r="AT3" s="30">
        <f t="shared" ref="AT3:AT17" si="6">AP3/K3</f>
        <v>0.303886925795053</v>
      </c>
      <c r="AU3" s="99">
        <v>0.13500000000000001</v>
      </c>
      <c r="AV3" s="99">
        <v>0.11600000000000001</v>
      </c>
      <c r="AW3" s="99">
        <f t="shared" ref="AW3:AW53" si="7">AU3/AV3</f>
        <v>1.1637931034482758</v>
      </c>
      <c r="AX3" s="100">
        <f t="shared" ref="AX3:AX53" si="8">AP3/AU3</f>
        <v>1.911111111111111</v>
      </c>
      <c r="AY3" s="33">
        <v>4</v>
      </c>
      <c r="AZ3" s="125">
        <v>9</v>
      </c>
      <c r="BA3" s="31" t="s">
        <v>75</v>
      </c>
      <c r="BB3" s="33">
        <v>5</v>
      </c>
      <c r="BC3" s="34">
        <v>7</v>
      </c>
    </row>
    <row r="4" spans="2:56" x14ac:dyDescent="0.2">
      <c r="B4" s="48"/>
      <c r="C4" s="10"/>
      <c r="D4" s="11"/>
      <c r="E4" s="11"/>
      <c r="F4" s="12">
        <f>1.354+0.708</f>
        <v>2.0620000000000003</v>
      </c>
      <c r="G4" s="13" t="s">
        <v>75</v>
      </c>
      <c r="H4" s="13" t="s">
        <v>75</v>
      </c>
      <c r="I4" s="12">
        <v>0.105</v>
      </c>
      <c r="J4" s="12">
        <v>5.3999999999999999E-2</v>
      </c>
      <c r="K4" s="12">
        <v>0.83699999999999997</v>
      </c>
      <c r="L4" s="12">
        <v>0.622</v>
      </c>
      <c r="M4" s="12">
        <v>0.63400000000000001</v>
      </c>
      <c r="N4" s="13" t="s">
        <v>75</v>
      </c>
      <c r="O4" s="13" t="s">
        <v>75</v>
      </c>
      <c r="P4" s="13" t="s">
        <v>75</v>
      </c>
      <c r="Q4" s="13" t="s">
        <v>75</v>
      </c>
      <c r="R4" s="14">
        <f t="shared" si="0"/>
        <v>0.75746714456391884</v>
      </c>
      <c r="S4" s="14">
        <f t="shared" si="1"/>
        <v>0.7431302270011948</v>
      </c>
      <c r="T4" s="13" t="s">
        <v>75</v>
      </c>
      <c r="U4" s="13">
        <v>0.33300000000000002</v>
      </c>
      <c r="V4" s="13" t="s">
        <v>75</v>
      </c>
      <c r="W4" s="12">
        <v>0.64900000000000002</v>
      </c>
      <c r="X4" s="12">
        <v>0.126</v>
      </c>
      <c r="Y4" s="12">
        <f>W4/X4</f>
        <v>5.1507936507936511</v>
      </c>
      <c r="Z4" s="12">
        <v>0.434</v>
      </c>
      <c r="AA4" s="12">
        <v>0.54500000000000004</v>
      </c>
      <c r="AB4" s="12">
        <f>AA4/F4</f>
        <v>0.26430649854510185</v>
      </c>
      <c r="AC4" s="12">
        <v>1.159</v>
      </c>
      <c r="AD4" s="12">
        <f>AC4/F4</f>
        <v>0.56207565470417065</v>
      </c>
      <c r="AE4" s="12">
        <v>0.114</v>
      </c>
      <c r="AF4" s="12">
        <f>AE4/K4</f>
        <v>0.13620071684587814</v>
      </c>
      <c r="AG4" s="13" t="s">
        <v>75</v>
      </c>
      <c r="AH4" s="13" t="s">
        <v>75</v>
      </c>
      <c r="AI4" s="12">
        <v>0.09</v>
      </c>
      <c r="AJ4" s="12">
        <v>5.7000000000000002E-2</v>
      </c>
      <c r="AK4" s="12">
        <f t="shared" si="2"/>
        <v>1.5789473684210524</v>
      </c>
      <c r="AL4" s="12">
        <f>AI4/AE4</f>
        <v>0.78947368421052622</v>
      </c>
      <c r="AM4" s="13" t="s">
        <v>75</v>
      </c>
      <c r="AN4" s="12">
        <f>AI4/K4</f>
        <v>0.10752688172043011</v>
      </c>
      <c r="AO4" s="12">
        <f t="shared" si="3"/>
        <v>0.35714285714285715</v>
      </c>
      <c r="AP4" s="12">
        <v>0.252</v>
      </c>
      <c r="AQ4" s="12">
        <v>0.13700000000000001</v>
      </c>
      <c r="AR4" s="12">
        <f t="shared" si="4"/>
        <v>0.12221144519883606</v>
      </c>
      <c r="AS4" s="12">
        <f t="shared" si="5"/>
        <v>1.8394160583941606</v>
      </c>
      <c r="AT4" s="12">
        <f t="shared" si="6"/>
        <v>0.30107526881720431</v>
      </c>
      <c r="AU4" s="12">
        <v>0.13500000000000001</v>
      </c>
      <c r="AV4" s="12">
        <v>0.11600000000000001</v>
      </c>
      <c r="AW4" s="12">
        <f t="shared" ref="AW4" si="9">AU4/AV4</f>
        <v>1.1637931034482758</v>
      </c>
      <c r="AX4" s="14">
        <f>AP4/AU4</f>
        <v>1.8666666666666665</v>
      </c>
      <c r="AY4" s="13" t="s">
        <v>75</v>
      </c>
      <c r="AZ4" s="126">
        <v>10</v>
      </c>
      <c r="BA4" s="13" t="s">
        <v>75</v>
      </c>
      <c r="BB4" s="13" t="s">
        <v>75</v>
      </c>
      <c r="BC4" s="35" t="s">
        <v>75</v>
      </c>
    </row>
    <row r="5" spans="2:56" x14ac:dyDescent="0.2">
      <c r="B5" s="49">
        <v>22460</v>
      </c>
      <c r="C5" s="16" t="s">
        <v>59</v>
      </c>
      <c r="D5" s="17" t="s">
        <v>61</v>
      </c>
      <c r="E5" s="17" t="s">
        <v>173</v>
      </c>
      <c r="F5" s="18">
        <f>1.529+1.006</f>
        <v>2.5350000000000001</v>
      </c>
      <c r="G5" s="19" t="s">
        <v>75</v>
      </c>
      <c r="H5" s="19" t="s">
        <v>75</v>
      </c>
      <c r="I5" s="18">
        <v>0.11</v>
      </c>
      <c r="J5" s="18">
        <v>5.3999999999999999E-2</v>
      </c>
      <c r="K5" s="18">
        <v>0.97399999999999998</v>
      </c>
      <c r="L5" s="18">
        <v>0.75</v>
      </c>
      <c r="M5" s="18">
        <v>0.72</v>
      </c>
      <c r="N5" s="19" t="s">
        <v>75</v>
      </c>
      <c r="O5" s="19" t="s">
        <v>75</v>
      </c>
      <c r="P5" s="19" t="s">
        <v>75</v>
      </c>
      <c r="Q5" s="19" t="s">
        <v>75</v>
      </c>
      <c r="R5" s="20">
        <f t="shared" si="0"/>
        <v>0.73921971252566732</v>
      </c>
      <c r="S5" s="20">
        <f t="shared" si="1"/>
        <v>0.77002053388090352</v>
      </c>
      <c r="T5" s="19" t="s">
        <v>75</v>
      </c>
      <c r="U5" s="18">
        <v>0.308</v>
      </c>
      <c r="V5" s="25" t="s">
        <v>75</v>
      </c>
      <c r="W5" s="18">
        <v>0.7</v>
      </c>
      <c r="X5" s="18">
        <v>0.18</v>
      </c>
      <c r="Y5" s="18">
        <f>W5/X5</f>
        <v>3.8888888888888888</v>
      </c>
      <c r="Z5" s="18">
        <v>0.47899999999999998</v>
      </c>
      <c r="AA5" s="18">
        <v>0.67500000000000004</v>
      </c>
      <c r="AB5" s="18">
        <f>AA5/F5</f>
        <v>0.26627218934911245</v>
      </c>
      <c r="AC5" s="18">
        <v>1.3919999999999999</v>
      </c>
      <c r="AD5" s="18">
        <f>AC5/F5</f>
        <v>0.54911242603550292</v>
      </c>
      <c r="AE5" s="18">
        <v>0.13500000000000001</v>
      </c>
      <c r="AF5" s="18">
        <f>AE5/K5</f>
        <v>0.13860369609856263</v>
      </c>
      <c r="AG5" s="19" t="s">
        <v>75</v>
      </c>
      <c r="AH5" s="19" t="s">
        <v>75</v>
      </c>
      <c r="AI5" s="19" t="s">
        <v>75</v>
      </c>
      <c r="AJ5" s="19" t="s">
        <v>75</v>
      </c>
      <c r="AK5" s="19" t="s">
        <v>75</v>
      </c>
      <c r="AL5" s="19" t="s">
        <v>75</v>
      </c>
      <c r="AM5" s="19" t="s">
        <v>75</v>
      </c>
      <c r="AN5" s="19" t="s">
        <v>75</v>
      </c>
      <c r="AO5" s="19" t="s">
        <v>75</v>
      </c>
      <c r="AP5" s="18">
        <v>0.30299999999999999</v>
      </c>
      <c r="AQ5" s="18">
        <v>0.17499999999999999</v>
      </c>
      <c r="AR5" s="18">
        <f t="shared" si="4"/>
        <v>0.11952662721893489</v>
      </c>
      <c r="AS5" s="18">
        <f t="shared" si="5"/>
        <v>1.7314285714285715</v>
      </c>
      <c r="AT5" s="18">
        <f t="shared" si="6"/>
        <v>0.31108829568788499</v>
      </c>
      <c r="AU5" s="18">
        <v>0.14199999999999999</v>
      </c>
      <c r="AV5" s="18">
        <v>0.16400000000000001</v>
      </c>
      <c r="AW5" s="18">
        <f t="shared" si="7"/>
        <v>0.86585365853658525</v>
      </c>
      <c r="AX5" s="20">
        <f t="shared" si="8"/>
        <v>2.1338028169014085</v>
      </c>
      <c r="AY5" s="21">
        <v>4</v>
      </c>
      <c r="AZ5" s="127">
        <v>11</v>
      </c>
      <c r="BA5" s="19" t="s">
        <v>75</v>
      </c>
      <c r="BB5" s="21">
        <v>6</v>
      </c>
      <c r="BC5" s="36">
        <v>7</v>
      </c>
    </row>
    <row r="6" spans="2:56" x14ac:dyDescent="0.2">
      <c r="B6" s="50"/>
      <c r="C6" s="16"/>
      <c r="D6" s="17"/>
      <c r="E6" s="17"/>
      <c r="F6" s="18">
        <f>1.529+1.006</f>
        <v>2.5350000000000001</v>
      </c>
      <c r="G6" s="20">
        <f t="shared" ref="G6:G12" si="10">I6+J6+K6+L6+M6+N6+O6</f>
        <v>4</v>
      </c>
      <c r="H6" s="20">
        <f>G6/F6</f>
        <v>1.5779092702169624</v>
      </c>
      <c r="I6" s="18">
        <v>0.128</v>
      </c>
      <c r="J6" s="18">
        <v>7.0999999999999994E-2</v>
      </c>
      <c r="K6" s="18">
        <v>0.95599999999999996</v>
      </c>
      <c r="L6" s="18">
        <v>0.70199999999999996</v>
      </c>
      <c r="M6" s="18">
        <v>0.70199999999999996</v>
      </c>
      <c r="N6" s="18">
        <v>0.14099999999999999</v>
      </c>
      <c r="O6" s="18">
        <v>1.3</v>
      </c>
      <c r="P6" s="18">
        <f t="shared" ref="P6:P12" si="11">N:N+O:O</f>
        <v>1.4410000000000001</v>
      </c>
      <c r="Q6" s="20">
        <f t="shared" ref="Q6:Q50" si="12">(N6+O6)/K6</f>
        <v>1.5073221757322177</v>
      </c>
      <c r="R6" s="20">
        <f t="shared" si="0"/>
        <v>0.73430962343096229</v>
      </c>
      <c r="S6" s="20">
        <f t="shared" si="1"/>
        <v>0.73430962343096229</v>
      </c>
      <c r="T6" s="20">
        <f t="shared" ref="T6:T50" si="13">O6/N6</f>
        <v>9.2198581560283692</v>
      </c>
      <c r="U6" s="18">
        <v>0.308</v>
      </c>
      <c r="V6" s="18">
        <f>G6/U6</f>
        <v>12.987012987012987</v>
      </c>
      <c r="W6" s="18">
        <v>0.68799999999999994</v>
      </c>
      <c r="X6" s="18">
        <v>0.17199999999999999</v>
      </c>
      <c r="Y6" s="18">
        <f>W6/X6</f>
        <v>4</v>
      </c>
      <c r="Z6" s="19" t="s">
        <v>75</v>
      </c>
      <c r="AA6" s="19" t="s">
        <v>75</v>
      </c>
      <c r="AB6" s="19" t="s">
        <v>75</v>
      </c>
      <c r="AC6" s="19" t="s">
        <v>75</v>
      </c>
      <c r="AD6" s="19" t="s">
        <v>75</v>
      </c>
      <c r="AE6" s="19" t="s">
        <v>75</v>
      </c>
      <c r="AF6" s="19" t="s">
        <v>75</v>
      </c>
      <c r="AG6" s="19" t="s">
        <v>75</v>
      </c>
      <c r="AH6" s="19" t="s">
        <v>75</v>
      </c>
      <c r="AI6" s="19" t="s">
        <v>75</v>
      </c>
      <c r="AJ6" s="19" t="s">
        <v>75</v>
      </c>
      <c r="AK6" s="19" t="s">
        <v>75</v>
      </c>
      <c r="AL6" s="19" t="s">
        <v>75</v>
      </c>
      <c r="AM6" s="19" t="s">
        <v>75</v>
      </c>
      <c r="AN6" s="19" t="s">
        <v>75</v>
      </c>
      <c r="AO6" s="19" t="s">
        <v>75</v>
      </c>
      <c r="AP6" s="18">
        <v>0.27600000000000002</v>
      </c>
      <c r="AQ6" s="18">
        <v>0.19900000000000001</v>
      </c>
      <c r="AR6" s="18">
        <f t="shared" si="4"/>
        <v>0.10887573964497042</v>
      </c>
      <c r="AS6" s="18">
        <f t="shared" si="5"/>
        <v>1.3869346733668342</v>
      </c>
      <c r="AT6" s="18">
        <f t="shared" si="6"/>
        <v>0.28870292887029292</v>
      </c>
      <c r="AU6" s="18">
        <v>0.14199999999999999</v>
      </c>
      <c r="AV6" s="18">
        <v>0.16400000000000001</v>
      </c>
      <c r="AW6" s="18">
        <f t="shared" ref="AW6" si="14">AU6/AV6</f>
        <v>0.86585365853658525</v>
      </c>
      <c r="AX6" s="20">
        <f t="shared" ref="AX6" si="15">AP6/AU6</f>
        <v>1.9436619718309862</v>
      </c>
      <c r="AY6" s="19" t="s">
        <v>75</v>
      </c>
      <c r="AZ6" s="128">
        <v>12</v>
      </c>
      <c r="BA6" s="19" t="s">
        <v>75</v>
      </c>
      <c r="BB6" s="19" t="s">
        <v>75</v>
      </c>
      <c r="BC6" s="37" t="s">
        <v>75</v>
      </c>
    </row>
    <row r="7" spans="2:56" x14ac:dyDescent="0.2">
      <c r="B7" s="51">
        <v>26531</v>
      </c>
      <c r="C7" s="10" t="s">
        <v>59</v>
      </c>
      <c r="D7" s="11" t="s">
        <v>62</v>
      </c>
      <c r="E7" s="11" t="s">
        <v>173</v>
      </c>
      <c r="F7" s="12">
        <f>1.004+1.205</f>
        <v>2.2090000000000001</v>
      </c>
      <c r="G7" s="14">
        <f t="shared" si="10"/>
        <v>4.5350000000000001</v>
      </c>
      <c r="H7" s="14">
        <f>G7/F7</f>
        <v>2.052965142598461</v>
      </c>
      <c r="I7" s="12">
        <v>0.11600000000000001</v>
      </c>
      <c r="J7" s="12">
        <v>5.7000000000000002E-2</v>
      </c>
      <c r="K7" s="12">
        <v>1.075</v>
      </c>
      <c r="L7" s="12">
        <v>0.84899999999999998</v>
      </c>
      <c r="M7" s="12">
        <v>0.82299999999999995</v>
      </c>
      <c r="N7" s="12">
        <v>0.124</v>
      </c>
      <c r="O7" s="12">
        <f>0.548+0.943</f>
        <v>1.4910000000000001</v>
      </c>
      <c r="P7" s="12">
        <f t="shared" si="11"/>
        <v>1.6150000000000002</v>
      </c>
      <c r="Q7" s="14">
        <f t="shared" si="12"/>
        <v>1.5023255813953491</v>
      </c>
      <c r="R7" s="14">
        <f t="shared" si="0"/>
        <v>0.76558139534883718</v>
      </c>
      <c r="S7" s="14">
        <f t="shared" si="1"/>
        <v>0.7897674418604651</v>
      </c>
      <c r="T7" s="14">
        <f t="shared" si="13"/>
        <v>12.024193548387098</v>
      </c>
      <c r="U7" s="12">
        <v>0.33400000000000002</v>
      </c>
      <c r="V7" s="12">
        <f>G7/U7</f>
        <v>13.577844311377245</v>
      </c>
      <c r="W7" s="12">
        <v>0.69599999999999995</v>
      </c>
      <c r="X7" s="12">
        <v>0.123</v>
      </c>
      <c r="Y7" s="12">
        <f t="shared" ref="Y7:Y8" si="16">W7/X7</f>
        <v>5.6585365853658534</v>
      </c>
      <c r="Z7" s="12">
        <v>0.45100000000000001</v>
      </c>
      <c r="AA7" s="12">
        <v>0.59199999999999997</v>
      </c>
      <c r="AB7" s="12">
        <f>AA7/F7</f>
        <v>0.2679945676776822</v>
      </c>
      <c r="AC7" s="12">
        <v>1.256</v>
      </c>
      <c r="AD7" s="12">
        <f>AC7/F7</f>
        <v>0.56858306926210955</v>
      </c>
      <c r="AE7" s="12">
        <v>0.105</v>
      </c>
      <c r="AF7" s="12">
        <f t="shared" ref="AF7:AF8" si="17">AE7/K7</f>
        <v>9.7674418604651161E-2</v>
      </c>
      <c r="AG7" s="12">
        <f>AE7/P7</f>
        <v>6.5015479876160978E-2</v>
      </c>
      <c r="AH7" s="12">
        <f>AE7/N7</f>
        <v>0.84677419354838712</v>
      </c>
      <c r="AI7" s="12">
        <v>9.8000000000000004E-2</v>
      </c>
      <c r="AJ7" s="12">
        <v>6.8000000000000005E-2</v>
      </c>
      <c r="AK7" s="12">
        <f t="shared" si="2"/>
        <v>1.4411764705882353</v>
      </c>
      <c r="AL7" s="12">
        <f>AI7/AE7</f>
        <v>0.93333333333333346</v>
      </c>
      <c r="AM7" s="12">
        <f t="shared" ref="AM7:AM12" si="18">AI7/N7</f>
        <v>0.79032258064516137</v>
      </c>
      <c r="AN7" s="12">
        <f>AI7/K7</f>
        <v>9.1162790697674426E-2</v>
      </c>
      <c r="AO7" s="12">
        <f t="shared" si="3"/>
        <v>0.34146341463414637</v>
      </c>
      <c r="AP7" s="12">
        <v>0.28699999999999998</v>
      </c>
      <c r="AQ7" s="12">
        <v>0.14699999999999999</v>
      </c>
      <c r="AR7" s="12">
        <f t="shared" si="4"/>
        <v>0.12992304210049796</v>
      </c>
      <c r="AS7" s="12">
        <f t="shared" si="5"/>
        <v>1.9523809523809523</v>
      </c>
      <c r="AT7" s="12">
        <f t="shared" si="6"/>
        <v>0.2669767441860465</v>
      </c>
      <c r="AU7" s="12">
        <v>0.13700000000000001</v>
      </c>
      <c r="AV7" s="12">
        <v>0.13900000000000001</v>
      </c>
      <c r="AW7" s="12">
        <f t="shared" si="7"/>
        <v>0.98561151079136688</v>
      </c>
      <c r="AX7" s="14">
        <f t="shared" si="8"/>
        <v>2.0948905109489049</v>
      </c>
      <c r="AY7" s="15">
        <v>3</v>
      </c>
      <c r="AZ7" s="129">
        <v>12</v>
      </c>
      <c r="BA7" s="13" t="s">
        <v>75</v>
      </c>
      <c r="BB7" s="15">
        <v>8</v>
      </c>
      <c r="BC7" s="38">
        <v>7</v>
      </c>
    </row>
    <row r="8" spans="2:56" x14ac:dyDescent="0.2">
      <c r="B8" s="48"/>
      <c r="C8" s="10"/>
      <c r="D8" s="11"/>
      <c r="E8" s="11"/>
      <c r="F8" s="12">
        <f>1.004+1.205</f>
        <v>2.2090000000000001</v>
      </c>
      <c r="G8" s="14">
        <f t="shared" si="10"/>
        <v>4.5749999999999993</v>
      </c>
      <c r="H8" s="14">
        <f t="shared" ref="H8:H12" si="19">G8/F8</f>
        <v>2.0710728836577634</v>
      </c>
      <c r="I8" s="12">
        <v>0.106</v>
      </c>
      <c r="J8" s="12">
        <v>6.0999999999999999E-2</v>
      </c>
      <c r="K8" s="12">
        <v>1.071</v>
      </c>
      <c r="L8" s="12">
        <v>0.86599999999999999</v>
      </c>
      <c r="M8" s="12">
        <v>0.82099999999999995</v>
      </c>
      <c r="N8" s="12">
        <v>0.14299999999999999</v>
      </c>
      <c r="O8" s="12">
        <f>0.825+0.682</f>
        <v>1.5070000000000001</v>
      </c>
      <c r="P8" s="12">
        <f t="shared" si="11"/>
        <v>1.6500000000000001</v>
      </c>
      <c r="Q8" s="14">
        <f t="shared" si="12"/>
        <v>1.5406162464985997</v>
      </c>
      <c r="R8" s="14">
        <f t="shared" si="0"/>
        <v>0.76657329598506063</v>
      </c>
      <c r="S8" s="14">
        <f t="shared" si="1"/>
        <v>0.80859010270774978</v>
      </c>
      <c r="T8" s="14">
        <f t="shared" si="13"/>
        <v>10.53846153846154</v>
      </c>
      <c r="U8" s="12">
        <v>0.33400000000000002</v>
      </c>
      <c r="V8" s="12">
        <f t="shared" ref="V8:V50" si="20">G8/U8</f>
        <v>13.69760479041916</v>
      </c>
      <c r="W8" s="12">
        <v>0.69399999999999995</v>
      </c>
      <c r="X8" s="12">
        <v>0.13400000000000001</v>
      </c>
      <c r="Y8" s="12">
        <f t="shared" si="16"/>
        <v>5.1791044776119399</v>
      </c>
      <c r="Z8" s="13" t="s">
        <v>75</v>
      </c>
      <c r="AA8" s="12">
        <v>0.58199999999999996</v>
      </c>
      <c r="AB8" s="12">
        <f>AA8/F8</f>
        <v>0.26346763241285648</v>
      </c>
      <c r="AC8" s="12">
        <v>1.2569999999999999</v>
      </c>
      <c r="AD8" s="12">
        <f>AC8/F8</f>
        <v>0.56903576278859203</v>
      </c>
      <c r="AE8" s="12">
        <v>0.10100000000000001</v>
      </c>
      <c r="AF8" s="12">
        <f t="shared" si="17"/>
        <v>9.4304388422035493E-2</v>
      </c>
      <c r="AG8" s="12">
        <f>AE8/P8</f>
        <v>6.1212121212121211E-2</v>
      </c>
      <c r="AH8" s="12">
        <f>AE8/N8</f>
        <v>0.70629370629370636</v>
      </c>
      <c r="AI8" s="12">
        <v>9.8000000000000004E-2</v>
      </c>
      <c r="AJ8" s="12">
        <v>6.8000000000000005E-2</v>
      </c>
      <c r="AK8" s="12">
        <f t="shared" si="2"/>
        <v>1.4411764705882353</v>
      </c>
      <c r="AL8" s="12">
        <f>AI8/AE8</f>
        <v>0.97029702970297027</v>
      </c>
      <c r="AM8" s="12">
        <f t="shared" si="18"/>
        <v>0.68531468531468542</v>
      </c>
      <c r="AN8" s="12">
        <f>AI8/K8</f>
        <v>9.1503267973856217E-2</v>
      </c>
      <c r="AO8" s="12">
        <f t="shared" si="3"/>
        <v>0.34385964912280709</v>
      </c>
      <c r="AP8" s="12">
        <v>0.28499999999999998</v>
      </c>
      <c r="AQ8" s="12">
        <v>0.13100000000000001</v>
      </c>
      <c r="AR8" s="12">
        <f t="shared" si="4"/>
        <v>0.12901765504753279</v>
      </c>
      <c r="AS8" s="12">
        <f t="shared" si="5"/>
        <v>2.175572519083969</v>
      </c>
      <c r="AT8" s="12">
        <f t="shared" si="6"/>
        <v>0.26610644257703081</v>
      </c>
      <c r="AU8" s="12">
        <v>0.13700000000000001</v>
      </c>
      <c r="AV8" s="12">
        <v>0.13900000000000001</v>
      </c>
      <c r="AW8" s="12">
        <f t="shared" ref="AW8" si="21">AU8/AV8</f>
        <v>0.98561151079136688</v>
      </c>
      <c r="AX8" s="14">
        <f t="shared" ref="AX8" si="22">AP8/AU8</f>
        <v>2.0802919708029193</v>
      </c>
      <c r="AY8" s="13" t="s">
        <v>75</v>
      </c>
      <c r="AZ8" s="126" t="s">
        <v>75</v>
      </c>
      <c r="BA8" s="13" t="s">
        <v>75</v>
      </c>
      <c r="BB8" s="13" t="s">
        <v>75</v>
      </c>
      <c r="BC8" s="35" t="s">
        <v>75</v>
      </c>
    </row>
    <row r="9" spans="2:56" x14ac:dyDescent="0.2">
      <c r="B9" s="49">
        <v>26531</v>
      </c>
      <c r="C9" s="16" t="s">
        <v>59</v>
      </c>
      <c r="D9" s="17" t="s">
        <v>62</v>
      </c>
      <c r="E9" s="17" t="s">
        <v>173</v>
      </c>
      <c r="F9" s="18">
        <f>0.961+1.279</f>
        <v>2.2399999999999998</v>
      </c>
      <c r="G9" s="20">
        <f t="shared" si="10"/>
        <v>4.4450000000000003</v>
      </c>
      <c r="H9" s="20">
        <f t="shared" si="19"/>
        <v>1.9843750000000002</v>
      </c>
      <c r="I9" s="18">
        <v>0.111</v>
      </c>
      <c r="J9" s="18">
        <v>6.0999999999999999E-2</v>
      </c>
      <c r="K9" s="18">
        <v>0.99299999999999999</v>
      </c>
      <c r="L9" s="18">
        <v>0.81</v>
      </c>
      <c r="M9" s="18">
        <v>0.78600000000000003</v>
      </c>
      <c r="N9" s="18">
        <v>0.14699999999999999</v>
      </c>
      <c r="O9" s="18">
        <f>0.471+0.448+0.618</f>
        <v>1.5369999999999999</v>
      </c>
      <c r="P9" s="18">
        <f t="shared" si="11"/>
        <v>1.6839999999999999</v>
      </c>
      <c r="Q9" s="20">
        <f t="shared" si="12"/>
        <v>1.6958710976837865</v>
      </c>
      <c r="R9" s="20">
        <f t="shared" si="0"/>
        <v>0.7915407854984895</v>
      </c>
      <c r="S9" s="20">
        <f t="shared" si="1"/>
        <v>0.81570996978851973</v>
      </c>
      <c r="T9" s="20">
        <f t="shared" si="13"/>
        <v>10.455782312925169</v>
      </c>
      <c r="U9" s="18">
        <v>0.33800000000000002</v>
      </c>
      <c r="V9" s="18">
        <f t="shared" si="20"/>
        <v>13.150887573964496</v>
      </c>
      <c r="W9" s="19" t="s">
        <v>75</v>
      </c>
      <c r="X9" s="19" t="s">
        <v>75</v>
      </c>
      <c r="Y9" s="19" t="s">
        <v>75</v>
      </c>
      <c r="Z9" s="19" t="s">
        <v>75</v>
      </c>
      <c r="AA9" s="19" t="s">
        <v>75</v>
      </c>
      <c r="AB9" s="19" t="s">
        <v>75</v>
      </c>
      <c r="AC9" s="19" t="s">
        <v>75</v>
      </c>
      <c r="AD9" s="19" t="s">
        <v>75</v>
      </c>
      <c r="AE9" s="19" t="s">
        <v>75</v>
      </c>
      <c r="AF9" s="19" t="s">
        <v>75</v>
      </c>
      <c r="AG9" s="19" t="s">
        <v>75</v>
      </c>
      <c r="AH9" s="19" t="s">
        <v>75</v>
      </c>
      <c r="AI9" s="18">
        <v>9.9000000000000005E-2</v>
      </c>
      <c r="AJ9" s="18">
        <v>6.6000000000000003E-2</v>
      </c>
      <c r="AK9" s="18">
        <f t="shared" si="2"/>
        <v>1.5</v>
      </c>
      <c r="AL9" s="19" t="s">
        <v>75</v>
      </c>
      <c r="AM9" s="18">
        <f t="shared" si="18"/>
        <v>0.67346938775510212</v>
      </c>
      <c r="AN9" s="24">
        <f>AI9/K9</f>
        <v>9.9697885196374625E-2</v>
      </c>
      <c r="AO9" s="18">
        <f t="shared" si="3"/>
        <v>0.34859154929577468</v>
      </c>
      <c r="AP9" s="18">
        <v>0.28399999999999997</v>
      </c>
      <c r="AQ9" s="18">
        <v>0.14299999999999999</v>
      </c>
      <c r="AR9" s="18">
        <f t="shared" si="4"/>
        <v>0.12678571428571428</v>
      </c>
      <c r="AS9" s="18">
        <f t="shared" si="5"/>
        <v>1.986013986013986</v>
      </c>
      <c r="AT9" s="18">
        <f t="shared" si="6"/>
        <v>0.2860020140986908</v>
      </c>
      <c r="AU9" s="18">
        <v>0.13</v>
      </c>
      <c r="AV9" s="18">
        <v>0.108</v>
      </c>
      <c r="AW9" s="18">
        <f t="shared" si="7"/>
        <v>1.2037037037037037</v>
      </c>
      <c r="AX9" s="20">
        <f t="shared" si="8"/>
        <v>2.1846153846153844</v>
      </c>
      <c r="AY9" s="21">
        <v>4</v>
      </c>
      <c r="AZ9" s="127">
        <v>11</v>
      </c>
      <c r="BA9" s="19" t="s">
        <v>75</v>
      </c>
      <c r="BB9" s="21">
        <v>5</v>
      </c>
      <c r="BC9" s="36">
        <v>7</v>
      </c>
    </row>
    <row r="10" spans="2:56" x14ac:dyDescent="0.2">
      <c r="B10" s="50"/>
      <c r="C10" s="16"/>
      <c r="D10" s="17"/>
      <c r="E10" s="17"/>
      <c r="F10" s="18">
        <f>0.961+1.279</f>
        <v>2.2399999999999998</v>
      </c>
      <c r="G10" s="20">
        <f t="shared" si="10"/>
        <v>4.2679999999999998</v>
      </c>
      <c r="H10" s="20">
        <f t="shared" si="19"/>
        <v>1.905357142857143</v>
      </c>
      <c r="I10" s="18">
        <v>0.109</v>
      </c>
      <c r="J10" s="18">
        <v>5.8000000000000003E-2</v>
      </c>
      <c r="K10" s="18">
        <v>0.999</v>
      </c>
      <c r="L10" s="18">
        <v>0.77500000000000002</v>
      </c>
      <c r="M10" s="18">
        <v>0.746</v>
      </c>
      <c r="N10" s="18">
        <v>0.14699999999999999</v>
      </c>
      <c r="O10" s="18">
        <f>0.818+0.616</f>
        <v>1.4339999999999999</v>
      </c>
      <c r="P10" s="18">
        <f t="shared" si="11"/>
        <v>1.581</v>
      </c>
      <c r="Q10" s="20">
        <f>(N10+O10)/K10</f>
        <v>1.5825825825825826</v>
      </c>
      <c r="R10" s="20">
        <f>M10/K10</f>
        <v>0.74674674674674679</v>
      </c>
      <c r="S10" s="20">
        <f>L10/K10</f>
        <v>0.77577577577577583</v>
      </c>
      <c r="T10" s="20">
        <f>O10/N10</f>
        <v>9.7551020408163271</v>
      </c>
      <c r="U10" s="18">
        <v>0.33800000000000002</v>
      </c>
      <c r="V10" s="18">
        <f t="shared" si="20"/>
        <v>12.627218934911241</v>
      </c>
      <c r="W10" s="19" t="s">
        <v>75</v>
      </c>
      <c r="X10" s="19" t="s">
        <v>75</v>
      </c>
      <c r="Y10" s="19" t="s">
        <v>75</v>
      </c>
      <c r="Z10" s="19" t="s">
        <v>75</v>
      </c>
      <c r="AA10" s="19" t="s">
        <v>75</v>
      </c>
      <c r="AB10" s="19" t="s">
        <v>75</v>
      </c>
      <c r="AC10" s="19" t="s">
        <v>75</v>
      </c>
      <c r="AD10" s="19" t="s">
        <v>75</v>
      </c>
      <c r="AE10" s="19" t="s">
        <v>75</v>
      </c>
      <c r="AF10" s="19" t="s">
        <v>75</v>
      </c>
      <c r="AG10" s="19" t="s">
        <v>75</v>
      </c>
      <c r="AH10" s="19" t="s">
        <v>75</v>
      </c>
      <c r="AI10" s="18">
        <v>9.9000000000000005E-2</v>
      </c>
      <c r="AJ10" s="18">
        <v>6.6000000000000003E-2</v>
      </c>
      <c r="AK10" s="18">
        <f t="shared" si="2"/>
        <v>1.5</v>
      </c>
      <c r="AL10" s="19" t="s">
        <v>75</v>
      </c>
      <c r="AM10" s="18">
        <f t="shared" si="18"/>
        <v>0.67346938775510212</v>
      </c>
      <c r="AN10" s="24">
        <f>AI10/K10</f>
        <v>9.90990990990991E-2</v>
      </c>
      <c r="AO10" s="18">
        <f t="shared" si="3"/>
        <v>0.35483870967741932</v>
      </c>
      <c r="AP10" s="18">
        <v>0.27900000000000003</v>
      </c>
      <c r="AQ10" s="18">
        <v>0.13600000000000001</v>
      </c>
      <c r="AR10" s="18">
        <f t="shared" si="4"/>
        <v>0.12455357142857146</v>
      </c>
      <c r="AS10" s="18">
        <f t="shared" si="5"/>
        <v>2.0514705882352944</v>
      </c>
      <c r="AT10" s="18">
        <f t="shared" si="6"/>
        <v>0.27927927927927931</v>
      </c>
      <c r="AU10" s="18">
        <v>0.13</v>
      </c>
      <c r="AV10" s="18">
        <v>0.108</v>
      </c>
      <c r="AW10" s="18">
        <f t="shared" ref="AW10" si="23">AU10/AV10</f>
        <v>1.2037037037037037</v>
      </c>
      <c r="AX10" s="20">
        <f t="shared" ref="AX10" si="24">AP10/AU10</f>
        <v>2.1461538461538461</v>
      </c>
      <c r="AY10" s="19" t="s">
        <v>75</v>
      </c>
      <c r="AZ10" s="128" t="s">
        <v>75</v>
      </c>
      <c r="BA10" s="19" t="s">
        <v>75</v>
      </c>
      <c r="BB10" s="19" t="s">
        <v>75</v>
      </c>
      <c r="BC10" s="37" t="s">
        <v>75</v>
      </c>
    </row>
    <row r="11" spans="2:56" x14ac:dyDescent="0.2">
      <c r="B11" s="51">
        <v>26531</v>
      </c>
      <c r="C11" s="10" t="s">
        <v>59</v>
      </c>
      <c r="D11" s="11" t="s">
        <v>62</v>
      </c>
      <c r="E11" s="11" t="s">
        <v>173</v>
      </c>
      <c r="F11" s="12">
        <f>1.093+1.17</f>
        <v>2.2629999999999999</v>
      </c>
      <c r="G11" s="14">
        <f t="shared" si="10"/>
        <v>4.0100000000000007</v>
      </c>
      <c r="H11" s="14">
        <f t="shared" si="19"/>
        <v>1.7719840919133898</v>
      </c>
      <c r="I11" s="12">
        <v>0.112</v>
      </c>
      <c r="J11" s="12">
        <v>5.7000000000000002E-2</v>
      </c>
      <c r="K11" s="12">
        <v>0.93600000000000005</v>
      </c>
      <c r="L11" s="12">
        <v>0.77300000000000002</v>
      </c>
      <c r="M11" s="12">
        <v>0.71599999999999997</v>
      </c>
      <c r="N11" s="12">
        <v>0.14399999999999999</v>
      </c>
      <c r="O11" s="12">
        <f>0.626+0.646</f>
        <v>1.272</v>
      </c>
      <c r="P11" s="12">
        <f t="shared" si="11"/>
        <v>1.4159999999999999</v>
      </c>
      <c r="Q11" s="14">
        <f t="shared" si="12"/>
        <v>1.5128205128205126</v>
      </c>
      <c r="R11" s="14">
        <f t="shared" si="0"/>
        <v>0.7649572649572649</v>
      </c>
      <c r="S11" s="14">
        <f t="shared" si="1"/>
        <v>0.82585470085470081</v>
      </c>
      <c r="T11" s="14">
        <f t="shared" si="13"/>
        <v>8.8333333333333339</v>
      </c>
      <c r="U11" s="12">
        <v>0.34799999999999998</v>
      </c>
      <c r="V11" s="12">
        <f t="shared" si="20"/>
        <v>11.522988505747129</v>
      </c>
      <c r="W11" s="12">
        <v>0.69</v>
      </c>
      <c r="X11" s="12">
        <v>0.125</v>
      </c>
      <c r="Y11" s="12">
        <f t="shared" ref="Y11:Y12" si="25">W11/X11</f>
        <v>5.52</v>
      </c>
      <c r="Z11" s="12">
        <v>0.46200000000000002</v>
      </c>
      <c r="AA11" s="12">
        <v>0.60699999999999998</v>
      </c>
      <c r="AB11" s="12">
        <f t="shared" ref="AB11:AB17" si="26">AA11/F11</f>
        <v>0.26822801590808659</v>
      </c>
      <c r="AC11" s="12">
        <v>1.288</v>
      </c>
      <c r="AD11" s="12">
        <f t="shared" ref="AD11:AD17" si="27">AC11/F11</f>
        <v>0.56915598762704378</v>
      </c>
      <c r="AE11" s="12">
        <v>0.128</v>
      </c>
      <c r="AF11" s="12">
        <f>AE11/K11</f>
        <v>0.13675213675213674</v>
      </c>
      <c r="AG11" s="12">
        <f>AE11/P11</f>
        <v>9.0395480225988714E-2</v>
      </c>
      <c r="AH11" s="12">
        <f>AE11/N11</f>
        <v>0.88888888888888895</v>
      </c>
      <c r="AI11" s="12">
        <v>0.10100000000000001</v>
      </c>
      <c r="AJ11" s="12">
        <v>6.9000000000000006E-2</v>
      </c>
      <c r="AK11" s="12">
        <f t="shared" si="2"/>
        <v>1.463768115942029</v>
      </c>
      <c r="AL11" s="12">
        <f>AI11/AE11</f>
        <v>0.7890625</v>
      </c>
      <c r="AM11" s="12">
        <f t="shared" si="18"/>
        <v>0.70138888888888895</v>
      </c>
      <c r="AN11" s="12">
        <f t="shared" ref="AN11:AN12" si="28">AI11/K11</f>
        <v>0.10790598290598291</v>
      </c>
      <c r="AO11" s="12">
        <f t="shared" si="3"/>
        <v>0.41393442622950821</v>
      </c>
      <c r="AP11" s="12">
        <v>0.24399999999999999</v>
      </c>
      <c r="AQ11" s="12">
        <v>0.112</v>
      </c>
      <c r="AR11" s="12">
        <f t="shared" si="4"/>
        <v>0.10782147591692444</v>
      </c>
      <c r="AS11" s="12">
        <f t="shared" si="5"/>
        <v>2.1785714285714284</v>
      </c>
      <c r="AT11" s="12">
        <f t="shared" si="6"/>
        <v>0.26068376068376065</v>
      </c>
      <c r="AU11" s="12">
        <v>0.14399999999999999</v>
      </c>
      <c r="AV11" s="12">
        <v>0.12</v>
      </c>
      <c r="AW11" s="12">
        <f t="shared" si="7"/>
        <v>1.2</v>
      </c>
      <c r="AX11" s="14">
        <f t="shared" si="8"/>
        <v>1.6944444444444446</v>
      </c>
      <c r="AY11" s="15">
        <v>4</v>
      </c>
      <c r="AZ11" s="129">
        <v>13</v>
      </c>
      <c r="BA11" s="13" t="s">
        <v>75</v>
      </c>
      <c r="BB11" s="15">
        <v>8</v>
      </c>
      <c r="BC11" s="38">
        <v>6</v>
      </c>
    </row>
    <row r="12" spans="2:56" x14ac:dyDescent="0.2">
      <c r="B12" s="48"/>
      <c r="C12" s="10"/>
      <c r="D12" s="11"/>
      <c r="E12" s="11"/>
      <c r="F12" s="12">
        <f>1.093+1.17</f>
        <v>2.2629999999999999</v>
      </c>
      <c r="G12" s="14">
        <f t="shared" si="10"/>
        <v>3.992</v>
      </c>
      <c r="H12" s="14">
        <f t="shared" si="19"/>
        <v>1.7640300486080425</v>
      </c>
      <c r="I12" s="12">
        <v>0.113</v>
      </c>
      <c r="J12" s="12">
        <v>0.06</v>
      </c>
      <c r="K12" s="12">
        <v>0.91</v>
      </c>
      <c r="L12" s="12">
        <v>0.752</v>
      </c>
      <c r="M12" s="12">
        <v>0.73699999999999999</v>
      </c>
      <c r="N12" s="12">
        <v>0.155</v>
      </c>
      <c r="O12" s="12">
        <f>0.888+0.193+0.184</f>
        <v>1.2649999999999999</v>
      </c>
      <c r="P12" s="12">
        <f t="shared" si="11"/>
        <v>1.42</v>
      </c>
      <c r="Q12" s="14">
        <f t="shared" si="12"/>
        <v>1.5604395604395602</v>
      </c>
      <c r="R12" s="14">
        <f t="shared" si="0"/>
        <v>0.8098901098901099</v>
      </c>
      <c r="S12" s="14">
        <f t="shared" si="1"/>
        <v>0.82637362637362632</v>
      </c>
      <c r="T12" s="14">
        <f t="shared" si="13"/>
        <v>8.1612903225806441</v>
      </c>
      <c r="U12" s="12">
        <v>0.34799999999999998</v>
      </c>
      <c r="V12" s="12">
        <f t="shared" si="20"/>
        <v>11.471264367816092</v>
      </c>
      <c r="W12" s="12">
        <v>0.69</v>
      </c>
      <c r="X12" s="12">
        <v>0.123</v>
      </c>
      <c r="Y12" s="12">
        <f t="shared" si="25"/>
        <v>5.6097560975609753</v>
      </c>
      <c r="Z12" s="12">
        <v>0.46899999999999997</v>
      </c>
      <c r="AA12" s="12">
        <v>0.61799999999999999</v>
      </c>
      <c r="AB12" s="12">
        <f t="shared" si="26"/>
        <v>0.27308882015024305</v>
      </c>
      <c r="AC12" s="12">
        <v>1.298</v>
      </c>
      <c r="AD12" s="12">
        <f t="shared" si="27"/>
        <v>0.5735749005744587</v>
      </c>
      <c r="AE12" s="12">
        <v>0.127</v>
      </c>
      <c r="AF12" s="12">
        <f>AE12/K12</f>
        <v>0.13956043956043956</v>
      </c>
      <c r="AG12" s="12">
        <f>AE12/P12</f>
        <v>8.9436619718309865E-2</v>
      </c>
      <c r="AH12" s="12">
        <f>AE12/N12</f>
        <v>0.8193548387096774</v>
      </c>
      <c r="AI12" s="12">
        <v>0.10100000000000001</v>
      </c>
      <c r="AJ12" s="12">
        <v>6.9000000000000006E-2</v>
      </c>
      <c r="AK12" s="12">
        <f t="shared" si="2"/>
        <v>1.463768115942029</v>
      </c>
      <c r="AL12" s="12">
        <f>AI12/AE12</f>
        <v>0.79527559055118113</v>
      </c>
      <c r="AM12" s="12">
        <f t="shared" si="18"/>
        <v>0.65161290322580645</v>
      </c>
      <c r="AN12" s="12">
        <f t="shared" si="28"/>
        <v>0.110989010989011</v>
      </c>
      <c r="AO12" s="12">
        <f t="shared" si="3"/>
        <v>0.40890688259109315</v>
      </c>
      <c r="AP12" s="12">
        <v>0.247</v>
      </c>
      <c r="AQ12" s="12">
        <v>0.10299999999999999</v>
      </c>
      <c r="AR12" s="12">
        <f t="shared" si="4"/>
        <v>0.10914714980114892</v>
      </c>
      <c r="AS12" s="12">
        <f t="shared" si="5"/>
        <v>2.3980582524271847</v>
      </c>
      <c r="AT12" s="12">
        <f t="shared" si="6"/>
        <v>0.27142857142857141</v>
      </c>
      <c r="AU12" s="12">
        <v>0.14399999999999999</v>
      </c>
      <c r="AV12" s="12">
        <v>0.12</v>
      </c>
      <c r="AW12" s="12">
        <f t="shared" ref="AW12" si="29">AU12/AV12</f>
        <v>1.2</v>
      </c>
      <c r="AX12" s="14">
        <f t="shared" ref="AX12" si="30">AP12/AU12</f>
        <v>1.7152777777777779</v>
      </c>
      <c r="AY12" s="13" t="s">
        <v>75</v>
      </c>
      <c r="AZ12" s="126">
        <v>14</v>
      </c>
      <c r="BA12" s="13" t="s">
        <v>75</v>
      </c>
      <c r="BB12" s="13" t="s">
        <v>75</v>
      </c>
      <c r="BC12" s="35" t="s">
        <v>75</v>
      </c>
    </row>
    <row r="13" spans="2:56" x14ac:dyDescent="0.2">
      <c r="B13" s="49">
        <v>31592</v>
      </c>
      <c r="C13" s="16" t="s">
        <v>59</v>
      </c>
      <c r="D13" s="17" t="s">
        <v>63</v>
      </c>
      <c r="E13" s="17" t="s">
        <v>173</v>
      </c>
      <c r="F13" s="18">
        <f>1.081+0.668</f>
        <v>1.7490000000000001</v>
      </c>
      <c r="G13" s="19" t="s">
        <v>75</v>
      </c>
      <c r="H13" s="19" t="s">
        <v>75</v>
      </c>
      <c r="I13" s="18">
        <v>9.7000000000000003E-2</v>
      </c>
      <c r="J13" s="18">
        <v>4.9000000000000002E-2</v>
      </c>
      <c r="K13" s="18">
        <f>0.345+0.386</f>
        <v>0.73099999999999998</v>
      </c>
      <c r="L13" s="18">
        <v>0.46899999999999997</v>
      </c>
      <c r="M13" s="19" t="s">
        <v>75</v>
      </c>
      <c r="N13" s="19" t="s">
        <v>75</v>
      </c>
      <c r="O13" s="19" t="s">
        <v>75</v>
      </c>
      <c r="P13" s="19" t="s">
        <v>75</v>
      </c>
      <c r="Q13" s="19" t="s">
        <v>75</v>
      </c>
      <c r="R13" s="19" t="s">
        <v>75</v>
      </c>
      <c r="S13" s="20">
        <f t="shared" si="1"/>
        <v>0.64158686730506154</v>
      </c>
      <c r="T13" s="19" t="s">
        <v>75</v>
      </c>
      <c r="U13" s="18">
        <v>0.29799999999999999</v>
      </c>
      <c r="V13" s="25" t="s">
        <v>75</v>
      </c>
      <c r="W13" s="18">
        <v>0.51</v>
      </c>
      <c r="X13" s="18">
        <v>0.125</v>
      </c>
      <c r="Y13" s="18">
        <f>W13/X13</f>
        <v>4.08</v>
      </c>
      <c r="Z13" s="18">
        <v>0.372</v>
      </c>
      <c r="AA13" s="18">
        <v>0.42699999999999999</v>
      </c>
      <c r="AB13" s="18">
        <f t="shared" si="26"/>
        <v>0.24413950829045167</v>
      </c>
      <c r="AC13" s="18">
        <v>1.01</v>
      </c>
      <c r="AD13" s="18">
        <f t="shared" si="27"/>
        <v>0.57747284162378498</v>
      </c>
      <c r="AE13" s="18">
        <v>0.10199999999999999</v>
      </c>
      <c r="AF13" s="18">
        <f t="shared" ref="AF13:AF14" si="31">AE13/K13</f>
        <v>0.13953488372093023</v>
      </c>
      <c r="AG13" s="19" t="s">
        <v>75</v>
      </c>
      <c r="AH13" s="19" t="s">
        <v>75</v>
      </c>
      <c r="AI13" s="19" t="s">
        <v>75</v>
      </c>
      <c r="AJ13" s="19" t="s">
        <v>75</v>
      </c>
      <c r="AK13" s="19" t="s">
        <v>75</v>
      </c>
      <c r="AL13" s="19" t="s">
        <v>75</v>
      </c>
      <c r="AM13" s="19" t="s">
        <v>75</v>
      </c>
      <c r="AN13" s="19" t="s">
        <v>75</v>
      </c>
      <c r="AO13" s="19" t="s">
        <v>75</v>
      </c>
      <c r="AP13" s="18">
        <v>0.191</v>
      </c>
      <c r="AQ13" s="18">
        <v>0.10199999999999999</v>
      </c>
      <c r="AR13" s="18">
        <f t="shared" si="4"/>
        <v>0.10920526014865636</v>
      </c>
      <c r="AS13" s="18">
        <f t="shared" si="5"/>
        <v>1.8725490196078434</v>
      </c>
      <c r="AT13" s="18">
        <f t="shared" si="6"/>
        <v>0.26128590971272231</v>
      </c>
      <c r="AU13" s="18">
        <v>0.111</v>
      </c>
      <c r="AV13" s="19" t="s">
        <v>75</v>
      </c>
      <c r="AW13" s="19" t="s">
        <v>75</v>
      </c>
      <c r="AX13" s="20">
        <f t="shared" si="8"/>
        <v>1.7207207207207207</v>
      </c>
      <c r="AY13" s="21">
        <v>4</v>
      </c>
      <c r="AZ13" s="127">
        <v>11</v>
      </c>
      <c r="BA13" s="19" t="s">
        <v>75</v>
      </c>
      <c r="BB13" s="21">
        <v>5</v>
      </c>
      <c r="BC13" s="36">
        <v>6</v>
      </c>
    </row>
    <row r="14" spans="2:56" x14ac:dyDescent="0.2">
      <c r="B14" s="50"/>
      <c r="C14" s="16"/>
      <c r="D14" s="17"/>
      <c r="E14" s="17"/>
      <c r="F14" s="18">
        <f>1.081+0.668</f>
        <v>1.7490000000000001</v>
      </c>
      <c r="G14" s="19" t="s">
        <v>75</v>
      </c>
      <c r="H14" s="19" t="s">
        <v>75</v>
      </c>
      <c r="I14" s="18">
        <v>9.9000000000000005E-2</v>
      </c>
      <c r="J14" s="18">
        <v>0.05</v>
      </c>
      <c r="K14" s="18">
        <v>0.72499999999999998</v>
      </c>
      <c r="L14" s="18">
        <v>0.48299999999999998</v>
      </c>
      <c r="M14" s="18">
        <v>0.504</v>
      </c>
      <c r="N14" s="18">
        <v>0.127</v>
      </c>
      <c r="O14" s="19" t="s">
        <v>75</v>
      </c>
      <c r="P14" s="19" t="s">
        <v>75</v>
      </c>
      <c r="Q14" s="19" t="s">
        <v>75</v>
      </c>
      <c r="R14" s="20">
        <f t="shared" si="0"/>
        <v>0.69517241379310346</v>
      </c>
      <c r="S14" s="20">
        <f t="shared" si="1"/>
        <v>0.66620689655172416</v>
      </c>
      <c r="T14" s="19" t="s">
        <v>75</v>
      </c>
      <c r="U14" s="18">
        <v>0.29799999999999999</v>
      </c>
      <c r="V14" s="25" t="s">
        <v>75</v>
      </c>
      <c r="W14" s="18">
        <v>0.505</v>
      </c>
      <c r="X14" s="18">
        <v>0.128</v>
      </c>
      <c r="Y14" s="18">
        <f>W14/X14</f>
        <v>3.9453125</v>
      </c>
      <c r="Z14" s="18">
        <v>0.376</v>
      </c>
      <c r="AA14" s="18">
        <v>0.47599999999999998</v>
      </c>
      <c r="AB14" s="18">
        <f t="shared" si="26"/>
        <v>0.27215551743853628</v>
      </c>
      <c r="AC14" s="18">
        <v>0.995</v>
      </c>
      <c r="AD14" s="18">
        <f t="shared" si="27"/>
        <v>0.56889651229273863</v>
      </c>
      <c r="AE14" s="18">
        <v>0.104</v>
      </c>
      <c r="AF14" s="18">
        <f t="shared" si="31"/>
        <v>0.14344827586206896</v>
      </c>
      <c r="AG14" s="19" t="s">
        <v>75</v>
      </c>
      <c r="AH14" s="18">
        <f>AE14/N14</f>
        <v>0.81889763779527558</v>
      </c>
      <c r="AI14" s="19" t="s">
        <v>75</v>
      </c>
      <c r="AJ14" s="19" t="s">
        <v>75</v>
      </c>
      <c r="AK14" s="19" t="s">
        <v>75</v>
      </c>
      <c r="AL14" s="19" t="s">
        <v>75</v>
      </c>
      <c r="AM14" s="19" t="s">
        <v>75</v>
      </c>
      <c r="AN14" s="19" t="s">
        <v>75</v>
      </c>
      <c r="AO14" s="19" t="s">
        <v>75</v>
      </c>
      <c r="AP14" s="18">
        <v>0.184</v>
      </c>
      <c r="AQ14" s="18">
        <v>9.7000000000000003E-2</v>
      </c>
      <c r="AR14" s="18">
        <f t="shared" si="4"/>
        <v>0.10520297312750142</v>
      </c>
      <c r="AS14" s="18">
        <f t="shared" si="5"/>
        <v>1.8969072164948453</v>
      </c>
      <c r="AT14" s="18">
        <f t="shared" si="6"/>
        <v>0.25379310344827588</v>
      </c>
      <c r="AU14" s="18">
        <v>0.111</v>
      </c>
      <c r="AV14" s="19" t="s">
        <v>75</v>
      </c>
      <c r="AW14" s="19" t="s">
        <v>75</v>
      </c>
      <c r="AX14" s="20">
        <f t="shared" si="8"/>
        <v>1.6576576576576576</v>
      </c>
      <c r="AY14" s="19" t="s">
        <v>75</v>
      </c>
      <c r="AZ14" s="128" t="s">
        <v>75</v>
      </c>
      <c r="BA14" s="19" t="s">
        <v>75</v>
      </c>
      <c r="BB14" s="19" t="s">
        <v>75</v>
      </c>
      <c r="BC14" s="37" t="s">
        <v>75</v>
      </c>
    </row>
    <row r="15" spans="2:56" x14ac:dyDescent="0.2">
      <c r="B15" s="51">
        <v>31592</v>
      </c>
      <c r="C15" s="10" t="s">
        <v>59</v>
      </c>
      <c r="D15" s="11" t="s">
        <v>64</v>
      </c>
      <c r="E15" s="11" t="s">
        <v>173</v>
      </c>
      <c r="F15" s="12">
        <v>1.5580000000000001</v>
      </c>
      <c r="G15" s="13" t="s">
        <v>75</v>
      </c>
      <c r="H15" s="13" t="s">
        <v>75</v>
      </c>
      <c r="I15" s="12">
        <v>9.2999999999999999E-2</v>
      </c>
      <c r="J15" s="12">
        <v>0.05</v>
      </c>
      <c r="K15" s="12">
        <v>0.83499999999999996</v>
      </c>
      <c r="L15" s="12">
        <v>0.57699999999999996</v>
      </c>
      <c r="M15" s="12">
        <v>0.57999999999999996</v>
      </c>
      <c r="N15" s="12">
        <v>0.129</v>
      </c>
      <c r="O15" s="13" t="s">
        <v>75</v>
      </c>
      <c r="P15" s="13" t="s">
        <v>75</v>
      </c>
      <c r="Q15" s="13" t="s">
        <v>75</v>
      </c>
      <c r="R15" s="14">
        <f t="shared" si="0"/>
        <v>0.69461077844311381</v>
      </c>
      <c r="S15" s="14">
        <f t="shared" si="1"/>
        <v>0.69101796407185623</v>
      </c>
      <c r="T15" s="13" t="s">
        <v>75</v>
      </c>
      <c r="U15" s="12">
        <v>0.32700000000000001</v>
      </c>
      <c r="V15" s="13" t="s">
        <v>75</v>
      </c>
      <c r="W15" s="12">
        <v>0.58099999999999996</v>
      </c>
      <c r="X15" s="12">
        <v>0.121</v>
      </c>
      <c r="Y15" s="12">
        <f t="shared" ref="Y15:Y16" si="32">W15/X15</f>
        <v>4.8016528925619832</v>
      </c>
      <c r="Z15" s="12">
        <v>0.379</v>
      </c>
      <c r="AA15" s="12">
        <v>0.48099999999999998</v>
      </c>
      <c r="AB15" s="12">
        <f t="shared" si="26"/>
        <v>0.30872913992297818</v>
      </c>
      <c r="AC15" s="12">
        <v>1.135</v>
      </c>
      <c r="AD15" s="12">
        <f t="shared" si="27"/>
        <v>0.72849807445442871</v>
      </c>
      <c r="AE15" s="12">
        <v>9.6000000000000002E-2</v>
      </c>
      <c r="AF15" s="12">
        <f t="shared" ref="AF15:AF16" si="33">AE15/K15</f>
        <v>0.11497005988023953</v>
      </c>
      <c r="AG15" s="13" t="s">
        <v>75</v>
      </c>
      <c r="AH15" s="12">
        <f>AE15/N15</f>
        <v>0.7441860465116279</v>
      </c>
      <c r="AI15" s="13" t="s">
        <v>75</v>
      </c>
      <c r="AJ15" s="13" t="s">
        <v>75</v>
      </c>
      <c r="AK15" s="13" t="s">
        <v>75</v>
      </c>
      <c r="AL15" s="13" t="s">
        <v>75</v>
      </c>
      <c r="AM15" s="13" t="s">
        <v>75</v>
      </c>
      <c r="AN15" s="13" t="s">
        <v>75</v>
      </c>
      <c r="AO15" s="13" t="s">
        <v>75</v>
      </c>
      <c r="AP15" s="12">
        <v>0.22900000000000001</v>
      </c>
      <c r="AQ15" s="12">
        <v>0.124</v>
      </c>
      <c r="AR15" s="12">
        <f t="shared" si="4"/>
        <v>0.14698331193838254</v>
      </c>
      <c r="AS15" s="12">
        <f t="shared" si="5"/>
        <v>1.8467741935483872</v>
      </c>
      <c r="AT15" s="12">
        <f t="shared" si="6"/>
        <v>0.27425149700598805</v>
      </c>
      <c r="AU15" s="12">
        <v>0.13100000000000001</v>
      </c>
      <c r="AV15" s="13" t="s">
        <v>75</v>
      </c>
      <c r="AW15" s="13" t="s">
        <v>75</v>
      </c>
      <c r="AX15" s="14">
        <f t="shared" si="8"/>
        <v>1.748091603053435</v>
      </c>
      <c r="AY15" s="15">
        <v>5</v>
      </c>
      <c r="AZ15" s="129">
        <v>9</v>
      </c>
      <c r="BA15" s="13" t="s">
        <v>75</v>
      </c>
      <c r="BB15" s="15">
        <v>7</v>
      </c>
      <c r="BC15" s="38">
        <v>6</v>
      </c>
    </row>
    <row r="16" spans="2:56" x14ac:dyDescent="0.2">
      <c r="B16" s="48"/>
      <c r="C16" s="10"/>
      <c r="D16" s="11"/>
      <c r="E16" s="11"/>
      <c r="F16" s="12">
        <v>1.5580000000000001</v>
      </c>
      <c r="G16" s="14">
        <f>I16+J16+K16+L16+M16+N16+O16</f>
        <v>3.403</v>
      </c>
      <c r="H16" s="14">
        <f>G16/F16</f>
        <v>2.1842105263157894</v>
      </c>
      <c r="I16" s="12">
        <v>8.6999999999999994E-2</v>
      </c>
      <c r="J16" s="12">
        <v>4.8000000000000001E-2</v>
      </c>
      <c r="K16" s="12">
        <v>0.81</v>
      </c>
      <c r="L16" s="12">
        <v>0.57199999999999995</v>
      </c>
      <c r="M16" s="12">
        <v>0.60899999999999999</v>
      </c>
      <c r="N16" s="12">
        <v>0.11899999999999999</v>
      </c>
      <c r="O16" s="12">
        <f>0.54+0.293+0.198+0.127</f>
        <v>1.1579999999999999</v>
      </c>
      <c r="P16" s="12">
        <f>N:N+O:O</f>
        <v>1.2769999999999999</v>
      </c>
      <c r="Q16" s="14">
        <f t="shared" si="12"/>
        <v>1.5765432098765431</v>
      </c>
      <c r="R16" s="14">
        <f t="shared" si="0"/>
        <v>0.75185185185185177</v>
      </c>
      <c r="S16" s="14">
        <f t="shared" si="1"/>
        <v>0.70617283950617271</v>
      </c>
      <c r="T16" s="14">
        <f t="shared" si="13"/>
        <v>9.7310924369747891</v>
      </c>
      <c r="U16" s="12">
        <v>0.32700000000000001</v>
      </c>
      <c r="V16" s="12">
        <f t="shared" si="20"/>
        <v>10.406727828746178</v>
      </c>
      <c r="W16" s="12">
        <v>0.56000000000000005</v>
      </c>
      <c r="X16" s="12">
        <v>0.126</v>
      </c>
      <c r="Y16" s="12">
        <f t="shared" si="32"/>
        <v>4.4444444444444446</v>
      </c>
      <c r="Z16" s="12">
        <v>0.38200000000000001</v>
      </c>
      <c r="AA16" s="12">
        <v>0.497</v>
      </c>
      <c r="AB16" s="12">
        <f t="shared" si="26"/>
        <v>0.31899871630295251</v>
      </c>
      <c r="AC16" s="12">
        <v>1.089</v>
      </c>
      <c r="AD16" s="12">
        <f t="shared" si="27"/>
        <v>0.69897304236200253</v>
      </c>
      <c r="AE16" s="12">
        <v>0.10100000000000001</v>
      </c>
      <c r="AF16" s="12">
        <f t="shared" si="33"/>
        <v>0.12469135802469136</v>
      </c>
      <c r="AG16" s="12">
        <f>AE16/P16</f>
        <v>7.9091620986687552E-2</v>
      </c>
      <c r="AH16" s="12">
        <f>AE16/N16</f>
        <v>0.84873949579831942</v>
      </c>
      <c r="AI16" s="13" t="s">
        <v>75</v>
      </c>
      <c r="AJ16" s="13" t="s">
        <v>75</v>
      </c>
      <c r="AK16" s="13" t="s">
        <v>75</v>
      </c>
      <c r="AL16" s="13" t="s">
        <v>75</v>
      </c>
      <c r="AM16" s="13" t="s">
        <v>75</v>
      </c>
      <c r="AN16" s="13" t="s">
        <v>75</v>
      </c>
      <c r="AO16" s="13" t="s">
        <v>75</v>
      </c>
      <c r="AP16" s="12">
        <v>0.22800000000000001</v>
      </c>
      <c r="AQ16" s="12">
        <v>0.13700000000000001</v>
      </c>
      <c r="AR16" s="12">
        <f t="shared" si="4"/>
        <v>0.14634146341463414</v>
      </c>
      <c r="AS16" s="12">
        <f t="shared" si="5"/>
        <v>1.6642335766423357</v>
      </c>
      <c r="AT16" s="12">
        <f t="shared" si="6"/>
        <v>0.2814814814814815</v>
      </c>
      <c r="AU16" s="12">
        <v>0.13100000000000001</v>
      </c>
      <c r="AV16" s="13" t="s">
        <v>75</v>
      </c>
      <c r="AW16" s="13" t="s">
        <v>75</v>
      </c>
      <c r="AX16" s="14">
        <f t="shared" si="8"/>
        <v>1.7404580152671756</v>
      </c>
      <c r="AY16" s="13" t="s">
        <v>75</v>
      </c>
      <c r="AZ16" s="126">
        <v>10</v>
      </c>
      <c r="BA16" s="13" t="s">
        <v>75</v>
      </c>
      <c r="BB16" s="13" t="s">
        <v>75</v>
      </c>
      <c r="BC16" s="35" t="s">
        <v>75</v>
      </c>
    </row>
    <row r="17" spans="2:55" x14ac:dyDescent="0.2">
      <c r="B17" s="49">
        <v>31592</v>
      </c>
      <c r="C17" s="16" t="s">
        <v>59</v>
      </c>
      <c r="D17" s="17" t="s">
        <v>65</v>
      </c>
      <c r="E17" s="17" t="s">
        <v>173</v>
      </c>
      <c r="F17" s="18">
        <f>1.541+0.601</f>
        <v>2.1419999999999999</v>
      </c>
      <c r="G17" s="20">
        <f>I17+J17+K17+L17+M17+N17+O17</f>
        <v>3.5079999999999996</v>
      </c>
      <c r="H17" s="20">
        <f>G17/F17</f>
        <v>1.6377217553688141</v>
      </c>
      <c r="I17" s="18">
        <v>0.10299999999999999</v>
      </c>
      <c r="J17" s="18">
        <v>5.5E-2</v>
      </c>
      <c r="K17" s="18">
        <v>0.97399999999999998</v>
      </c>
      <c r="L17" s="18">
        <v>0.65500000000000003</v>
      </c>
      <c r="M17" s="18">
        <v>0.626</v>
      </c>
      <c r="N17" s="18">
        <v>0.13800000000000001</v>
      </c>
      <c r="O17" s="18">
        <f>0.751+0.206</f>
        <v>0.95699999999999996</v>
      </c>
      <c r="P17" s="18">
        <f>N:N+O:O</f>
        <v>1.095</v>
      </c>
      <c r="Q17" s="20">
        <f t="shared" si="12"/>
        <v>1.124229979466119</v>
      </c>
      <c r="R17" s="20">
        <f t="shared" si="0"/>
        <v>0.64271047227926081</v>
      </c>
      <c r="S17" s="20">
        <f t="shared" si="1"/>
        <v>0.67248459958932238</v>
      </c>
      <c r="T17" s="20">
        <f t="shared" si="13"/>
        <v>6.9347826086956514</v>
      </c>
      <c r="U17" s="18">
        <v>0.38</v>
      </c>
      <c r="V17" s="18">
        <f t="shared" si="20"/>
        <v>9.2315789473684191</v>
      </c>
      <c r="W17" s="18">
        <v>0.71799999999999997</v>
      </c>
      <c r="X17" s="18">
        <v>0.14799999999999999</v>
      </c>
      <c r="Y17" s="18">
        <f>W17/X17</f>
        <v>4.8513513513513518</v>
      </c>
      <c r="Z17" s="18">
        <v>0.47099999999999997</v>
      </c>
      <c r="AA17" s="18">
        <v>0.622</v>
      </c>
      <c r="AB17" s="18">
        <f t="shared" si="26"/>
        <v>0.29038281979458452</v>
      </c>
      <c r="AC17" s="18">
        <v>1.3129999999999999</v>
      </c>
      <c r="AD17" s="18">
        <f t="shared" si="27"/>
        <v>0.61297852474323067</v>
      </c>
      <c r="AE17" s="18">
        <v>0.11899999999999999</v>
      </c>
      <c r="AF17" s="18">
        <f>AE17/K17</f>
        <v>0.12217659137577001</v>
      </c>
      <c r="AG17" s="18">
        <f>AE17/P17</f>
        <v>0.10867579908675799</v>
      </c>
      <c r="AH17" s="18">
        <f>AE17/N17</f>
        <v>0.86231884057971009</v>
      </c>
      <c r="AI17" s="18">
        <v>0.104</v>
      </c>
      <c r="AJ17" s="18">
        <v>7.9000000000000001E-2</v>
      </c>
      <c r="AK17" s="18">
        <f t="shared" si="2"/>
        <v>1.3164556962025316</v>
      </c>
      <c r="AL17" s="18">
        <f>AI17/AE17</f>
        <v>0.87394957983193278</v>
      </c>
      <c r="AM17" s="18">
        <f>AI17/N17</f>
        <v>0.75362318840579701</v>
      </c>
      <c r="AN17" s="24">
        <f t="shared" ref="AN17" si="34">AI17/K17</f>
        <v>0.10677618069815195</v>
      </c>
      <c r="AO17" s="18">
        <f t="shared" si="3"/>
        <v>0.39393939393939392</v>
      </c>
      <c r="AP17" s="18">
        <v>0.26400000000000001</v>
      </c>
      <c r="AQ17" s="18">
        <v>0.14199999999999999</v>
      </c>
      <c r="AR17" s="18">
        <f t="shared" si="4"/>
        <v>0.12324929971988796</v>
      </c>
      <c r="AS17" s="18">
        <f t="shared" si="5"/>
        <v>1.859154929577465</v>
      </c>
      <c r="AT17" s="18">
        <f t="shared" si="6"/>
        <v>0.27104722792607805</v>
      </c>
      <c r="AU17" s="18">
        <v>0.107</v>
      </c>
      <c r="AV17" s="18">
        <v>0.153</v>
      </c>
      <c r="AW17" s="18">
        <f t="shared" si="7"/>
        <v>0.69934640522875813</v>
      </c>
      <c r="AX17" s="20">
        <f t="shared" si="8"/>
        <v>2.4672897196261685</v>
      </c>
      <c r="AY17" s="21">
        <v>5</v>
      </c>
      <c r="AZ17" s="127">
        <v>17</v>
      </c>
      <c r="BA17" s="19" t="s">
        <v>75</v>
      </c>
      <c r="BB17" s="21">
        <v>5</v>
      </c>
      <c r="BC17" s="36">
        <v>8</v>
      </c>
    </row>
    <row r="18" spans="2:55" x14ac:dyDescent="0.2">
      <c r="B18" s="50"/>
      <c r="C18" s="16"/>
      <c r="D18" s="17"/>
      <c r="E18" s="17"/>
      <c r="F18" s="18">
        <f>1.541+0.601</f>
        <v>2.1419999999999999</v>
      </c>
      <c r="G18" s="19" t="s">
        <v>75</v>
      </c>
      <c r="H18" s="19" t="s">
        <v>75</v>
      </c>
      <c r="I18" s="18">
        <v>0.10199999999999999</v>
      </c>
      <c r="J18" s="18">
        <v>5.1999999999999998E-2</v>
      </c>
      <c r="K18" s="19" t="s">
        <v>75</v>
      </c>
      <c r="L18" s="19" t="s">
        <v>75</v>
      </c>
      <c r="M18" s="19" t="s">
        <v>75</v>
      </c>
      <c r="N18" s="19" t="s">
        <v>75</v>
      </c>
      <c r="O18" s="19" t="s">
        <v>75</v>
      </c>
      <c r="P18" s="19" t="s">
        <v>75</v>
      </c>
      <c r="Q18" s="19" t="s">
        <v>75</v>
      </c>
      <c r="R18" s="19" t="s">
        <v>75</v>
      </c>
      <c r="S18" s="19" t="s">
        <v>75</v>
      </c>
      <c r="T18" s="19" t="s">
        <v>75</v>
      </c>
      <c r="U18" s="18">
        <v>0.38</v>
      </c>
      <c r="V18" s="25" t="s">
        <v>75</v>
      </c>
      <c r="W18" s="19" t="s">
        <v>75</v>
      </c>
      <c r="X18" s="19" t="s">
        <v>75</v>
      </c>
      <c r="Y18" s="19" t="s">
        <v>75</v>
      </c>
      <c r="Z18" s="18">
        <v>0.46100000000000002</v>
      </c>
      <c r="AA18" s="19" t="s">
        <v>75</v>
      </c>
      <c r="AB18" s="19" t="s">
        <v>75</v>
      </c>
      <c r="AC18" s="19" t="s">
        <v>75</v>
      </c>
      <c r="AD18" s="19" t="s">
        <v>75</v>
      </c>
      <c r="AE18" s="19" t="s">
        <v>75</v>
      </c>
      <c r="AF18" s="19" t="s">
        <v>75</v>
      </c>
      <c r="AG18" s="19" t="s">
        <v>75</v>
      </c>
      <c r="AH18" s="19" t="s">
        <v>75</v>
      </c>
      <c r="AI18" s="18">
        <v>0.104</v>
      </c>
      <c r="AJ18" s="18">
        <v>7.9000000000000001E-2</v>
      </c>
      <c r="AK18" s="18">
        <f t="shared" si="2"/>
        <v>1.3164556962025316</v>
      </c>
      <c r="AL18" s="19" t="s">
        <v>75</v>
      </c>
      <c r="AM18" s="19" t="s">
        <v>75</v>
      </c>
      <c r="AN18" s="19" t="s">
        <v>75</v>
      </c>
      <c r="AO18" s="18">
        <f t="shared" si="3"/>
        <v>0.39393939393939392</v>
      </c>
      <c r="AP18" s="18">
        <v>0.26400000000000001</v>
      </c>
      <c r="AQ18" s="18">
        <v>0.14000000000000001</v>
      </c>
      <c r="AR18" s="18">
        <f t="shared" si="4"/>
        <v>0.12324929971988796</v>
      </c>
      <c r="AS18" s="18">
        <f t="shared" si="5"/>
        <v>1.8857142857142857</v>
      </c>
      <c r="AT18" s="19" t="s">
        <v>75</v>
      </c>
      <c r="AU18" s="18">
        <v>0.107</v>
      </c>
      <c r="AV18" s="18">
        <v>0.153</v>
      </c>
      <c r="AW18" s="18">
        <f t="shared" ref="AW18" si="35">AU18/AV18</f>
        <v>0.69934640522875813</v>
      </c>
      <c r="AX18" s="20">
        <f t="shared" ref="AX18" si="36">AP18/AU18</f>
        <v>2.4672897196261685</v>
      </c>
      <c r="AY18" s="19" t="s">
        <v>75</v>
      </c>
      <c r="AZ18" s="128" t="s">
        <v>75</v>
      </c>
      <c r="BA18" s="19" t="s">
        <v>75</v>
      </c>
      <c r="BB18" s="19" t="s">
        <v>75</v>
      </c>
      <c r="BC18" s="37" t="s">
        <v>75</v>
      </c>
    </row>
    <row r="19" spans="2:55" x14ac:dyDescent="0.2">
      <c r="B19" s="51">
        <v>31592</v>
      </c>
      <c r="C19" s="10" t="s">
        <v>59</v>
      </c>
      <c r="D19" s="11" t="s">
        <v>66</v>
      </c>
      <c r="E19" s="11" t="s">
        <v>173</v>
      </c>
      <c r="F19" s="12">
        <f>1.186+0.475</f>
        <v>1.661</v>
      </c>
      <c r="G19" s="14">
        <f>I19+J19+K19+L19+M19+N19+O19</f>
        <v>3.3330000000000002</v>
      </c>
      <c r="H19" s="14">
        <f>G19/F19</f>
        <v>2.0066225165562916</v>
      </c>
      <c r="I19" s="12">
        <v>9.2999999999999999E-2</v>
      </c>
      <c r="J19" s="12">
        <v>4.2000000000000003E-2</v>
      </c>
      <c r="K19" s="12">
        <v>0.82599999999999996</v>
      </c>
      <c r="L19" s="12">
        <v>0.56299999999999994</v>
      </c>
      <c r="M19" s="12">
        <v>0.55400000000000005</v>
      </c>
      <c r="N19" s="12">
        <v>0.115</v>
      </c>
      <c r="O19" s="12">
        <v>1.1399999999999999</v>
      </c>
      <c r="P19" s="12">
        <f>N:N+O:O</f>
        <v>1.2549999999999999</v>
      </c>
      <c r="Q19" s="14">
        <f t="shared" si="12"/>
        <v>1.5193704600484261</v>
      </c>
      <c r="R19" s="14">
        <f t="shared" si="0"/>
        <v>0.67070217917675556</v>
      </c>
      <c r="S19" s="14">
        <f t="shared" si="1"/>
        <v>0.68159806295399517</v>
      </c>
      <c r="T19" s="14">
        <f t="shared" si="13"/>
        <v>9.9130434782608674</v>
      </c>
      <c r="U19" s="12">
        <v>0.317</v>
      </c>
      <c r="V19" s="12">
        <f t="shared" si="20"/>
        <v>10.514195583596216</v>
      </c>
      <c r="W19" s="12">
        <v>0.56299999999999994</v>
      </c>
      <c r="X19" s="12">
        <v>0.128</v>
      </c>
      <c r="Y19" s="12">
        <f t="shared" ref="Y19:Y20" si="37">W19/X19</f>
        <v>4.3984374999999991</v>
      </c>
      <c r="Z19" s="12">
        <v>0.38700000000000001</v>
      </c>
      <c r="AA19" s="12">
        <v>0.47699999999999998</v>
      </c>
      <c r="AB19" s="12">
        <f t="shared" ref="AB19:AB31" si="38">AA19/F19</f>
        <v>0.28717639975918119</v>
      </c>
      <c r="AC19" s="12">
        <v>1.0649999999999999</v>
      </c>
      <c r="AD19" s="12">
        <f t="shared" ref="AD19:AD31" si="39">AC19/F19</f>
        <v>0.64118001204093911</v>
      </c>
      <c r="AE19" s="12">
        <v>8.7999999999999995E-2</v>
      </c>
      <c r="AF19" s="12">
        <f t="shared" ref="AF19:AF21" si="40">AE19/K19</f>
        <v>0.10653753026634383</v>
      </c>
      <c r="AG19" s="12">
        <f>AE19/P19</f>
        <v>7.0119521912350602E-2</v>
      </c>
      <c r="AH19" s="12">
        <f>AE19/N19</f>
        <v>0.76521739130434774</v>
      </c>
      <c r="AI19" s="13" t="s">
        <v>75</v>
      </c>
      <c r="AJ19" s="13" t="s">
        <v>75</v>
      </c>
      <c r="AK19" s="13" t="s">
        <v>75</v>
      </c>
      <c r="AL19" s="13" t="s">
        <v>75</v>
      </c>
      <c r="AM19" s="13" t="s">
        <v>75</v>
      </c>
      <c r="AN19" s="13" t="s">
        <v>75</v>
      </c>
      <c r="AO19" s="13" t="s">
        <v>75</v>
      </c>
      <c r="AP19" s="12">
        <v>0.221</v>
      </c>
      <c r="AQ19" s="12">
        <v>0.12</v>
      </c>
      <c r="AR19" s="12">
        <f t="shared" si="4"/>
        <v>0.13305237808549067</v>
      </c>
      <c r="AS19" s="12">
        <f t="shared" si="5"/>
        <v>1.8416666666666668</v>
      </c>
      <c r="AT19" s="12">
        <f>AP19/K19</f>
        <v>0.26755447941888622</v>
      </c>
      <c r="AU19" s="12">
        <v>7.5999999999999998E-2</v>
      </c>
      <c r="AV19" s="12">
        <v>0.106</v>
      </c>
      <c r="AW19" s="12">
        <f t="shared" si="7"/>
        <v>0.71698113207547165</v>
      </c>
      <c r="AX19" s="14">
        <f t="shared" si="8"/>
        <v>2.9078947368421053</v>
      </c>
      <c r="AY19" s="15">
        <v>5</v>
      </c>
      <c r="AZ19" s="129">
        <v>12</v>
      </c>
      <c r="BA19" s="13" t="s">
        <v>75</v>
      </c>
      <c r="BB19" s="15">
        <v>4</v>
      </c>
      <c r="BC19" s="38">
        <v>6</v>
      </c>
    </row>
    <row r="20" spans="2:55" x14ac:dyDescent="0.2">
      <c r="B20" s="48"/>
      <c r="C20" s="10"/>
      <c r="D20" s="11"/>
      <c r="E20" s="11"/>
      <c r="F20" s="12">
        <f>1.186+0.475</f>
        <v>1.661</v>
      </c>
      <c r="G20" s="14">
        <f>I20+J20+K20+L20+M20+N20+O20</f>
        <v>3.375</v>
      </c>
      <c r="H20" s="14">
        <f>G20/F20</f>
        <v>2.0319084888621313</v>
      </c>
      <c r="I20" s="12">
        <v>8.8999999999999996E-2</v>
      </c>
      <c r="J20" s="12">
        <v>4.2000000000000003E-2</v>
      </c>
      <c r="K20" s="12">
        <v>0.85099999999999998</v>
      </c>
      <c r="L20" s="12">
        <v>0.56399999999999995</v>
      </c>
      <c r="M20" s="12">
        <v>0.55900000000000005</v>
      </c>
      <c r="N20" s="12">
        <v>0.122</v>
      </c>
      <c r="O20" s="12">
        <f>0.66+0.352+0.136</f>
        <v>1.1480000000000001</v>
      </c>
      <c r="P20" s="12">
        <f>N:N+O:O</f>
        <v>1.27</v>
      </c>
      <c r="Q20" s="14">
        <f t="shared" si="12"/>
        <v>1.4923619271445359</v>
      </c>
      <c r="R20" s="14">
        <f t="shared" si="0"/>
        <v>0.65687426556991779</v>
      </c>
      <c r="S20" s="14">
        <f t="shared" si="1"/>
        <v>0.66274970622796703</v>
      </c>
      <c r="T20" s="14">
        <f t="shared" si="13"/>
        <v>9.4098360655737725</v>
      </c>
      <c r="U20" s="12">
        <v>0.317</v>
      </c>
      <c r="V20" s="12">
        <f t="shared" si="20"/>
        <v>10.646687697160884</v>
      </c>
      <c r="W20" s="12">
        <v>0.59499999999999997</v>
      </c>
      <c r="X20" s="12">
        <v>0.13300000000000001</v>
      </c>
      <c r="Y20" s="12">
        <f t="shared" si="37"/>
        <v>4.473684210526315</v>
      </c>
      <c r="Z20" s="12">
        <v>0.33100000000000002</v>
      </c>
      <c r="AA20" s="12">
        <v>0.439</v>
      </c>
      <c r="AB20" s="12">
        <f t="shared" si="38"/>
        <v>0.26429861529199278</v>
      </c>
      <c r="AC20" s="12">
        <v>1.014</v>
      </c>
      <c r="AD20" s="12">
        <f t="shared" si="39"/>
        <v>0.61047561709813369</v>
      </c>
      <c r="AE20" s="12">
        <v>8.6999999999999994E-2</v>
      </c>
      <c r="AF20" s="12">
        <f t="shared" si="40"/>
        <v>0.10223266745005875</v>
      </c>
      <c r="AG20" s="12">
        <f>AE20/P20</f>
        <v>6.8503937007874008E-2</v>
      </c>
      <c r="AH20" s="12">
        <f>AE20/N20</f>
        <v>0.71311475409836067</v>
      </c>
      <c r="AI20" s="13" t="s">
        <v>75</v>
      </c>
      <c r="AJ20" s="13" t="s">
        <v>75</v>
      </c>
      <c r="AK20" s="13" t="s">
        <v>75</v>
      </c>
      <c r="AL20" s="13" t="s">
        <v>75</v>
      </c>
      <c r="AM20" s="13" t="s">
        <v>75</v>
      </c>
      <c r="AN20" s="13" t="s">
        <v>75</v>
      </c>
      <c r="AO20" s="13" t="s">
        <v>75</v>
      </c>
      <c r="AP20" s="12">
        <v>0.216</v>
      </c>
      <c r="AQ20" s="12">
        <v>0.111</v>
      </c>
      <c r="AR20" s="12">
        <f t="shared" si="4"/>
        <v>0.13004214328717639</v>
      </c>
      <c r="AS20" s="12">
        <f t="shared" si="5"/>
        <v>1.9459459459459458</v>
      </c>
      <c r="AT20" s="12">
        <f>AP20/K20</f>
        <v>0.25381903642773207</v>
      </c>
      <c r="AU20" s="12">
        <v>7.5999999999999998E-2</v>
      </c>
      <c r="AV20" s="12">
        <v>0.106</v>
      </c>
      <c r="AW20" s="12">
        <f t="shared" ref="AW20" si="41">AU20/AV20</f>
        <v>0.71698113207547165</v>
      </c>
      <c r="AX20" s="14">
        <f t="shared" ref="AX20" si="42">AP20/AU20</f>
        <v>2.8421052631578947</v>
      </c>
      <c r="AY20" s="13" t="s">
        <v>75</v>
      </c>
      <c r="AZ20" s="126">
        <v>13</v>
      </c>
      <c r="BA20" s="13" t="s">
        <v>75</v>
      </c>
      <c r="BB20" s="13" t="s">
        <v>75</v>
      </c>
      <c r="BC20" s="35" t="s">
        <v>75</v>
      </c>
    </row>
    <row r="21" spans="2:55" x14ac:dyDescent="0.2">
      <c r="B21" s="52">
        <v>31592</v>
      </c>
      <c r="C21" s="22" t="s">
        <v>59</v>
      </c>
      <c r="D21" s="23" t="s">
        <v>67</v>
      </c>
      <c r="E21" s="23" t="s">
        <v>173</v>
      </c>
      <c r="F21" s="24">
        <f>1.088+0.474</f>
        <v>1.5620000000000001</v>
      </c>
      <c r="G21" s="25" t="s">
        <v>75</v>
      </c>
      <c r="H21" s="25" t="s">
        <v>75</v>
      </c>
      <c r="I21" s="24">
        <v>8.5999999999999993E-2</v>
      </c>
      <c r="J21" s="24">
        <v>4.3999999999999997E-2</v>
      </c>
      <c r="K21" s="24">
        <v>0.76200000000000001</v>
      </c>
      <c r="L21" s="24">
        <v>0.52400000000000002</v>
      </c>
      <c r="M21" s="24">
        <v>0.53600000000000003</v>
      </c>
      <c r="N21" s="24">
        <v>0.127</v>
      </c>
      <c r="O21" s="25" t="s">
        <v>75</v>
      </c>
      <c r="P21" s="25" t="s">
        <v>75</v>
      </c>
      <c r="Q21" s="25" t="s">
        <v>75</v>
      </c>
      <c r="R21" s="26">
        <f t="shared" si="0"/>
        <v>0.70341207349081369</v>
      </c>
      <c r="S21" s="26">
        <f t="shared" si="1"/>
        <v>0.68766404199475073</v>
      </c>
      <c r="T21" s="25" t="s">
        <v>75</v>
      </c>
      <c r="U21" s="24">
        <v>0.31</v>
      </c>
      <c r="V21" s="25" t="s">
        <v>75</v>
      </c>
      <c r="W21" s="24">
        <v>0.53500000000000003</v>
      </c>
      <c r="X21" s="24">
        <v>0.115</v>
      </c>
      <c r="Y21" s="18">
        <f>W21/X21</f>
        <v>4.6521739130434785</v>
      </c>
      <c r="Z21" s="24">
        <v>0.36399999999999999</v>
      </c>
      <c r="AA21" s="24">
        <v>0.443</v>
      </c>
      <c r="AB21" s="24">
        <f t="shared" si="38"/>
        <v>0.28361075544174136</v>
      </c>
      <c r="AC21" s="24">
        <v>0.92700000000000005</v>
      </c>
      <c r="AD21" s="24">
        <f t="shared" si="39"/>
        <v>0.5934699103713188</v>
      </c>
      <c r="AE21" s="24">
        <v>8.1000000000000003E-2</v>
      </c>
      <c r="AF21" s="18">
        <f t="shared" si="40"/>
        <v>0.1062992125984252</v>
      </c>
      <c r="AG21" s="25" t="s">
        <v>75</v>
      </c>
      <c r="AH21" s="24">
        <f>AE21/N21</f>
        <v>0.63779527559055116</v>
      </c>
      <c r="AI21" s="24">
        <v>8.5999999999999993E-2</v>
      </c>
      <c r="AJ21" s="24">
        <v>6.2E-2</v>
      </c>
      <c r="AK21" s="24">
        <f t="shared" si="2"/>
        <v>1.3870967741935483</v>
      </c>
      <c r="AL21" s="24">
        <f t="shared" ref="AL21:AL28" si="43">AI21/AE21</f>
        <v>1.0617283950617282</v>
      </c>
      <c r="AM21" s="24">
        <f>AI21/N21</f>
        <v>0.67716535433070857</v>
      </c>
      <c r="AN21" s="24">
        <f t="shared" ref="AN21" si="44">AI21/K21</f>
        <v>0.11286089238845143</v>
      </c>
      <c r="AO21" s="24">
        <f t="shared" si="3"/>
        <v>0.39631336405529949</v>
      </c>
      <c r="AP21" s="24">
        <v>0.217</v>
      </c>
      <c r="AQ21" s="24">
        <v>0.11899999999999999</v>
      </c>
      <c r="AR21" s="24">
        <f t="shared" si="4"/>
        <v>0.13892445582586427</v>
      </c>
      <c r="AS21" s="24">
        <f t="shared" si="5"/>
        <v>1.8235294117647058</v>
      </c>
      <c r="AT21" s="24">
        <f>AP21/K21</f>
        <v>0.28477690288713908</v>
      </c>
      <c r="AU21" s="24">
        <v>0.10100000000000001</v>
      </c>
      <c r="AV21" s="24">
        <v>0.104</v>
      </c>
      <c r="AW21" s="24">
        <f t="shared" si="7"/>
        <v>0.97115384615384626</v>
      </c>
      <c r="AX21" s="26">
        <f t="shared" si="8"/>
        <v>2.1485148514851482</v>
      </c>
      <c r="AY21" s="27">
        <v>5</v>
      </c>
      <c r="AZ21" s="130">
        <v>12</v>
      </c>
      <c r="BA21" s="25" t="s">
        <v>75</v>
      </c>
      <c r="BB21" s="27">
        <v>8</v>
      </c>
      <c r="BC21" s="39">
        <v>7</v>
      </c>
    </row>
    <row r="22" spans="2:55" x14ac:dyDescent="0.2">
      <c r="B22" s="53"/>
      <c r="C22" s="22"/>
      <c r="D22" s="23"/>
      <c r="E22" s="23"/>
      <c r="F22" s="24">
        <f>1.088+0.474</f>
        <v>1.5620000000000001</v>
      </c>
      <c r="G22" s="25" t="s">
        <v>75</v>
      </c>
      <c r="H22" s="25" t="s">
        <v>75</v>
      </c>
      <c r="I22" s="24">
        <v>9.2999999999999999E-2</v>
      </c>
      <c r="J22" s="24">
        <v>4.3999999999999997E-2</v>
      </c>
      <c r="K22" s="25" t="s">
        <v>75</v>
      </c>
      <c r="L22" s="25" t="s">
        <v>75</v>
      </c>
      <c r="M22" s="25" t="s">
        <v>75</v>
      </c>
      <c r="N22" s="25" t="s">
        <v>75</v>
      </c>
      <c r="O22" s="25" t="s">
        <v>75</v>
      </c>
      <c r="P22" s="25" t="s">
        <v>75</v>
      </c>
      <c r="Q22" s="25" t="s">
        <v>75</v>
      </c>
      <c r="R22" s="25" t="s">
        <v>75</v>
      </c>
      <c r="S22" s="25" t="s">
        <v>75</v>
      </c>
      <c r="T22" s="25" t="s">
        <v>75</v>
      </c>
      <c r="U22" s="24">
        <v>0.31</v>
      </c>
      <c r="V22" s="25" t="s">
        <v>75</v>
      </c>
      <c r="W22" s="24">
        <v>0.52500000000000002</v>
      </c>
      <c r="X22" s="24">
        <v>0.114</v>
      </c>
      <c r="Y22" s="18">
        <f>W22/X22</f>
        <v>4.6052631578947372</v>
      </c>
      <c r="Z22" s="24">
        <v>0.34100000000000003</v>
      </c>
      <c r="AA22" s="24">
        <v>0.44900000000000001</v>
      </c>
      <c r="AB22" s="24">
        <f t="shared" si="38"/>
        <v>0.2874519846350832</v>
      </c>
      <c r="AC22" s="24">
        <v>0.94399999999999995</v>
      </c>
      <c r="AD22" s="24">
        <f t="shared" si="39"/>
        <v>0.60435339308578739</v>
      </c>
      <c r="AE22" s="24">
        <v>8.6999999999999994E-2</v>
      </c>
      <c r="AF22" s="25" t="s">
        <v>75</v>
      </c>
      <c r="AG22" s="25" t="s">
        <v>75</v>
      </c>
      <c r="AH22" s="25" t="s">
        <v>75</v>
      </c>
      <c r="AI22" s="24">
        <v>8.5999999999999993E-2</v>
      </c>
      <c r="AJ22" s="24">
        <v>6.2E-2</v>
      </c>
      <c r="AK22" s="24">
        <f t="shared" si="2"/>
        <v>1.3870967741935483</v>
      </c>
      <c r="AL22" s="24">
        <f t="shared" si="43"/>
        <v>0.9885057471264368</v>
      </c>
      <c r="AM22" s="25" t="s">
        <v>75</v>
      </c>
      <c r="AN22" s="25" t="s">
        <v>75</v>
      </c>
      <c r="AO22" s="24">
        <f t="shared" si="3"/>
        <v>0.41545893719806765</v>
      </c>
      <c r="AP22" s="24">
        <v>0.20699999999999999</v>
      </c>
      <c r="AQ22" s="24">
        <v>0.123</v>
      </c>
      <c r="AR22" s="24">
        <f t="shared" si="4"/>
        <v>0.13252240717029448</v>
      </c>
      <c r="AS22" s="24">
        <f t="shared" si="5"/>
        <v>1.6829268292682926</v>
      </c>
      <c r="AT22" s="25" t="s">
        <v>75</v>
      </c>
      <c r="AU22" s="24">
        <v>0.10100000000000001</v>
      </c>
      <c r="AV22" s="24">
        <v>0.104</v>
      </c>
      <c r="AW22" s="24">
        <f t="shared" ref="AW22" si="45">AU22/AV22</f>
        <v>0.97115384615384626</v>
      </c>
      <c r="AX22" s="26">
        <f t="shared" ref="AX22" si="46">AP22/AU22</f>
        <v>2.0495049504950491</v>
      </c>
      <c r="AY22" s="25" t="s">
        <v>75</v>
      </c>
      <c r="AZ22" s="131" t="s">
        <v>75</v>
      </c>
      <c r="BA22" s="25" t="s">
        <v>75</v>
      </c>
      <c r="BB22" s="25" t="s">
        <v>75</v>
      </c>
      <c r="BC22" s="40" t="s">
        <v>75</v>
      </c>
    </row>
    <row r="23" spans="2:55" x14ac:dyDescent="0.2">
      <c r="B23" s="51">
        <v>31592</v>
      </c>
      <c r="C23" s="10" t="s">
        <v>59</v>
      </c>
      <c r="D23" s="11" t="s">
        <v>68</v>
      </c>
      <c r="E23" s="11" t="s">
        <v>173</v>
      </c>
      <c r="F23" s="12">
        <f>0.85+0.874</f>
        <v>1.724</v>
      </c>
      <c r="G23" s="14">
        <f>I23+J23+K23+L23+M23+N23+O23</f>
        <v>3.19</v>
      </c>
      <c r="H23" s="14">
        <f>G23/F23</f>
        <v>1.8503480278422273</v>
      </c>
      <c r="I23" s="12">
        <v>0.1</v>
      </c>
      <c r="J23" s="12">
        <v>0.05</v>
      </c>
      <c r="K23" s="12">
        <v>0.83499999999999996</v>
      </c>
      <c r="L23" s="12">
        <v>0.54700000000000004</v>
      </c>
      <c r="M23" s="12">
        <v>0.59599999999999997</v>
      </c>
      <c r="N23" s="12">
        <v>0.11799999999999999</v>
      </c>
      <c r="O23" s="12">
        <v>0.94399999999999995</v>
      </c>
      <c r="P23" s="12">
        <f>N:N+O:O</f>
        <v>1.0619999999999998</v>
      </c>
      <c r="Q23" s="14">
        <f t="shared" si="12"/>
        <v>1.2718562874251496</v>
      </c>
      <c r="R23" s="14">
        <f t="shared" si="0"/>
        <v>0.71377245508982035</v>
      </c>
      <c r="S23" s="14">
        <f t="shared" si="1"/>
        <v>0.65508982035928154</v>
      </c>
      <c r="T23" s="14">
        <f t="shared" si="13"/>
        <v>8</v>
      </c>
      <c r="U23" s="12">
        <v>0.29899999999999999</v>
      </c>
      <c r="V23" s="12">
        <f t="shared" si="20"/>
        <v>10.668896321070234</v>
      </c>
      <c r="W23" s="12">
        <v>0.57599999999999996</v>
      </c>
      <c r="X23" s="12">
        <v>0.13</v>
      </c>
      <c r="Y23" s="12">
        <f t="shared" ref="Y23:Y24" si="47">W23/X23</f>
        <v>4.4307692307692301</v>
      </c>
      <c r="Z23" s="12">
        <v>0.35299999999999998</v>
      </c>
      <c r="AA23" s="12">
        <v>0.47499999999999998</v>
      </c>
      <c r="AB23" s="12">
        <f t="shared" si="38"/>
        <v>0.27552204176334105</v>
      </c>
      <c r="AC23" s="12">
        <v>1.05</v>
      </c>
      <c r="AD23" s="12">
        <f t="shared" si="39"/>
        <v>0.60904872389791187</v>
      </c>
      <c r="AE23" s="12">
        <v>9.5000000000000001E-2</v>
      </c>
      <c r="AF23" s="12">
        <f t="shared" ref="AF23:AF26" si="48">AE23/K23</f>
        <v>0.11377245508982037</v>
      </c>
      <c r="AG23" s="12">
        <f>AE23/P23</f>
        <v>8.9453860640301336E-2</v>
      </c>
      <c r="AH23" s="12">
        <f t="shared" ref="AH23:AH31" si="49">AE23/N23</f>
        <v>0.80508474576271194</v>
      </c>
      <c r="AI23" s="12">
        <v>9.9000000000000005E-2</v>
      </c>
      <c r="AJ23" s="12">
        <v>0.06</v>
      </c>
      <c r="AK23" s="12">
        <f t="shared" si="2"/>
        <v>1.6500000000000001</v>
      </c>
      <c r="AL23" s="12">
        <f t="shared" si="43"/>
        <v>1.0421052631578949</v>
      </c>
      <c r="AM23" s="12">
        <f t="shared" ref="AM23:AM28" si="50">AI23/N23</f>
        <v>0.83898305084745772</v>
      </c>
      <c r="AN23" s="12">
        <f t="shared" ref="AN23:AN26" si="51">AI23/K23</f>
        <v>0.11856287425149702</v>
      </c>
      <c r="AO23" s="12">
        <f t="shared" si="3"/>
        <v>0.44594594594594594</v>
      </c>
      <c r="AP23" s="12">
        <v>0.222</v>
      </c>
      <c r="AQ23" s="12">
        <v>0.12</v>
      </c>
      <c r="AR23" s="12">
        <f t="shared" si="4"/>
        <v>0.12877030162412995</v>
      </c>
      <c r="AS23" s="12">
        <f t="shared" si="5"/>
        <v>1.85</v>
      </c>
      <c r="AT23" s="12">
        <f t="shared" ref="AT23:AT47" si="52">AP23/K23</f>
        <v>0.26586826347305392</v>
      </c>
      <c r="AU23" s="12">
        <v>9.1999999999999998E-2</v>
      </c>
      <c r="AV23" s="12">
        <v>0.121</v>
      </c>
      <c r="AW23" s="12">
        <f t="shared" si="7"/>
        <v>0.76033057851239672</v>
      </c>
      <c r="AX23" s="14">
        <f t="shared" si="8"/>
        <v>2.4130434782608696</v>
      </c>
      <c r="AY23" s="15">
        <v>5</v>
      </c>
      <c r="AZ23" s="129">
        <v>9</v>
      </c>
      <c r="BA23" s="15">
        <v>6</v>
      </c>
      <c r="BB23" s="15">
        <v>7</v>
      </c>
      <c r="BC23" s="38">
        <v>6</v>
      </c>
    </row>
    <row r="24" spans="2:55" x14ac:dyDescent="0.2">
      <c r="B24" s="48"/>
      <c r="C24" s="10"/>
      <c r="D24" s="11"/>
      <c r="E24" s="11"/>
      <c r="F24" s="12">
        <f>0.85+0.874</f>
        <v>1.724</v>
      </c>
      <c r="G24" s="14">
        <f>I24+J24+K24+L24+M24+N24+O24</f>
        <v>3.5070000000000006</v>
      </c>
      <c r="H24" s="14">
        <f>G24/F24</f>
        <v>2.0342227378190261</v>
      </c>
      <c r="I24" s="12">
        <v>9.8000000000000004E-2</v>
      </c>
      <c r="J24" s="12">
        <v>0.05</v>
      </c>
      <c r="K24" s="12">
        <v>0.82699999999999996</v>
      </c>
      <c r="L24" s="12">
        <v>0.56000000000000005</v>
      </c>
      <c r="M24" s="12">
        <v>0.58299999999999996</v>
      </c>
      <c r="N24" s="12">
        <v>0.128</v>
      </c>
      <c r="O24" s="12">
        <f>0.639+0.193+0.429</f>
        <v>1.2610000000000001</v>
      </c>
      <c r="P24" s="12">
        <f>N:N+O:O</f>
        <v>1.3890000000000002</v>
      </c>
      <c r="Q24" s="14">
        <f t="shared" si="12"/>
        <v>1.6795646916565905</v>
      </c>
      <c r="R24" s="14">
        <f t="shared" si="0"/>
        <v>0.70495767835550183</v>
      </c>
      <c r="S24" s="14">
        <f t="shared" si="1"/>
        <v>0.67714631197097952</v>
      </c>
      <c r="T24" s="14">
        <f t="shared" si="13"/>
        <v>9.8515625</v>
      </c>
      <c r="U24" s="12">
        <v>0.29899999999999999</v>
      </c>
      <c r="V24" s="12">
        <f t="shared" si="20"/>
        <v>11.729096989966557</v>
      </c>
      <c r="W24" s="12">
        <v>0.58699999999999997</v>
      </c>
      <c r="X24" s="12">
        <v>0.13600000000000001</v>
      </c>
      <c r="Y24" s="12">
        <f t="shared" si="47"/>
        <v>4.3161764705882346</v>
      </c>
      <c r="Z24" s="13" t="s">
        <v>75</v>
      </c>
      <c r="AA24" s="12">
        <v>0.498</v>
      </c>
      <c r="AB24" s="12">
        <f t="shared" si="38"/>
        <v>0.28886310904872392</v>
      </c>
      <c r="AC24" s="12">
        <v>1.0269999999999999</v>
      </c>
      <c r="AD24" s="12">
        <f t="shared" si="39"/>
        <v>0.595707656612529</v>
      </c>
      <c r="AE24" s="12">
        <v>0.1</v>
      </c>
      <c r="AF24" s="12">
        <f t="shared" si="48"/>
        <v>0.12091898428053206</v>
      </c>
      <c r="AG24" s="12">
        <f>AE24/P24</f>
        <v>7.1994240460763137E-2</v>
      </c>
      <c r="AH24" s="12">
        <f t="shared" si="49"/>
        <v>0.78125</v>
      </c>
      <c r="AI24" s="12">
        <v>9.9000000000000005E-2</v>
      </c>
      <c r="AJ24" s="12">
        <v>0.06</v>
      </c>
      <c r="AK24" s="12">
        <f t="shared" si="2"/>
        <v>1.6500000000000001</v>
      </c>
      <c r="AL24" s="12">
        <f t="shared" si="43"/>
        <v>0.99</v>
      </c>
      <c r="AM24" s="12">
        <f t="shared" si="50"/>
        <v>0.7734375</v>
      </c>
      <c r="AN24" s="12">
        <f t="shared" si="51"/>
        <v>0.11970979443772674</v>
      </c>
      <c r="AO24" s="12">
        <f t="shared" si="3"/>
        <v>0.47142857142857147</v>
      </c>
      <c r="AP24" s="12">
        <v>0.21</v>
      </c>
      <c r="AQ24" s="12">
        <v>0.124</v>
      </c>
      <c r="AR24" s="12">
        <f t="shared" si="4"/>
        <v>0.12180974477958237</v>
      </c>
      <c r="AS24" s="12">
        <f t="shared" si="5"/>
        <v>1.6935483870967742</v>
      </c>
      <c r="AT24" s="12">
        <f t="shared" si="52"/>
        <v>0.25392986698911729</v>
      </c>
      <c r="AU24" s="12">
        <v>9.1999999999999998E-2</v>
      </c>
      <c r="AV24" s="12">
        <v>0.121</v>
      </c>
      <c r="AW24" s="12">
        <f t="shared" ref="AW24" si="53">AU24/AV24</f>
        <v>0.76033057851239672</v>
      </c>
      <c r="AX24" s="14">
        <f t="shared" ref="AX24" si="54">AP24/AU24</f>
        <v>2.2826086956521738</v>
      </c>
      <c r="AY24" s="13" t="s">
        <v>75</v>
      </c>
      <c r="AZ24" s="126">
        <v>10</v>
      </c>
      <c r="BA24" s="13" t="s">
        <v>75</v>
      </c>
      <c r="BB24" s="13" t="s">
        <v>75</v>
      </c>
      <c r="BC24" s="35" t="s">
        <v>75</v>
      </c>
    </row>
    <row r="25" spans="2:55" x14ac:dyDescent="0.2">
      <c r="B25" s="52">
        <v>31592</v>
      </c>
      <c r="C25" s="22" t="s">
        <v>59</v>
      </c>
      <c r="D25" s="23" t="s">
        <v>68</v>
      </c>
      <c r="E25" s="23" t="s">
        <v>173</v>
      </c>
      <c r="F25" s="24">
        <f>0.946+0.697</f>
        <v>1.6429999999999998</v>
      </c>
      <c r="G25" s="25" t="s">
        <v>75</v>
      </c>
      <c r="H25" s="25" t="s">
        <v>75</v>
      </c>
      <c r="I25" s="24">
        <v>9.7000000000000003E-2</v>
      </c>
      <c r="J25" s="24">
        <v>4.8000000000000001E-2</v>
      </c>
      <c r="K25" s="24">
        <v>0.79400000000000004</v>
      </c>
      <c r="L25" s="24">
        <v>0.55800000000000005</v>
      </c>
      <c r="M25" s="24">
        <v>0.58599999999999997</v>
      </c>
      <c r="N25" s="24">
        <v>0.123</v>
      </c>
      <c r="O25" s="25" t="s">
        <v>75</v>
      </c>
      <c r="P25" s="25" t="s">
        <v>75</v>
      </c>
      <c r="Q25" s="25" t="s">
        <v>75</v>
      </c>
      <c r="R25" s="26">
        <f t="shared" si="0"/>
        <v>0.73803526448362711</v>
      </c>
      <c r="S25" s="26">
        <f t="shared" si="1"/>
        <v>0.70277078085642319</v>
      </c>
      <c r="T25" s="25" t="s">
        <v>75</v>
      </c>
      <c r="U25" s="24">
        <v>0.30399999999999999</v>
      </c>
      <c r="V25" s="25" t="s">
        <v>75</v>
      </c>
      <c r="W25" s="24">
        <v>0.53900000000000003</v>
      </c>
      <c r="X25" s="24">
        <v>0.122</v>
      </c>
      <c r="Y25" s="18">
        <f>W25/X25</f>
        <v>4.418032786885246</v>
      </c>
      <c r="Z25" s="24">
        <v>0.34699999999999998</v>
      </c>
      <c r="AA25" s="24">
        <v>0.48399999999999999</v>
      </c>
      <c r="AB25" s="24">
        <f t="shared" si="38"/>
        <v>0.29458307973219722</v>
      </c>
      <c r="AC25" s="24">
        <v>1.0580000000000001</v>
      </c>
      <c r="AD25" s="24">
        <f t="shared" si="39"/>
        <v>0.64394400486914194</v>
      </c>
      <c r="AE25" s="24">
        <v>9.8000000000000004E-2</v>
      </c>
      <c r="AF25" s="18">
        <f t="shared" si="48"/>
        <v>0.1234256926952141</v>
      </c>
      <c r="AG25" s="25" t="s">
        <v>75</v>
      </c>
      <c r="AH25" s="24">
        <f t="shared" si="49"/>
        <v>0.7967479674796748</v>
      </c>
      <c r="AI25" s="24">
        <v>9.2999999999999999E-2</v>
      </c>
      <c r="AJ25" s="24">
        <v>6.7000000000000004E-2</v>
      </c>
      <c r="AK25" s="24">
        <f t="shared" si="2"/>
        <v>1.3880597014925373</v>
      </c>
      <c r="AL25" s="24">
        <f t="shared" si="43"/>
        <v>0.94897959183673464</v>
      </c>
      <c r="AM25" s="24">
        <f t="shared" si="50"/>
        <v>0.75609756097560976</v>
      </c>
      <c r="AN25" s="24">
        <f t="shared" si="51"/>
        <v>0.11712846347607052</v>
      </c>
      <c r="AO25" s="24">
        <f t="shared" si="3"/>
        <v>0.42272727272727273</v>
      </c>
      <c r="AP25" s="24">
        <v>0.22</v>
      </c>
      <c r="AQ25" s="24">
        <v>0.127</v>
      </c>
      <c r="AR25" s="24">
        <f t="shared" si="4"/>
        <v>0.13390139987827146</v>
      </c>
      <c r="AS25" s="24">
        <f t="shared" si="5"/>
        <v>1.7322834645669292</v>
      </c>
      <c r="AT25" s="24">
        <f t="shared" si="52"/>
        <v>0.2770780856423174</v>
      </c>
      <c r="AU25" s="24">
        <v>0.106</v>
      </c>
      <c r="AV25" s="24">
        <v>0.115</v>
      </c>
      <c r="AW25" s="24">
        <f t="shared" si="7"/>
        <v>0.92173913043478251</v>
      </c>
      <c r="AX25" s="26">
        <f t="shared" si="8"/>
        <v>2.0754716981132075</v>
      </c>
      <c r="AY25" s="27">
        <v>5</v>
      </c>
      <c r="AZ25" s="130">
        <v>11</v>
      </c>
      <c r="BA25" s="25" t="s">
        <v>75</v>
      </c>
      <c r="BB25" s="27">
        <v>8</v>
      </c>
      <c r="BC25" s="39">
        <v>6</v>
      </c>
    </row>
    <row r="26" spans="2:55" x14ac:dyDescent="0.2">
      <c r="B26" s="53"/>
      <c r="C26" s="22"/>
      <c r="D26" s="23"/>
      <c r="E26" s="23"/>
      <c r="F26" s="24">
        <f>0.946+0.697</f>
        <v>1.6429999999999998</v>
      </c>
      <c r="G26" s="26">
        <f>I26+J26+K26+L26+M26+N26+O26</f>
        <v>3.4070000000000005</v>
      </c>
      <c r="H26" s="26">
        <f>G26/F26</f>
        <v>2.0736457699330497</v>
      </c>
      <c r="I26" s="24">
        <v>9.0999999999999998E-2</v>
      </c>
      <c r="J26" s="24">
        <v>4.9000000000000002E-2</v>
      </c>
      <c r="K26" s="24">
        <v>0.77900000000000003</v>
      </c>
      <c r="L26" s="24">
        <v>0.57499999999999996</v>
      </c>
      <c r="M26" s="24">
        <v>0.59699999999999998</v>
      </c>
      <c r="N26" s="24">
        <v>0.128</v>
      </c>
      <c r="O26" s="24">
        <f>0.33+0.301+0.557</f>
        <v>1.1880000000000002</v>
      </c>
      <c r="P26" s="24">
        <f>N:N+O:O</f>
        <v>1.3160000000000003</v>
      </c>
      <c r="Q26" s="26">
        <f t="shared" si="12"/>
        <v>1.6893453145057769</v>
      </c>
      <c r="R26" s="26">
        <f t="shared" si="0"/>
        <v>0.76636713735558404</v>
      </c>
      <c r="S26" s="26">
        <f t="shared" si="1"/>
        <v>0.73812580231065461</v>
      </c>
      <c r="T26" s="26">
        <f t="shared" si="13"/>
        <v>9.2812500000000018</v>
      </c>
      <c r="U26" s="24">
        <v>0.30399999999999999</v>
      </c>
      <c r="V26" s="24">
        <f t="shared" si="20"/>
        <v>11.207236842105265</v>
      </c>
      <c r="W26" s="24">
        <v>0.55800000000000005</v>
      </c>
      <c r="X26" s="24">
        <v>0.11700000000000001</v>
      </c>
      <c r="Y26" s="18">
        <f>W26/X26</f>
        <v>4.7692307692307692</v>
      </c>
      <c r="Z26" s="24">
        <v>0.35399999999999998</v>
      </c>
      <c r="AA26" s="24">
        <v>0.45800000000000002</v>
      </c>
      <c r="AB26" s="24">
        <f t="shared" si="38"/>
        <v>0.27875836883749244</v>
      </c>
      <c r="AC26" s="24">
        <v>1.0760000000000001</v>
      </c>
      <c r="AD26" s="24">
        <f t="shared" si="39"/>
        <v>0.65489957395009146</v>
      </c>
      <c r="AE26" s="24">
        <v>8.5000000000000006E-2</v>
      </c>
      <c r="AF26" s="18">
        <f t="shared" si="48"/>
        <v>0.10911424903722722</v>
      </c>
      <c r="AG26" s="18">
        <f>AE26/P26</f>
        <v>6.4589665653495429E-2</v>
      </c>
      <c r="AH26" s="24">
        <f t="shared" si="49"/>
        <v>0.6640625</v>
      </c>
      <c r="AI26" s="24">
        <v>9.2999999999999999E-2</v>
      </c>
      <c r="AJ26" s="24">
        <v>6.7000000000000004E-2</v>
      </c>
      <c r="AK26" s="24">
        <f t="shared" si="2"/>
        <v>1.3880597014925373</v>
      </c>
      <c r="AL26" s="24">
        <f t="shared" si="43"/>
        <v>1.0941176470588234</v>
      </c>
      <c r="AM26" s="24">
        <f t="shared" si="50"/>
        <v>0.7265625</v>
      </c>
      <c r="AN26" s="24">
        <f t="shared" si="51"/>
        <v>0.11938382541720154</v>
      </c>
      <c r="AO26" s="24">
        <f t="shared" si="3"/>
        <v>0.41150442477876104</v>
      </c>
      <c r="AP26" s="24">
        <v>0.22600000000000001</v>
      </c>
      <c r="AQ26" s="24">
        <v>0.12</v>
      </c>
      <c r="AR26" s="24">
        <f t="shared" si="4"/>
        <v>0.13755325623858797</v>
      </c>
      <c r="AS26" s="24">
        <f t="shared" si="5"/>
        <v>1.8833333333333335</v>
      </c>
      <c r="AT26" s="24">
        <f t="shared" si="52"/>
        <v>0.29011553273427471</v>
      </c>
      <c r="AU26" s="24">
        <v>0.106</v>
      </c>
      <c r="AV26" s="24">
        <v>0.115</v>
      </c>
      <c r="AW26" s="24">
        <f t="shared" ref="AW26" si="55">AU26/AV26</f>
        <v>0.92173913043478251</v>
      </c>
      <c r="AX26" s="26">
        <f t="shared" ref="AX26" si="56">AP26/AU26</f>
        <v>2.1320754716981134</v>
      </c>
      <c r="AY26" s="25" t="s">
        <v>75</v>
      </c>
      <c r="AZ26" s="131" t="s">
        <v>75</v>
      </c>
      <c r="BA26" s="25" t="s">
        <v>75</v>
      </c>
      <c r="BB26" s="25" t="s">
        <v>75</v>
      </c>
      <c r="BC26" s="40" t="s">
        <v>75</v>
      </c>
    </row>
    <row r="27" spans="2:55" x14ac:dyDescent="0.2">
      <c r="B27" s="51">
        <v>31592</v>
      </c>
      <c r="C27" s="10" t="s">
        <v>59</v>
      </c>
      <c r="D27" s="11" t="s">
        <v>69</v>
      </c>
      <c r="E27" s="11" t="s">
        <v>173</v>
      </c>
      <c r="F27" s="12">
        <f>1.122+0.796</f>
        <v>1.9180000000000001</v>
      </c>
      <c r="G27" s="13" t="s">
        <v>75</v>
      </c>
      <c r="H27" s="13" t="s">
        <v>75</v>
      </c>
      <c r="I27" s="12">
        <v>0.01</v>
      </c>
      <c r="J27" s="12">
        <v>5.1999999999999998E-2</v>
      </c>
      <c r="K27" s="12">
        <v>0.82799999999999996</v>
      </c>
      <c r="L27" s="12">
        <v>0.59099999999999997</v>
      </c>
      <c r="M27" s="12">
        <v>0.57499999999999996</v>
      </c>
      <c r="N27" s="12">
        <v>0.114</v>
      </c>
      <c r="O27" s="13" t="s">
        <v>75</v>
      </c>
      <c r="P27" s="13" t="s">
        <v>75</v>
      </c>
      <c r="Q27" s="13" t="s">
        <v>75</v>
      </c>
      <c r="R27" s="14">
        <f t="shared" si="0"/>
        <v>0.69444444444444442</v>
      </c>
      <c r="S27" s="14">
        <f t="shared" si="1"/>
        <v>0.71376811594202894</v>
      </c>
      <c r="T27" s="13" t="s">
        <v>75</v>
      </c>
      <c r="U27" s="12">
        <v>0.315</v>
      </c>
      <c r="V27" s="13" t="s">
        <v>75</v>
      </c>
      <c r="W27" s="12">
        <v>0.623</v>
      </c>
      <c r="X27" s="12">
        <v>0.14499999999999999</v>
      </c>
      <c r="Y27" s="12">
        <f t="shared" ref="Y27" si="57">W27/X27</f>
        <v>4.296551724137931</v>
      </c>
      <c r="Z27" s="12">
        <v>0.39100000000000001</v>
      </c>
      <c r="AA27" s="12">
        <v>0.51400000000000001</v>
      </c>
      <c r="AB27" s="12">
        <f t="shared" si="38"/>
        <v>0.26798748696558916</v>
      </c>
      <c r="AC27" s="12">
        <v>1.202</v>
      </c>
      <c r="AD27" s="12">
        <f t="shared" si="39"/>
        <v>0.62669447340980178</v>
      </c>
      <c r="AE27" s="12">
        <v>0.10199999999999999</v>
      </c>
      <c r="AF27" s="12">
        <f t="shared" ref="AF27:AF30" si="58">AE27/K27</f>
        <v>0.12318840579710144</v>
      </c>
      <c r="AG27" s="13" t="s">
        <v>75</v>
      </c>
      <c r="AH27" s="12">
        <f t="shared" si="49"/>
        <v>0.89473684210526305</v>
      </c>
      <c r="AI27" s="12">
        <v>0.1</v>
      </c>
      <c r="AJ27" s="12">
        <v>5.2999999999999999E-2</v>
      </c>
      <c r="AK27" s="12">
        <f t="shared" si="2"/>
        <v>1.8867924528301889</v>
      </c>
      <c r="AL27" s="12">
        <f t="shared" si="43"/>
        <v>0.98039215686274517</v>
      </c>
      <c r="AM27" s="12">
        <f t="shared" si="50"/>
        <v>0.87719298245614041</v>
      </c>
      <c r="AN27" s="12">
        <f>AI27/K27</f>
        <v>0.12077294685990339</v>
      </c>
      <c r="AO27" s="12">
        <f t="shared" si="3"/>
        <v>0.39370078740157483</v>
      </c>
      <c r="AP27" s="12">
        <v>0.254</v>
      </c>
      <c r="AQ27" s="12">
        <v>0.129</v>
      </c>
      <c r="AR27" s="12">
        <f t="shared" si="4"/>
        <v>0.132429614181439</v>
      </c>
      <c r="AS27" s="12">
        <f t="shared" si="5"/>
        <v>1.9689922480620154</v>
      </c>
      <c r="AT27" s="12">
        <f t="shared" si="52"/>
        <v>0.30676328502415462</v>
      </c>
      <c r="AU27" s="12">
        <v>0.125</v>
      </c>
      <c r="AV27" s="12">
        <v>0.123</v>
      </c>
      <c r="AW27" s="12">
        <f t="shared" si="7"/>
        <v>1.0162601626016261</v>
      </c>
      <c r="AX27" s="14">
        <f t="shared" si="8"/>
        <v>2.032</v>
      </c>
      <c r="AY27" s="15">
        <v>5</v>
      </c>
      <c r="AZ27" s="129">
        <v>10</v>
      </c>
      <c r="BA27" s="15">
        <v>6</v>
      </c>
      <c r="BB27" s="15">
        <v>6</v>
      </c>
      <c r="BC27" s="38">
        <v>6</v>
      </c>
    </row>
    <row r="28" spans="2:55" x14ac:dyDescent="0.2">
      <c r="B28" s="48"/>
      <c r="C28" s="10"/>
      <c r="D28" s="11"/>
      <c r="E28" s="11"/>
      <c r="F28" s="12">
        <f>1.122+0.796</f>
        <v>1.9180000000000001</v>
      </c>
      <c r="G28" s="13" t="s">
        <v>75</v>
      </c>
      <c r="H28" s="13" t="s">
        <v>75</v>
      </c>
      <c r="I28" s="12">
        <v>9.4E-2</v>
      </c>
      <c r="J28" s="12">
        <v>0.05</v>
      </c>
      <c r="K28" s="12">
        <v>0.82</v>
      </c>
      <c r="L28" s="12">
        <v>0.58799999999999997</v>
      </c>
      <c r="M28" s="12">
        <v>0.56100000000000005</v>
      </c>
      <c r="N28" s="12">
        <v>0.125</v>
      </c>
      <c r="O28" s="13" t="s">
        <v>75</v>
      </c>
      <c r="P28" s="13" t="s">
        <v>75</v>
      </c>
      <c r="Q28" s="13" t="s">
        <v>75</v>
      </c>
      <c r="R28" s="14">
        <f t="shared" si="0"/>
        <v>0.68414634146341469</v>
      </c>
      <c r="S28" s="14">
        <f t="shared" si="1"/>
        <v>0.71707317073170729</v>
      </c>
      <c r="T28" s="13" t="s">
        <v>75</v>
      </c>
      <c r="U28" s="12">
        <v>0.315</v>
      </c>
      <c r="V28" s="13" t="s">
        <v>75</v>
      </c>
      <c r="W28" s="13" t="s">
        <v>75</v>
      </c>
      <c r="X28" s="13" t="s">
        <v>75</v>
      </c>
      <c r="Y28" s="13" t="s">
        <v>75</v>
      </c>
      <c r="Z28" s="13" t="s">
        <v>75</v>
      </c>
      <c r="AA28" s="12">
        <v>0.51700000000000002</v>
      </c>
      <c r="AB28" s="12">
        <f t="shared" si="38"/>
        <v>0.26955161626694474</v>
      </c>
      <c r="AC28" s="12">
        <v>1.133</v>
      </c>
      <c r="AD28" s="12">
        <f t="shared" si="39"/>
        <v>0.59071949947862357</v>
      </c>
      <c r="AE28" s="12">
        <v>0.10199999999999999</v>
      </c>
      <c r="AF28" s="12">
        <f t="shared" si="58"/>
        <v>0.12439024390243902</v>
      </c>
      <c r="AG28" s="13" t="s">
        <v>75</v>
      </c>
      <c r="AH28" s="12">
        <f t="shared" si="49"/>
        <v>0.81599999999999995</v>
      </c>
      <c r="AI28" s="12">
        <v>0.1</v>
      </c>
      <c r="AJ28" s="12">
        <v>5.2999999999999999E-2</v>
      </c>
      <c r="AK28" s="12">
        <f t="shared" si="2"/>
        <v>1.8867924528301889</v>
      </c>
      <c r="AL28" s="12">
        <f t="shared" si="43"/>
        <v>0.98039215686274517</v>
      </c>
      <c r="AM28" s="12">
        <f t="shared" si="50"/>
        <v>0.8</v>
      </c>
      <c r="AN28" s="12">
        <f t="shared" ref="AN28" si="59">AI28/K28</f>
        <v>0.12195121951219513</v>
      </c>
      <c r="AO28" s="12">
        <f t="shared" si="3"/>
        <v>0.41493775933609961</v>
      </c>
      <c r="AP28" s="12">
        <v>0.24099999999999999</v>
      </c>
      <c r="AQ28" s="12">
        <v>0.123</v>
      </c>
      <c r="AR28" s="12">
        <f t="shared" si="4"/>
        <v>0.12565172054223148</v>
      </c>
      <c r="AS28" s="12">
        <f t="shared" si="5"/>
        <v>1.9593495934959348</v>
      </c>
      <c r="AT28" s="12">
        <f t="shared" si="52"/>
        <v>0.29390243902439023</v>
      </c>
      <c r="AU28" s="12">
        <v>0.125</v>
      </c>
      <c r="AV28" s="12">
        <v>0.123</v>
      </c>
      <c r="AW28" s="12">
        <f t="shared" ref="AW28" si="60">AU28/AV28</f>
        <v>1.0162601626016261</v>
      </c>
      <c r="AX28" s="14">
        <f t="shared" ref="AX28" si="61">AP28/AU28</f>
        <v>1.9279999999999999</v>
      </c>
      <c r="AY28" s="13" t="s">
        <v>75</v>
      </c>
      <c r="AZ28" s="126">
        <v>11</v>
      </c>
      <c r="BA28" s="13" t="s">
        <v>75</v>
      </c>
      <c r="BB28" s="13" t="s">
        <v>75</v>
      </c>
      <c r="BC28" s="35" t="s">
        <v>75</v>
      </c>
    </row>
    <row r="29" spans="2:55" x14ac:dyDescent="0.2">
      <c r="B29" s="52">
        <v>31592</v>
      </c>
      <c r="C29" s="22" t="s">
        <v>59</v>
      </c>
      <c r="D29" s="23" t="s">
        <v>69</v>
      </c>
      <c r="E29" s="23" t="s">
        <v>173</v>
      </c>
      <c r="F29" s="24">
        <f>1.118+0.527</f>
        <v>1.645</v>
      </c>
      <c r="G29" s="26">
        <f>I29+J29+K29+L29+M29+N29+O29</f>
        <v>3.718</v>
      </c>
      <c r="H29" s="26">
        <f>G29/F29</f>
        <v>2.2601823708206688</v>
      </c>
      <c r="I29" s="24">
        <v>0.10100000000000001</v>
      </c>
      <c r="J29" s="24">
        <v>4.1000000000000002E-2</v>
      </c>
      <c r="K29" s="24">
        <v>0.92300000000000004</v>
      </c>
      <c r="L29" s="24">
        <v>0.65700000000000003</v>
      </c>
      <c r="M29" s="24">
        <v>0.61299999999999999</v>
      </c>
      <c r="N29" s="24">
        <v>0.11899999999999999</v>
      </c>
      <c r="O29" s="24">
        <f>0.808+0.456</f>
        <v>1.264</v>
      </c>
      <c r="P29" s="24">
        <f>N:N+O:O</f>
        <v>1.383</v>
      </c>
      <c r="Q29" s="26">
        <f t="shared" si="12"/>
        <v>1.4983748645720476</v>
      </c>
      <c r="R29" s="26">
        <f t="shared" si="0"/>
        <v>0.66413867822318517</v>
      </c>
      <c r="S29" s="26">
        <f t="shared" si="1"/>
        <v>0.71180931744312026</v>
      </c>
      <c r="T29" s="26">
        <f t="shared" si="13"/>
        <v>10.6218487394958</v>
      </c>
      <c r="U29" s="24">
        <v>0.30299999999999999</v>
      </c>
      <c r="V29" s="24">
        <f t="shared" si="20"/>
        <v>12.270627062706271</v>
      </c>
      <c r="W29" s="24">
        <v>0.624</v>
      </c>
      <c r="X29" s="24">
        <v>0.125</v>
      </c>
      <c r="Y29" s="18">
        <f>W29/X29</f>
        <v>4.992</v>
      </c>
      <c r="Z29" s="24">
        <v>0.378</v>
      </c>
      <c r="AA29" s="24">
        <v>0.499</v>
      </c>
      <c r="AB29" s="24">
        <f t="shared" si="38"/>
        <v>0.30334346504559268</v>
      </c>
      <c r="AC29" s="24">
        <v>1.1080000000000001</v>
      </c>
      <c r="AD29" s="24">
        <f t="shared" si="39"/>
        <v>0.67355623100303952</v>
      </c>
      <c r="AE29" s="24">
        <v>0.10100000000000001</v>
      </c>
      <c r="AF29" s="18">
        <f t="shared" si="58"/>
        <v>0.10942578548212351</v>
      </c>
      <c r="AG29" s="18">
        <f>AE29/P29</f>
        <v>7.3029645697758494E-2</v>
      </c>
      <c r="AH29" s="24">
        <f t="shared" si="49"/>
        <v>0.84873949579831942</v>
      </c>
      <c r="AI29" s="25" t="s">
        <v>75</v>
      </c>
      <c r="AJ29" s="25" t="s">
        <v>75</v>
      </c>
      <c r="AK29" s="25" t="s">
        <v>75</v>
      </c>
      <c r="AL29" s="25" t="s">
        <v>75</v>
      </c>
      <c r="AM29" s="25" t="s">
        <v>75</v>
      </c>
      <c r="AN29" s="25" t="s">
        <v>75</v>
      </c>
      <c r="AO29" s="25" t="s">
        <v>75</v>
      </c>
      <c r="AP29" s="24">
        <v>0.24</v>
      </c>
      <c r="AQ29" s="24">
        <v>0.122</v>
      </c>
      <c r="AR29" s="24">
        <f t="shared" si="4"/>
        <v>0.1458966565349544</v>
      </c>
      <c r="AS29" s="24">
        <f t="shared" si="5"/>
        <v>1.9672131147540983</v>
      </c>
      <c r="AT29" s="24">
        <f t="shared" si="52"/>
        <v>0.26002166847237268</v>
      </c>
      <c r="AU29" s="24">
        <v>0.108</v>
      </c>
      <c r="AV29" s="24">
        <v>0.115</v>
      </c>
      <c r="AW29" s="24">
        <f t="shared" si="7"/>
        <v>0.9391304347826086</v>
      </c>
      <c r="AX29" s="26">
        <f t="shared" si="8"/>
        <v>2.2222222222222223</v>
      </c>
      <c r="AY29" s="27">
        <v>5</v>
      </c>
      <c r="AZ29" s="130">
        <v>9</v>
      </c>
      <c r="BA29" s="25" t="s">
        <v>75</v>
      </c>
      <c r="BB29" s="27">
        <v>5</v>
      </c>
      <c r="BC29" s="39">
        <v>5</v>
      </c>
    </row>
    <row r="30" spans="2:55" x14ac:dyDescent="0.2">
      <c r="B30" s="53"/>
      <c r="C30" s="22"/>
      <c r="D30" s="23"/>
      <c r="E30" s="23"/>
      <c r="F30" s="24">
        <f>1.118+0.527</f>
        <v>1.645</v>
      </c>
      <c r="G30" s="25" t="s">
        <v>75</v>
      </c>
      <c r="H30" s="25" t="s">
        <v>75</v>
      </c>
      <c r="I30" s="24">
        <v>9.4E-2</v>
      </c>
      <c r="J30" s="24">
        <v>4.1000000000000002E-2</v>
      </c>
      <c r="K30" s="24">
        <v>0.88600000000000001</v>
      </c>
      <c r="L30" s="24">
        <v>0.622</v>
      </c>
      <c r="M30" s="24">
        <v>0.59799999999999998</v>
      </c>
      <c r="N30" s="24">
        <v>0.125</v>
      </c>
      <c r="O30" s="25" t="s">
        <v>75</v>
      </c>
      <c r="P30" s="25" t="s">
        <v>75</v>
      </c>
      <c r="Q30" s="25" t="s">
        <v>75</v>
      </c>
      <c r="R30" s="26">
        <f t="shared" si="0"/>
        <v>0.67494356659142207</v>
      </c>
      <c r="S30" s="26">
        <f t="shared" si="1"/>
        <v>0.7020316027088036</v>
      </c>
      <c r="T30" s="25" t="s">
        <v>75</v>
      </c>
      <c r="U30" s="24">
        <v>0.30299999999999999</v>
      </c>
      <c r="V30" s="25" t="s">
        <v>75</v>
      </c>
      <c r="W30" s="24">
        <v>0.627</v>
      </c>
      <c r="X30" s="24">
        <v>0.13100000000000001</v>
      </c>
      <c r="Y30" s="18">
        <f>W30/X30</f>
        <v>4.7862595419847329</v>
      </c>
      <c r="Z30" s="24">
        <v>0.39900000000000002</v>
      </c>
      <c r="AA30" s="24">
        <v>0.50900000000000001</v>
      </c>
      <c r="AB30" s="24">
        <f t="shared" si="38"/>
        <v>0.30942249240121583</v>
      </c>
      <c r="AC30" s="24">
        <v>1.1020000000000001</v>
      </c>
      <c r="AD30" s="24">
        <f t="shared" si="39"/>
        <v>0.66990881458966567</v>
      </c>
      <c r="AE30" s="24">
        <v>0.105</v>
      </c>
      <c r="AF30" s="18">
        <f t="shared" si="58"/>
        <v>0.11851015801354402</v>
      </c>
      <c r="AG30" s="25" t="s">
        <v>75</v>
      </c>
      <c r="AH30" s="24">
        <f t="shared" si="49"/>
        <v>0.84</v>
      </c>
      <c r="AI30" s="25" t="s">
        <v>75</v>
      </c>
      <c r="AJ30" s="25" t="s">
        <v>75</v>
      </c>
      <c r="AK30" s="25" t="s">
        <v>75</v>
      </c>
      <c r="AL30" s="25" t="s">
        <v>75</v>
      </c>
      <c r="AM30" s="25" t="s">
        <v>75</v>
      </c>
      <c r="AN30" s="25" t="s">
        <v>75</v>
      </c>
      <c r="AO30" s="25" t="s">
        <v>75</v>
      </c>
      <c r="AP30" s="24">
        <v>0.24</v>
      </c>
      <c r="AQ30" s="24">
        <v>0.113</v>
      </c>
      <c r="AR30" s="24">
        <f t="shared" si="4"/>
        <v>0.1458966565349544</v>
      </c>
      <c r="AS30" s="24">
        <f t="shared" si="5"/>
        <v>2.1238938053097343</v>
      </c>
      <c r="AT30" s="24">
        <f t="shared" si="52"/>
        <v>0.27088036117381487</v>
      </c>
      <c r="AU30" s="24">
        <v>0.108</v>
      </c>
      <c r="AV30" s="24">
        <v>0.115</v>
      </c>
      <c r="AW30" s="24">
        <f t="shared" ref="AW30" si="62">AU30/AV30</f>
        <v>0.9391304347826086</v>
      </c>
      <c r="AX30" s="26">
        <f t="shared" ref="AX30" si="63">AP30/AU30</f>
        <v>2.2222222222222223</v>
      </c>
      <c r="AY30" s="25" t="s">
        <v>75</v>
      </c>
      <c r="AZ30" s="131" t="s">
        <v>75</v>
      </c>
      <c r="BA30" s="25" t="s">
        <v>75</v>
      </c>
      <c r="BB30" s="25" t="s">
        <v>75</v>
      </c>
      <c r="BC30" s="40" t="s">
        <v>75</v>
      </c>
    </row>
    <row r="31" spans="2:55" x14ac:dyDescent="0.2">
      <c r="B31" s="51">
        <v>22224</v>
      </c>
      <c r="C31" s="10" t="s">
        <v>59</v>
      </c>
      <c r="D31" s="11" t="s">
        <v>70</v>
      </c>
      <c r="E31" s="11" t="s">
        <v>174</v>
      </c>
      <c r="F31" s="12">
        <f>1.293+1.015</f>
        <v>2.3079999999999998</v>
      </c>
      <c r="G31" s="13" t="s">
        <v>75</v>
      </c>
      <c r="H31" s="13" t="s">
        <v>75</v>
      </c>
      <c r="I31" s="12">
        <v>0.107</v>
      </c>
      <c r="J31" s="12">
        <v>5.2999999999999999E-2</v>
      </c>
      <c r="K31" s="12">
        <v>0.86499999999999999</v>
      </c>
      <c r="L31" s="12">
        <v>0.56499999999999995</v>
      </c>
      <c r="M31" s="12">
        <v>0.58799999999999997</v>
      </c>
      <c r="N31" s="12">
        <v>0.128</v>
      </c>
      <c r="O31" s="13" t="s">
        <v>75</v>
      </c>
      <c r="P31" s="13" t="s">
        <v>75</v>
      </c>
      <c r="Q31" s="13" t="s">
        <v>75</v>
      </c>
      <c r="R31" s="14">
        <f t="shared" si="0"/>
        <v>0.67976878612716762</v>
      </c>
      <c r="S31" s="14">
        <f t="shared" si="1"/>
        <v>0.65317919075144504</v>
      </c>
      <c r="T31" s="13" t="s">
        <v>75</v>
      </c>
      <c r="U31" s="12">
        <v>0.377</v>
      </c>
      <c r="V31" s="13" t="s">
        <v>75</v>
      </c>
      <c r="W31" s="13" t="s">
        <v>75</v>
      </c>
      <c r="X31" s="13" t="s">
        <v>75</v>
      </c>
      <c r="Y31" s="13" t="s">
        <v>75</v>
      </c>
      <c r="Z31" s="13" t="s">
        <v>75</v>
      </c>
      <c r="AA31" s="12">
        <v>0.58299999999999996</v>
      </c>
      <c r="AB31" s="12">
        <f t="shared" si="38"/>
        <v>0.25259965337954937</v>
      </c>
      <c r="AC31" s="12">
        <v>1.137</v>
      </c>
      <c r="AD31" s="12">
        <f t="shared" si="39"/>
        <v>0.49263431542461011</v>
      </c>
      <c r="AE31" s="12">
        <v>9.1999999999999998E-2</v>
      </c>
      <c r="AF31" s="12">
        <f t="shared" ref="AF31" si="64">AE31/K31</f>
        <v>0.10635838150289018</v>
      </c>
      <c r="AG31" s="13" t="s">
        <v>75</v>
      </c>
      <c r="AH31" s="12">
        <f t="shared" si="49"/>
        <v>0.71875</v>
      </c>
      <c r="AI31" s="13" t="s">
        <v>75</v>
      </c>
      <c r="AJ31" s="13" t="s">
        <v>75</v>
      </c>
      <c r="AK31" s="13" t="s">
        <v>75</v>
      </c>
      <c r="AL31" s="13" t="s">
        <v>75</v>
      </c>
      <c r="AM31" s="13" t="s">
        <v>75</v>
      </c>
      <c r="AN31" s="13" t="s">
        <v>75</v>
      </c>
      <c r="AO31" s="13" t="s">
        <v>75</v>
      </c>
      <c r="AP31" s="12">
        <v>0.248</v>
      </c>
      <c r="AQ31" s="12">
        <v>0.125</v>
      </c>
      <c r="AR31" s="12">
        <f t="shared" si="4"/>
        <v>0.1074523396880416</v>
      </c>
      <c r="AS31" s="12">
        <f t="shared" si="5"/>
        <v>1.984</v>
      </c>
      <c r="AT31" s="12">
        <f t="shared" si="52"/>
        <v>0.28670520231213875</v>
      </c>
      <c r="AU31" s="12">
        <v>0.11799999999999999</v>
      </c>
      <c r="AV31" s="12">
        <v>0.1</v>
      </c>
      <c r="AW31" s="12">
        <f t="shared" si="7"/>
        <v>1.18</v>
      </c>
      <c r="AX31" s="14">
        <f t="shared" si="8"/>
        <v>2.1016949152542375</v>
      </c>
      <c r="AY31" s="15">
        <v>3</v>
      </c>
      <c r="AZ31" s="129">
        <v>11</v>
      </c>
      <c r="BA31" s="13" t="s">
        <v>75</v>
      </c>
      <c r="BB31" s="15">
        <v>6</v>
      </c>
      <c r="BC31" s="38">
        <v>8</v>
      </c>
    </row>
    <row r="32" spans="2:55" x14ac:dyDescent="0.2">
      <c r="B32" s="48"/>
      <c r="C32" s="10"/>
      <c r="D32" s="11"/>
      <c r="E32" s="11"/>
      <c r="F32" s="12">
        <f>1.293+1.015</f>
        <v>2.3079999999999998</v>
      </c>
      <c r="G32" s="13" t="s">
        <v>75</v>
      </c>
      <c r="H32" s="13" t="s">
        <v>75</v>
      </c>
      <c r="I32" s="12">
        <v>9.9000000000000005E-2</v>
      </c>
      <c r="J32" s="12">
        <v>6.0999999999999999E-2</v>
      </c>
      <c r="K32" s="12">
        <v>0.83599999999999997</v>
      </c>
      <c r="L32" s="12">
        <v>0.58399999999999996</v>
      </c>
      <c r="M32" s="12">
        <v>0.55800000000000005</v>
      </c>
      <c r="N32" s="12">
        <v>0.11600000000000001</v>
      </c>
      <c r="O32" s="13" t="s">
        <v>75</v>
      </c>
      <c r="P32" s="13" t="s">
        <v>75</v>
      </c>
      <c r="Q32" s="13" t="s">
        <v>75</v>
      </c>
      <c r="R32" s="14">
        <f t="shared" si="0"/>
        <v>0.66746411483253598</v>
      </c>
      <c r="S32" s="14">
        <f t="shared" si="1"/>
        <v>0.69856459330143539</v>
      </c>
      <c r="T32" s="13" t="s">
        <v>75</v>
      </c>
      <c r="U32" s="12">
        <v>0.377</v>
      </c>
      <c r="V32" s="13" t="s">
        <v>75</v>
      </c>
      <c r="W32" s="13" t="s">
        <v>75</v>
      </c>
      <c r="X32" s="13" t="s">
        <v>75</v>
      </c>
      <c r="Y32" s="13" t="s">
        <v>75</v>
      </c>
      <c r="Z32" s="13" t="s">
        <v>75</v>
      </c>
      <c r="AA32" s="13" t="s">
        <v>75</v>
      </c>
      <c r="AB32" s="13" t="s">
        <v>75</v>
      </c>
      <c r="AC32" s="13" t="s">
        <v>75</v>
      </c>
      <c r="AD32" s="13" t="s">
        <v>75</v>
      </c>
      <c r="AE32" s="13" t="s">
        <v>75</v>
      </c>
      <c r="AF32" s="13" t="s">
        <v>75</v>
      </c>
      <c r="AG32" s="13" t="s">
        <v>75</v>
      </c>
      <c r="AH32" s="13" t="s">
        <v>75</v>
      </c>
      <c r="AI32" s="13" t="s">
        <v>75</v>
      </c>
      <c r="AJ32" s="13" t="s">
        <v>75</v>
      </c>
      <c r="AK32" s="13" t="s">
        <v>75</v>
      </c>
      <c r="AL32" s="13" t="s">
        <v>75</v>
      </c>
      <c r="AM32" s="13" t="s">
        <v>75</v>
      </c>
      <c r="AN32" s="13" t="s">
        <v>75</v>
      </c>
      <c r="AO32" s="13" t="s">
        <v>75</v>
      </c>
      <c r="AP32" s="12">
        <v>0.23899999999999999</v>
      </c>
      <c r="AQ32" s="12">
        <v>0.126</v>
      </c>
      <c r="AR32" s="12">
        <f t="shared" si="4"/>
        <v>0.1035528596187175</v>
      </c>
      <c r="AS32" s="12">
        <f t="shared" si="5"/>
        <v>1.8968253968253967</v>
      </c>
      <c r="AT32" s="12">
        <f t="shared" si="52"/>
        <v>0.28588516746411485</v>
      </c>
      <c r="AU32" s="12">
        <v>0.11799999999999999</v>
      </c>
      <c r="AV32" s="12">
        <v>0.1</v>
      </c>
      <c r="AW32" s="12">
        <f t="shared" ref="AW32" si="65">AU32/AV32</f>
        <v>1.18</v>
      </c>
      <c r="AX32" s="14">
        <f t="shared" ref="AX32" si="66">AP32/AU32</f>
        <v>2.0254237288135593</v>
      </c>
      <c r="AY32" s="13" t="s">
        <v>75</v>
      </c>
      <c r="AZ32" s="126" t="s">
        <v>75</v>
      </c>
      <c r="BA32" s="13" t="s">
        <v>75</v>
      </c>
      <c r="BB32" s="13" t="s">
        <v>75</v>
      </c>
      <c r="BC32" s="35" t="s">
        <v>75</v>
      </c>
    </row>
    <row r="33" spans="2:55" x14ac:dyDescent="0.2">
      <c r="B33" s="52">
        <v>22224</v>
      </c>
      <c r="C33" s="22" t="s">
        <v>59</v>
      </c>
      <c r="D33" s="23" t="s">
        <v>70</v>
      </c>
      <c r="E33" s="23" t="s">
        <v>174</v>
      </c>
      <c r="F33" s="24">
        <f>1.118+1.21</f>
        <v>2.3280000000000003</v>
      </c>
      <c r="G33" s="25" t="s">
        <v>75</v>
      </c>
      <c r="H33" s="25" t="s">
        <v>75</v>
      </c>
      <c r="I33" s="24">
        <v>0.11600000000000001</v>
      </c>
      <c r="J33" s="24">
        <v>6.3E-2</v>
      </c>
      <c r="K33" s="24">
        <v>0.93</v>
      </c>
      <c r="L33" s="24">
        <v>0.67700000000000005</v>
      </c>
      <c r="M33" s="24">
        <v>0.65200000000000002</v>
      </c>
      <c r="N33" s="24">
        <v>0.13700000000000001</v>
      </c>
      <c r="O33" s="25" t="s">
        <v>75</v>
      </c>
      <c r="P33" s="25" t="s">
        <v>75</v>
      </c>
      <c r="Q33" s="25" t="s">
        <v>75</v>
      </c>
      <c r="R33" s="26">
        <f t="shared" si="0"/>
        <v>0.70107526881720428</v>
      </c>
      <c r="S33" s="26">
        <f t="shared" si="1"/>
        <v>0.72795698924731189</v>
      </c>
      <c r="T33" s="25" t="s">
        <v>75</v>
      </c>
      <c r="U33" s="24">
        <v>0.39900000000000002</v>
      </c>
      <c r="V33" s="25" t="s">
        <v>75</v>
      </c>
      <c r="W33" s="25" t="s">
        <v>75</v>
      </c>
      <c r="X33" s="25" t="s">
        <v>75</v>
      </c>
      <c r="Y33" s="25" t="s">
        <v>75</v>
      </c>
      <c r="Z33" s="24">
        <v>0.48</v>
      </c>
      <c r="AA33" s="24">
        <v>0.59299999999999997</v>
      </c>
      <c r="AB33" s="24">
        <f t="shared" ref="AB33:AB54" si="67">AA33/F33</f>
        <v>0.2547250859106529</v>
      </c>
      <c r="AC33" s="24">
        <v>1.276</v>
      </c>
      <c r="AD33" s="24">
        <f t="shared" ref="AD33:AD54" si="68">AC33/F33</f>
        <v>0.54810996563573877</v>
      </c>
      <c r="AE33" s="24">
        <v>0.108</v>
      </c>
      <c r="AF33" s="18">
        <f t="shared" ref="AF33:AF34" si="69">AE33/K33</f>
        <v>0.11612903225806451</v>
      </c>
      <c r="AG33" s="25" t="s">
        <v>75</v>
      </c>
      <c r="AH33" s="24">
        <f>AE33/N33</f>
        <v>0.7883211678832116</v>
      </c>
      <c r="AI33" s="25" t="s">
        <v>75</v>
      </c>
      <c r="AJ33" s="25" t="s">
        <v>75</v>
      </c>
      <c r="AK33" s="25" t="s">
        <v>75</v>
      </c>
      <c r="AL33" s="25" t="s">
        <v>75</v>
      </c>
      <c r="AM33" s="25" t="s">
        <v>75</v>
      </c>
      <c r="AN33" s="25" t="s">
        <v>75</v>
      </c>
      <c r="AO33" s="25" t="s">
        <v>75</v>
      </c>
      <c r="AP33" s="24">
        <v>0.28899999999999998</v>
      </c>
      <c r="AQ33" s="24">
        <v>0.114</v>
      </c>
      <c r="AR33" s="24">
        <f t="shared" si="4"/>
        <v>0.12414089347079035</v>
      </c>
      <c r="AS33" s="24">
        <f t="shared" si="5"/>
        <v>2.5350877192982453</v>
      </c>
      <c r="AT33" s="24">
        <f t="shared" si="52"/>
        <v>0.31075268817204299</v>
      </c>
      <c r="AU33" s="24">
        <v>0.122</v>
      </c>
      <c r="AV33" s="24">
        <v>0.123</v>
      </c>
      <c r="AW33" s="24">
        <f t="shared" si="7"/>
        <v>0.99186991869918695</v>
      </c>
      <c r="AX33" s="26">
        <f t="shared" si="8"/>
        <v>2.3688524590163933</v>
      </c>
      <c r="AY33" s="27">
        <v>5</v>
      </c>
      <c r="AZ33" s="130">
        <v>11</v>
      </c>
      <c r="BA33" s="25" t="s">
        <v>75</v>
      </c>
      <c r="BB33" s="27">
        <v>9</v>
      </c>
      <c r="BC33" s="39">
        <v>8</v>
      </c>
    </row>
    <row r="34" spans="2:55" x14ac:dyDescent="0.2">
      <c r="B34" s="53"/>
      <c r="C34" s="22"/>
      <c r="D34" s="23"/>
      <c r="E34" s="23"/>
      <c r="F34" s="24">
        <f>1.118+1.21</f>
        <v>2.3280000000000003</v>
      </c>
      <c r="G34" s="25" t="s">
        <v>75</v>
      </c>
      <c r="H34" s="25" t="s">
        <v>75</v>
      </c>
      <c r="I34" s="24">
        <v>0.11899999999999999</v>
      </c>
      <c r="J34" s="24">
        <v>6.2E-2</v>
      </c>
      <c r="K34" s="24">
        <v>0.95</v>
      </c>
      <c r="L34" s="24">
        <v>0.65200000000000002</v>
      </c>
      <c r="M34" s="25" t="s">
        <v>75</v>
      </c>
      <c r="N34" s="25" t="s">
        <v>75</v>
      </c>
      <c r="O34" s="25" t="s">
        <v>75</v>
      </c>
      <c r="P34" s="25" t="s">
        <v>75</v>
      </c>
      <c r="Q34" s="25" t="s">
        <v>75</v>
      </c>
      <c r="R34" s="25" t="s">
        <v>75</v>
      </c>
      <c r="S34" s="26">
        <f t="shared" si="1"/>
        <v>0.68631578947368421</v>
      </c>
      <c r="T34" s="25" t="s">
        <v>75</v>
      </c>
      <c r="U34" s="24">
        <v>0.39900000000000002</v>
      </c>
      <c r="V34" s="25" t="s">
        <v>75</v>
      </c>
      <c r="W34" s="25" t="s">
        <v>75</v>
      </c>
      <c r="X34" s="25" t="s">
        <v>75</v>
      </c>
      <c r="Y34" s="25" t="s">
        <v>75</v>
      </c>
      <c r="Z34" s="24">
        <v>0.48</v>
      </c>
      <c r="AA34" s="24">
        <v>0.60599999999999998</v>
      </c>
      <c r="AB34" s="24">
        <f t="shared" si="67"/>
        <v>0.26030927835051543</v>
      </c>
      <c r="AC34" s="24">
        <v>1.2909999999999999</v>
      </c>
      <c r="AD34" s="24">
        <f t="shared" si="68"/>
        <v>0.55455326460481091</v>
      </c>
      <c r="AE34" s="24">
        <v>0.11</v>
      </c>
      <c r="AF34" s="18">
        <f t="shared" si="69"/>
        <v>0.11578947368421053</v>
      </c>
      <c r="AG34" s="25" t="s">
        <v>75</v>
      </c>
      <c r="AH34" s="25" t="s">
        <v>75</v>
      </c>
      <c r="AI34" s="25" t="s">
        <v>75</v>
      </c>
      <c r="AJ34" s="25" t="s">
        <v>75</v>
      </c>
      <c r="AK34" s="25" t="s">
        <v>75</v>
      </c>
      <c r="AL34" s="25" t="s">
        <v>75</v>
      </c>
      <c r="AM34" s="25" t="s">
        <v>75</v>
      </c>
      <c r="AN34" s="25" t="s">
        <v>75</v>
      </c>
      <c r="AO34" s="25" t="s">
        <v>75</v>
      </c>
      <c r="AP34" s="24">
        <v>0.28899999999999998</v>
      </c>
      <c r="AQ34" s="24">
        <v>0.121</v>
      </c>
      <c r="AR34" s="24">
        <f t="shared" si="4"/>
        <v>0.12414089347079035</v>
      </c>
      <c r="AS34" s="24">
        <f t="shared" si="5"/>
        <v>2.3884297520661155</v>
      </c>
      <c r="AT34" s="24">
        <f t="shared" si="52"/>
        <v>0.30421052631578949</v>
      </c>
      <c r="AU34" s="24">
        <v>0.122</v>
      </c>
      <c r="AV34" s="24">
        <v>0.123</v>
      </c>
      <c r="AW34" s="24">
        <f t="shared" ref="AW34" si="70">AU34/AV34</f>
        <v>0.99186991869918695</v>
      </c>
      <c r="AX34" s="26">
        <f t="shared" ref="AX34" si="71">AP34/AU34</f>
        <v>2.3688524590163933</v>
      </c>
      <c r="AY34" s="25" t="s">
        <v>75</v>
      </c>
      <c r="AZ34" s="131">
        <v>13</v>
      </c>
      <c r="BA34" s="25" t="s">
        <v>75</v>
      </c>
      <c r="BB34" s="25" t="s">
        <v>75</v>
      </c>
      <c r="BC34" s="40" t="s">
        <v>75</v>
      </c>
    </row>
    <row r="35" spans="2:55" x14ac:dyDescent="0.2">
      <c r="B35" s="51">
        <v>28012</v>
      </c>
      <c r="C35" s="10" t="s">
        <v>59</v>
      </c>
      <c r="D35" s="11" t="s">
        <v>71</v>
      </c>
      <c r="E35" s="11" t="s">
        <v>175</v>
      </c>
      <c r="F35" s="12">
        <f>1.082+1.417</f>
        <v>2.4990000000000001</v>
      </c>
      <c r="G35" s="14">
        <f>I35+J35+K35+L35+M35+N35+O35</f>
        <v>5.2759999999999998</v>
      </c>
      <c r="H35" s="14">
        <f>G35/F35</f>
        <v>2.1112444977991194</v>
      </c>
      <c r="I35" s="12">
        <v>0.11899999999999999</v>
      </c>
      <c r="J35" s="12">
        <v>0.59</v>
      </c>
      <c r="K35" s="12">
        <v>1.0649999999999999</v>
      </c>
      <c r="L35" s="12">
        <v>0.90400000000000003</v>
      </c>
      <c r="M35" s="12">
        <v>0.86299999999999999</v>
      </c>
      <c r="N35" s="12">
        <v>0.155</v>
      </c>
      <c r="O35" s="12">
        <v>1.58</v>
      </c>
      <c r="P35" s="12">
        <f>N:N+O:O</f>
        <v>1.7350000000000001</v>
      </c>
      <c r="Q35" s="14">
        <f t="shared" si="12"/>
        <v>1.6291079812206575</v>
      </c>
      <c r="R35" s="14">
        <f t="shared" si="0"/>
        <v>0.81032863849765258</v>
      </c>
      <c r="S35" s="14">
        <f t="shared" si="1"/>
        <v>0.84882629107981222</v>
      </c>
      <c r="T35" s="14">
        <f t="shared" si="13"/>
        <v>10.193548387096774</v>
      </c>
      <c r="U35" s="12">
        <v>0.38400000000000001</v>
      </c>
      <c r="V35" s="12">
        <f t="shared" si="20"/>
        <v>13.739583333333332</v>
      </c>
      <c r="W35" s="12">
        <v>0.82399999999999995</v>
      </c>
      <c r="X35" s="12">
        <v>0.123</v>
      </c>
      <c r="Y35" s="12">
        <f t="shared" ref="Y35:Y36" si="72">W35/X35</f>
        <v>6.6991869918699187</v>
      </c>
      <c r="Z35" s="12">
        <v>0.52400000000000002</v>
      </c>
      <c r="AA35" s="12">
        <v>0.69799999999999995</v>
      </c>
      <c r="AB35" s="12">
        <f t="shared" si="67"/>
        <v>0.27931172468987592</v>
      </c>
      <c r="AC35" s="12">
        <v>1.5289999999999999</v>
      </c>
      <c r="AD35" s="12">
        <f t="shared" si="68"/>
        <v>0.61184473789515803</v>
      </c>
      <c r="AE35" s="12">
        <v>0.125</v>
      </c>
      <c r="AF35" s="12">
        <f t="shared" ref="AF35:AF38" si="73">AE35/K35</f>
        <v>0.11737089201877934</v>
      </c>
      <c r="AG35" s="12">
        <f t="shared" ref="AG35:AG36" si="74">AE35/P35</f>
        <v>7.2046109510086456E-2</v>
      </c>
      <c r="AH35" s="12">
        <f>AE35/N35</f>
        <v>0.80645161290322587</v>
      </c>
      <c r="AI35" s="12">
        <v>9.7000000000000003E-2</v>
      </c>
      <c r="AJ35" s="12">
        <v>5.8000000000000003E-2</v>
      </c>
      <c r="AK35" s="12">
        <f t="shared" si="2"/>
        <v>1.6724137931034482</v>
      </c>
      <c r="AL35" s="12">
        <f t="shared" ref="AL35:AL44" si="75">AI35/AE35</f>
        <v>0.77600000000000002</v>
      </c>
      <c r="AM35" s="12">
        <f>AI35/N35</f>
        <v>0.62580645161290327</v>
      </c>
      <c r="AN35" s="12">
        <f t="shared" ref="AN35:AN38" si="76">AI35/K35</f>
        <v>9.1079812206572783E-2</v>
      </c>
      <c r="AO35" s="12">
        <f t="shared" si="3"/>
        <v>0.28955223880597014</v>
      </c>
      <c r="AP35" s="12">
        <v>0.33500000000000002</v>
      </c>
      <c r="AQ35" s="12">
        <v>0.17399999999999999</v>
      </c>
      <c r="AR35" s="12">
        <f t="shared" ref="AR35:AR54" si="77">AP35/F35</f>
        <v>0.13405362144857944</v>
      </c>
      <c r="AS35" s="12">
        <f t="shared" si="5"/>
        <v>1.9252873563218393</v>
      </c>
      <c r="AT35" s="12">
        <f t="shared" si="52"/>
        <v>0.31455399061032868</v>
      </c>
      <c r="AU35" s="12">
        <v>0.125</v>
      </c>
      <c r="AV35" s="12">
        <v>0.16400000000000001</v>
      </c>
      <c r="AW35" s="12">
        <f t="shared" si="7"/>
        <v>0.76219512195121952</v>
      </c>
      <c r="AX35" s="14">
        <f t="shared" si="8"/>
        <v>2.68</v>
      </c>
      <c r="AY35" s="15">
        <v>6</v>
      </c>
      <c r="AZ35" s="129">
        <v>13</v>
      </c>
      <c r="BA35" s="13" t="s">
        <v>75</v>
      </c>
      <c r="BB35" s="15">
        <v>6</v>
      </c>
      <c r="BC35" s="38">
        <v>8</v>
      </c>
    </row>
    <row r="36" spans="2:55" x14ac:dyDescent="0.2">
      <c r="B36" s="48"/>
      <c r="C36" s="10"/>
      <c r="D36" s="11"/>
      <c r="E36" s="11"/>
      <c r="F36" s="12">
        <f>1.082+1.417</f>
        <v>2.4990000000000001</v>
      </c>
      <c r="G36" s="14">
        <f>I36+J36+K36+L36+M36+N36+O36</f>
        <v>5.2940000000000005</v>
      </c>
      <c r="H36" s="14">
        <f>G36/F36</f>
        <v>2.1184473789515805</v>
      </c>
      <c r="I36" s="12">
        <v>0.125</v>
      </c>
      <c r="J36" s="12">
        <v>0.6</v>
      </c>
      <c r="K36" s="12">
        <v>1.046</v>
      </c>
      <c r="L36" s="12">
        <v>0.89400000000000002</v>
      </c>
      <c r="M36" s="12">
        <v>0.86599999999999999</v>
      </c>
      <c r="N36" s="12">
        <v>0.155</v>
      </c>
      <c r="O36" s="12">
        <v>1.6080000000000001</v>
      </c>
      <c r="P36" s="12">
        <f>N:N+O:O</f>
        <v>1.7630000000000001</v>
      </c>
      <c r="Q36" s="14">
        <f t="shared" si="12"/>
        <v>1.68546845124283</v>
      </c>
      <c r="R36" s="14">
        <f t="shared" si="0"/>
        <v>0.82791586998087952</v>
      </c>
      <c r="S36" s="14">
        <f t="shared" si="1"/>
        <v>0.85468451242829824</v>
      </c>
      <c r="T36" s="14">
        <f t="shared" si="13"/>
        <v>10.374193548387098</v>
      </c>
      <c r="U36" s="12">
        <v>0.38400000000000001</v>
      </c>
      <c r="V36" s="12">
        <f t="shared" si="20"/>
        <v>13.786458333333334</v>
      </c>
      <c r="W36" s="12">
        <v>0.80600000000000005</v>
      </c>
      <c r="X36" s="12">
        <v>0.13700000000000001</v>
      </c>
      <c r="Y36" s="12">
        <f t="shared" si="72"/>
        <v>5.8832116788321169</v>
      </c>
      <c r="Z36" s="12">
        <v>0.52600000000000002</v>
      </c>
      <c r="AA36" s="12">
        <v>0.70799999999999996</v>
      </c>
      <c r="AB36" s="12">
        <f t="shared" si="67"/>
        <v>0.28331332533013204</v>
      </c>
      <c r="AC36" s="12">
        <v>1.5129999999999999</v>
      </c>
      <c r="AD36" s="12">
        <f t="shared" si="68"/>
        <v>0.60544217687074819</v>
      </c>
      <c r="AE36" s="12">
        <v>0.11700000000000001</v>
      </c>
      <c r="AF36" s="12">
        <f t="shared" si="73"/>
        <v>0.1118546845124283</v>
      </c>
      <c r="AG36" s="12">
        <f t="shared" si="74"/>
        <v>6.6364152013613162E-2</v>
      </c>
      <c r="AH36" s="12">
        <f>AE36/N36</f>
        <v>0.75483870967741939</v>
      </c>
      <c r="AI36" s="12">
        <v>9.7000000000000003E-2</v>
      </c>
      <c r="AJ36" s="12">
        <v>5.8000000000000003E-2</v>
      </c>
      <c r="AK36" s="12">
        <f t="shared" si="2"/>
        <v>1.6724137931034482</v>
      </c>
      <c r="AL36" s="12">
        <f t="shared" si="75"/>
        <v>0.829059829059829</v>
      </c>
      <c r="AM36" s="12">
        <f>AI36/N36</f>
        <v>0.62580645161290327</v>
      </c>
      <c r="AN36" s="12">
        <f t="shared" si="76"/>
        <v>9.2734225621414909E-2</v>
      </c>
      <c r="AO36" s="12">
        <f t="shared" si="3"/>
        <v>0.29216867469879515</v>
      </c>
      <c r="AP36" s="12">
        <v>0.33200000000000002</v>
      </c>
      <c r="AQ36" s="12">
        <v>0.17699999999999999</v>
      </c>
      <c r="AR36" s="12">
        <f t="shared" si="77"/>
        <v>0.1328531412565026</v>
      </c>
      <c r="AS36" s="12">
        <f t="shared" si="5"/>
        <v>1.8757062146892658</v>
      </c>
      <c r="AT36" s="12">
        <f t="shared" si="52"/>
        <v>0.31739961759082219</v>
      </c>
      <c r="AU36" s="12">
        <v>0.125</v>
      </c>
      <c r="AV36" s="12">
        <v>0.16400000000000001</v>
      </c>
      <c r="AW36" s="12">
        <f t="shared" ref="AW36" si="78">AU36/AV36</f>
        <v>0.76219512195121952</v>
      </c>
      <c r="AX36" s="14">
        <f t="shared" ref="AX36" si="79">AP36/AU36</f>
        <v>2.6560000000000001</v>
      </c>
      <c r="AY36" s="13" t="s">
        <v>75</v>
      </c>
      <c r="AZ36" s="126">
        <v>14</v>
      </c>
      <c r="BA36" s="13" t="s">
        <v>75</v>
      </c>
      <c r="BB36" s="13" t="s">
        <v>75</v>
      </c>
      <c r="BC36" s="35" t="s">
        <v>75</v>
      </c>
    </row>
    <row r="37" spans="2:55" x14ac:dyDescent="0.2">
      <c r="B37" s="52">
        <v>23151</v>
      </c>
      <c r="C37" s="22" t="s">
        <v>59</v>
      </c>
      <c r="D37" s="23" t="s">
        <v>72</v>
      </c>
      <c r="E37" s="23" t="s">
        <v>176</v>
      </c>
      <c r="F37" s="24">
        <f>1.212+1.472</f>
        <v>2.6840000000000002</v>
      </c>
      <c r="G37" s="25" t="s">
        <v>75</v>
      </c>
      <c r="H37" s="25" t="s">
        <v>75</v>
      </c>
      <c r="I37" s="24">
        <v>0.11799999999999999</v>
      </c>
      <c r="J37" s="24">
        <v>6.8000000000000005E-2</v>
      </c>
      <c r="K37" s="24">
        <v>1.107</v>
      </c>
      <c r="L37" s="24">
        <v>0.78600000000000003</v>
      </c>
      <c r="M37" s="24">
        <v>0.78500000000000003</v>
      </c>
      <c r="N37" s="24">
        <v>0.154</v>
      </c>
      <c r="O37" s="25" t="s">
        <v>75</v>
      </c>
      <c r="P37" s="25" t="s">
        <v>75</v>
      </c>
      <c r="Q37" s="25" t="s">
        <v>75</v>
      </c>
      <c r="R37" s="26">
        <f t="shared" si="0"/>
        <v>0.70912375790424576</v>
      </c>
      <c r="S37" s="26">
        <f t="shared" si="1"/>
        <v>0.7100271002710028</v>
      </c>
      <c r="T37" s="25" t="s">
        <v>75</v>
      </c>
      <c r="U37" s="24">
        <v>0.379</v>
      </c>
      <c r="V37" s="25" t="s">
        <v>75</v>
      </c>
      <c r="W37" s="24">
        <v>0.84599999999999997</v>
      </c>
      <c r="X37" s="24">
        <v>0.17</v>
      </c>
      <c r="Y37" s="18">
        <f>W37/X37</f>
        <v>4.9764705882352933</v>
      </c>
      <c r="Z37" s="24">
        <v>0.53600000000000003</v>
      </c>
      <c r="AA37" s="24">
        <v>0.74299999999999999</v>
      </c>
      <c r="AB37" s="24">
        <f t="shared" si="67"/>
        <v>0.27682563338301042</v>
      </c>
      <c r="AC37" s="24">
        <v>1.5349999999999999</v>
      </c>
      <c r="AD37" s="24">
        <f t="shared" si="68"/>
        <v>0.57190760059612511</v>
      </c>
      <c r="AE37" s="24">
        <v>0.11799999999999999</v>
      </c>
      <c r="AF37" s="18">
        <f t="shared" si="73"/>
        <v>0.1065943992773261</v>
      </c>
      <c r="AG37" s="25" t="s">
        <v>75</v>
      </c>
      <c r="AH37" s="24">
        <f>AE37/N37</f>
        <v>0.76623376623376616</v>
      </c>
      <c r="AI37" s="24">
        <v>9.0999999999999998E-2</v>
      </c>
      <c r="AJ37" s="24">
        <v>6.5000000000000002E-2</v>
      </c>
      <c r="AK37" s="24">
        <f t="shared" si="2"/>
        <v>1.4</v>
      </c>
      <c r="AL37" s="24">
        <f t="shared" si="75"/>
        <v>0.77118644067796616</v>
      </c>
      <c r="AM37" s="24">
        <f>AI37/N37</f>
        <v>0.59090909090909094</v>
      </c>
      <c r="AN37" s="24">
        <f t="shared" si="76"/>
        <v>8.2204155374887081E-2</v>
      </c>
      <c r="AO37" s="24">
        <f t="shared" si="3"/>
        <v>0.25068870523415976</v>
      </c>
      <c r="AP37" s="24">
        <v>0.36299999999999999</v>
      </c>
      <c r="AQ37" s="24">
        <v>0.154</v>
      </c>
      <c r="AR37" s="24">
        <f t="shared" si="77"/>
        <v>0.13524590163934425</v>
      </c>
      <c r="AS37" s="24">
        <f t="shared" si="5"/>
        <v>2.3571428571428572</v>
      </c>
      <c r="AT37" s="24">
        <f t="shared" si="52"/>
        <v>0.32791327913279134</v>
      </c>
      <c r="AU37" s="24">
        <v>0.14000000000000001</v>
      </c>
      <c r="AV37" s="24">
        <v>0.156</v>
      </c>
      <c r="AW37" s="24">
        <f t="shared" si="7"/>
        <v>0.89743589743589747</v>
      </c>
      <c r="AX37" s="26">
        <f t="shared" si="8"/>
        <v>2.5928571428571425</v>
      </c>
      <c r="AY37" s="27">
        <v>5</v>
      </c>
      <c r="AZ37" s="130">
        <v>12</v>
      </c>
      <c r="BA37" s="25" t="s">
        <v>75</v>
      </c>
      <c r="BB37" s="27">
        <v>7</v>
      </c>
      <c r="BC37" s="39">
        <v>8</v>
      </c>
    </row>
    <row r="38" spans="2:55" x14ac:dyDescent="0.2">
      <c r="B38" s="53"/>
      <c r="C38" s="22"/>
      <c r="D38" s="23"/>
      <c r="E38" s="23"/>
      <c r="F38" s="24">
        <f>1.212+1.472</f>
        <v>2.6840000000000002</v>
      </c>
      <c r="G38" s="25" t="s">
        <v>75</v>
      </c>
      <c r="H38" s="25" t="s">
        <v>75</v>
      </c>
      <c r="I38" s="24">
        <v>0.11899999999999999</v>
      </c>
      <c r="J38" s="24">
        <v>7.2999999999999995E-2</v>
      </c>
      <c r="K38" s="24">
        <v>1.1080000000000001</v>
      </c>
      <c r="L38" s="24">
        <v>0.754</v>
      </c>
      <c r="M38" s="24">
        <v>0.79800000000000004</v>
      </c>
      <c r="N38" s="24">
        <v>0.14499999999999999</v>
      </c>
      <c r="O38" s="25" t="s">
        <v>75</v>
      </c>
      <c r="P38" s="25" t="s">
        <v>75</v>
      </c>
      <c r="Q38" s="25" t="s">
        <v>75</v>
      </c>
      <c r="R38" s="26">
        <f t="shared" si="0"/>
        <v>0.72021660649819497</v>
      </c>
      <c r="S38" s="26">
        <f t="shared" si="1"/>
        <v>0.68050541516245477</v>
      </c>
      <c r="T38" s="25" t="s">
        <v>75</v>
      </c>
      <c r="U38" s="24">
        <v>0.379</v>
      </c>
      <c r="V38" s="25" t="s">
        <v>75</v>
      </c>
      <c r="W38" s="25" t="s">
        <v>75</v>
      </c>
      <c r="X38" s="25" t="s">
        <v>75</v>
      </c>
      <c r="Y38" s="25" t="s">
        <v>75</v>
      </c>
      <c r="Z38" s="24">
        <v>0.56799999999999995</v>
      </c>
      <c r="AA38" s="24">
        <v>0.76200000000000001</v>
      </c>
      <c r="AB38" s="24">
        <f t="shared" si="67"/>
        <v>0.28390461997019373</v>
      </c>
      <c r="AC38" s="24">
        <v>1.4910000000000001</v>
      </c>
      <c r="AD38" s="24">
        <f t="shared" si="68"/>
        <v>0.55551415797317438</v>
      </c>
      <c r="AE38" s="24">
        <v>0.115</v>
      </c>
      <c r="AF38" s="18">
        <f t="shared" si="73"/>
        <v>0.10379061371841154</v>
      </c>
      <c r="AG38" s="25" t="s">
        <v>75</v>
      </c>
      <c r="AH38" s="24">
        <f>AE38/N38</f>
        <v>0.79310344827586221</v>
      </c>
      <c r="AI38" s="24">
        <v>9.0999999999999998E-2</v>
      </c>
      <c r="AJ38" s="24">
        <v>6.5000000000000002E-2</v>
      </c>
      <c r="AK38" s="24">
        <f t="shared" si="2"/>
        <v>1.4</v>
      </c>
      <c r="AL38" s="24">
        <f t="shared" si="75"/>
        <v>0.79130434782608694</v>
      </c>
      <c r="AM38" s="24">
        <f>AI38/N38</f>
        <v>0.62758620689655176</v>
      </c>
      <c r="AN38" s="24">
        <f t="shared" si="76"/>
        <v>8.2129963898916955E-2</v>
      </c>
      <c r="AO38" s="24">
        <f t="shared" si="3"/>
        <v>0.24931506849315069</v>
      </c>
      <c r="AP38" s="24">
        <v>0.36499999999999999</v>
      </c>
      <c r="AQ38" s="24">
        <v>0.155</v>
      </c>
      <c r="AR38" s="24">
        <f t="shared" si="77"/>
        <v>0.13599105812220566</v>
      </c>
      <c r="AS38" s="24">
        <f t="shared" si="5"/>
        <v>2.3548387096774195</v>
      </c>
      <c r="AT38" s="24">
        <f t="shared" si="52"/>
        <v>0.32942238267148011</v>
      </c>
      <c r="AU38" s="24">
        <v>0.14000000000000001</v>
      </c>
      <c r="AV38" s="24">
        <v>0.156</v>
      </c>
      <c r="AW38" s="24">
        <f t="shared" ref="AW38" si="80">AU38/AV38</f>
        <v>0.89743589743589747</v>
      </c>
      <c r="AX38" s="26">
        <f t="shared" ref="AX38" si="81">AP38/AU38</f>
        <v>2.6071428571428568</v>
      </c>
      <c r="AY38" s="25" t="s">
        <v>75</v>
      </c>
      <c r="AZ38" s="131">
        <v>13</v>
      </c>
      <c r="BA38" s="25" t="s">
        <v>75</v>
      </c>
      <c r="BB38" s="25" t="s">
        <v>75</v>
      </c>
      <c r="BC38" s="40" t="s">
        <v>75</v>
      </c>
    </row>
    <row r="39" spans="2:55" x14ac:dyDescent="0.2">
      <c r="B39" s="51">
        <v>23151</v>
      </c>
      <c r="C39" s="10" t="s">
        <v>59</v>
      </c>
      <c r="D39" s="11" t="s">
        <v>72</v>
      </c>
      <c r="E39" s="11" t="s">
        <v>176</v>
      </c>
      <c r="F39" s="12">
        <f>1.115+1.342</f>
        <v>2.4569999999999999</v>
      </c>
      <c r="G39" s="13" t="s">
        <v>75</v>
      </c>
      <c r="H39" s="13" t="s">
        <v>75</v>
      </c>
      <c r="I39" s="12">
        <v>0.12</v>
      </c>
      <c r="J39" s="12">
        <v>6.3E-2</v>
      </c>
      <c r="K39" s="12">
        <v>1.0589999999999999</v>
      </c>
      <c r="L39" s="12">
        <v>0.75</v>
      </c>
      <c r="M39" s="12">
        <v>0.72299999999999998</v>
      </c>
      <c r="N39" s="12">
        <v>0.14799999999999999</v>
      </c>
      <c r="O39" s="13" t="s">
        <v>75</v>
      </c>
      <c r="P39" s="13" t="s">
        <v>75</v>
      </c>
      <c r="Q39" s="13" t="s">
        <v>75</v>
      </c>
      <c r="R39" s="14">
        <f t="shared" si="0"/>
        <v>0.68271954674220969</v>
      </c>
      <c r="S39" s="14">
        <f t="shared" si="1"/>
        <v>0.708215297450425</v>
      </c>
      <c r="T39" s="13" t="s">
        <v>75</v>
      </c>
      <c r="U39" s="12">
        <v>0.35799999999999998</v>
      </c>
      <c r="V39" s="13" t="s">
        <v>75</v>
      </c>
      <c r="W39" s="12">
        <v>0.79700000000000004</v>
      </c>
      <c r="X39" s="12">
        <v>0.126</v>
      </c>
      <c r="Y39" s="12">
        <f t="shared" ref="Y39:Y40" si="82">W39/X39</f>
        <v>6.325396825396826</v>
      </c>
      <c r="Z39" s="12">
        <v>0.53600000000000003</v>
      </c>
      <c r="AA39" s="12">
        <v>0.68500000000000005</v>
      </c>
      <c r="AB39" s="12">
        <f t="shared" si="67"/>
        <v>0.27879527879527882</v>
      </c>
      <c r="AC39" s="12">
        <v>1.413</v>
      </c>
      <c r="AD39" s="12">
        <f t="shared" si="68"/>
        <v>0.57509157509157516</v>
      </c>
      <c r="AE39" s="12">
        <v>0.11899999999999999</v>
      </c>
      <c r="AF39" s="12">
        <f t="shared" ref="AF39:AF42" si="83">AE39/K39</f>
        <v>0.11237016052880075</v>
      </c>
      <c r="AG39" s="13" t="s">
        <v>75</v>
      </c>
      <c r="AH39" s="12">
        <f>AE39/N39</f>
        <v>0.80405405405405406</v>
      </c>
      <c r="AI39" s="12">
        <v>0.104</v>
      </c>
      <c r="AJ39" s="12">
        <v>6.7000000000000004E-2</v>
      </c>
      <c r="AK39" s="12">
        <f t="shared" si="2"/>
        <v>1.5522388059701491</v>
      </c>
      <c r="AL39" s="12">
        <f t="shared" si="75"/>
        <v>0.87394957983193278</v>
      </c>
      <c r="AM39" s="12">
        <f>AI39/N39</f>
        <v>0.70270270270270274</v>
      </c>
      <c r="AN39" s="12">
        <f>AI39/K39</f>
        <v>9.8205854579792251E-2</v>
      </c>
      <c r="AO39" s="12">
        <f t="shared" si="3"/>
        <v>0.30952380952380948</v>
      </c>
      <c r="AP39" s="12">
        <v>0.33600000000000002</v>
      </c>
      <c r="AQ39" s="12">
        <v>0.14899999999999999</v>
      </c>
      <c r="AR39" s="12">
        <f t="shared" si="77"/>
        <v>0.13675213675213677</v>
      </c>
      <c r="AS39" s="12">
        <f t="shared" si="5"/>
        <v>2.2550335570469802</v>
      </c>
      <c r="AT39" s="12">
        <f t="shared" si="52"/>
        <v>0.31728045325779042</v>
      </c>
      <c r="AU39" s="12">
        <v>0.14000000000000001</v>
      </c>
      <c r="AV39" s="12">
        <v>0.14699999999999999</v>
      </c>
      <c r="AW39" s="12">
        <f t="shared" si="7"/>
        <v>0.95238095238095255</v>
      </c>
      <c r="AX39" s="14">
        <f t="shared" si="8"/>
        <v>2.4</v>
      </c>
      <c r="AY39" s="15">
        <v>6</v>
      </c>
      <c r="AZ39" s="129">
        <v>11</v>
      </c>
      <c r="BA39" s="15">
        <v>9</v>
      </c>
      <c r="BB39" s="15">
        <v>11</v>
      </c>
      <c r="BC39" s="38">
        <v>7</v>
      </c>
    </row>
    <row r="40" spans="2:55" x14ac:dyDescent="0.2">
      <c r="B40" s="48"/>
      <c r="C40" s="10"/>
      <c r="D40" s="11"/>
      <c r="E40" s="11"/>
      <c r="F40" s="12">
        <f>1.115+1.342</f>
        <v>2.4569999999999999</v>
      </c>
      <c r="G40" s="13" t="s">
        <v>75</v>
      </c>
      <c r="H40" s="13" t="s">
        <v>75</v>
      </c>
      <c r="I40" s="12">
        <v>0.11799999999999999</v>
      </c>
      <c r="J40" s="12">
        <v>6.3E-2</v>
      </c>
      <c r="K40" s="12">
        <v>1.0920000000000001</v>
      </c>
      <c r="L40" s="12">
        <v>0.75600000000000001</v>
      </c>
      <c r="M40" s="13" t="s">
        <v>75</v>
      </c>
      <c r="N40" s="13" t="s">
        <v>75</v>
      </c>
      <c r="O40" s="13" t="s">
        <v>75</v>
      </c>
      <c r="P40" s="13" t="s">
        <v>75</v>
      </c>
      <c r="Q40" s="13" t="s">
        <v>75</v>
      </c>
      <c r="R40" s="13" t="s">
        <v>75</v>
      </c>
      <c r="S40" s="14">
        <f t="shared" si="1"/>
        <v>0.69230769230769229</v>
      </c>
      <c r="T40" s="13" t="s">
        <v>75</v>
      </c>
      <c r="U40" s="12">
        <v>0.35799999999999998</v>
      </c>
      <c r="V40" s="13" t="s">
        <v>75</v>
      </c>
      <c r="W40" s="12">
        <v>0.80100000000000005</v>
      </c>
      <c r="X40" s="12">
        <v>0.13600000000000001</v>
      </c>
      <c r="Y40" s="12">
        <f t="shared" si="82"/>
        <v>5.8897058823529411</v>
      </c>
      <c r="Z40" s="13" t="s">
        <v>75</v>
      </c>
      <c r="AA40" s="12">
        <v>0.73899999999999999</v>
      </c>
      <c r="AB40" s="12">
        <f t="shared" si="67"/>
        <v>0.30077330077330078</v>
      </c>
      <c r="AC40" s="12">
        <v>1.421</v>
      </c>
      <c r="AD40" s="12">
        <f t="shared" si="68"/>
        <v>0.57834757834757844</v>
      </c>
      <c r="AE40" s="12">
        <v>0.124</v>
      </c>
      <c r="AF40" s="12">
        <f t="shared" si="83"/>
        <v>0.11355311355311354</v>
      </c>
      <c r="AG40" s="13" t="s">
        <v>75</v>
      </c>
      <c r="AH40" s="13" t="s">
        <v>75</v>
      </c>
      <c r="AI40" s="12">
        <v>0.104</v>
      </c>
      <c r="AJ40" s="12">
        <v>6.7000000000000004E-2</v>
      </c>
      <c r="AK40" s="12">
        <f t="shared" si="2"/>
        <v>1.5522388059701491</v>
      </c>
      <c r="AL40" s="12">
        <f t="shared" si="75"/>
        <v>0.83870967741935476</v>
      </c>
      <c r="AM40" s="13" t="s">
        <v>75</v>
      </c>
      <c r="AN40" s="12">
        <f>AI40/K40</f>
        <v>9.5238095238095233E-2</v>
      </c>
      <c r="AO40" s="12">
        <f t="shared" si="3"/>
        <v>0.27733333333333332</v>
      </c>
      <c r="AP40" s="12">
        <v>0.375</v>
      </c>
      <c r="AQ40" s="12">
        <v>0.127</v>
      </c>
      <c r="AR40" s="12">
        <f t="shared" si="77"/>
        <v>0.15262515262515264</v>
      </c>
      <c r="AS40" s="12">
        <f t="shared" si="5"/>
        <v>2.9527559055118111</v>
      </c>
      <c r="AT40" s="12">
        <f t="shared" si="52"/>
        <v>0.34340659340659341</v>
      </c>
      <c r="AU40" s="12">
        <v>0.14000000000000001</v>
      </c>
      <c r="AV40" s="12">
        <v>0.14699999999999999</v>
      </c>
      <c r="AW40" s="12">
        <f t="shared" ref="AW40" si="84">AU40/AV40</f>
        <v>0.95238095238095255</v>
      </c>
      <c r="AX40" s="14">
        <f t="shared" ref="AX40" si="85">AP40/AU40</f>
        <v>2.6785714285714284</v>
      </c>
      <c r="AY40" s="13" t="s">
        <v>75</v>
      </c>
      <c r="AZ40" s="126">
        <v>13</v>
      </c>
      <c r="BA40" s="13" t="s">
        <v>75</v>
      </c>
      <c r="BB40" s="13" t="s">
        <v>75</v>
      </c>
      <c r="BC40" s="35" t="s">
        <v>75</v>
      </c>
    </row>
    <row r="41" spans="2:55" x14ac:dyDescent="0.2">
      <c r="B41" s="52">
        <v>23151</v>
      </c>
      <c r="C41" s="22" t="s">
        <v>59</v>
      </c>
      <c r="D41" s="23" t="s">
        <v>72</v>
      </c>
      <c r="E41" s="23" t="s">
        <v>176</v>
      </c>
      <c r="F41" s="24">
        <f>1.15+1.48</f>
        <v>2.63</v>
      </c>
      <c r="G41" s="25" t="s">
        <v>75</v>
      </c>
      <c r="H41" s="25" t="s">
        <v>75</v>
      </c>
      <c r="I41" s="24">
        <v>0.123</v>
      </c>
      <c r="J41" s="24">
        <v>0.71</v>
      </c>
      <c r="K41" s="24">
        <v>1.1100000000000001</v>
      </c>
      <c r="L41" s="24">
        <v>0.82</v>
      </c>
      <c r="M41" s="24">
        <v>0.79700000000000004</v>
      </c>
      <c r="N41" s="24">
        <v>0.14799999999999999</v>
      </c>
      <c r="O41" s="25" t="s">
        <v>75</v>
      </c>
      <c r="P41" s="25" t="s">
        <v>75</v>
      </c>
      <c r="Q41" s="25" t="s">
        <v>75</v>
      </c>
      <c r="R41" s="26">
        <f t="shared" si="0"/>
        <v>0.71801801801801801</v>
      </c>
      <c r="S41" s="26">
        <f t="shared" si="1"/>
        <v>0.73873873873873863</v>
      </c>
      <c r="T41" s="25" t="s">
        <v>75</v>
      </c>
      <c r="U41" s="24">
        <v>0.38200000000000001</v>
      </c>
      <c r="V41" s="25" t="s">
        <v>75</v>
      </c>
      <c r="W41" s="24">
        <v>0.81799999999999995</v>
      </c>
      <c r="X41" s="24">
        <v>0.14799999999999999</v>
      </c>
      <c r="Y41" s="18">
        <f>W41/X41</f>
        <v>5.5270270270270272</v>
      </c>
      <c r="Z41" s="24">
        <v>0.54200000000000004</v>
      </c>
      <c r="AA41" s="24">
        <v>0.68100000000000005</v>
      </c>
      <c r="AB41" s="24">
        <f t="shared" si="67"/>
        <v>0.25893536121673005</v>
      </c>
      <c r="AC41" s="24">
        <v>1.4470000000000001</v>
      </c>
      <c r="AD41" s="24">
        <f t="shared" si="68"/>
        <v>0.55019011406844109</v>
      </c>
      <c r="AE41" s="24">
        <v>0.124</v>
      </c>
      <c r="AF41" s="18">
        <f t="shared" si="83"/>
        <v>0.11171171171171169</v>
      </c>
      <c r="AG41" s="25" t="s">
        <v>75</v>
      </c>
      <c r="AH41" s="24">
        <f>AE41/N41</f>
        <v>0.83783783783783783</v>
      </c>
      <c r="AI41" s="24">
        <v>0.104</v>
      </c>
      <c r="AJ41" s="24">
        <v>6.0999999999999999E-2</v>
      </c>
      <c r="AK41" s="24">
        <f t="shared" si="2"/>
        <v>1.7049180327868851</v>
      </c>
      <c r="AL41" s="24">
        <f t="shared" si="75"/>
        <v>0.83870967741935476</v>
      </c>
      <c r="AM41" s="24">
        <f>AI41/N41</f>
        <v>0.70270270270270274</v>
      </c>
      <c r="AN41" s="24">
        <f t="shared" ref="AN41:AN42" si="86">AI41/K41</f>
        <v>9.369369369369368E-2</v>
      </c>
      <c r="AO41" s="24">
        <f t="shared" si="3"/>
        <v>0.32704402515723269</v>
      </c>
      <c r="AP41" s="24">
        <v>0.318</v>
      </c>
      <c r="AQ41" s="24">
        <v>0.14899999999999999</v>
      </c>
      <c r="AR41" s="24">
        <f t="shared" si="77"/>
        <v>0.12091254752851711</v>
      </c>
      <c r="AS41" s="24">
        <f t="shared" si="5"/>
        <v>2.1342281879194633</v>
      </c>
      <c r="AT41" s="24">
        <f t="shared" si="52"/>
        <v>0.28648648648648645</v>
      </c>
      <c r="AU41" s="24">
        <v>0.127</v>
      </c>
      <c r="AV41" s="24">
        <v>0.13100000000000001</v>
      </c>
      <c r="AW41" s="24">
        <f t="shared" si="7"/>
        <v>0.96946564885496178</v>
      </c>
      <c r="AX41" s="26">
        <f t="shared" si="8"/>
        <v>2.5039370078740157</v>
      </c>
      <c r="AY41" s="27">
        <v>6</v>
      </c>
      <c r="AZ41" s="130">
        <v>12</v>
      </c>
      <c r="BA41" s="25" t="s">
        <v>75</v>
      </c>
      <c r="BB41" s="27">
        <v>9</v>
      </c>
      <c r="BC41" s="39">
        <v>7</v>
      </c>
    </row>
    <row r="42" spans="2:55" x14ac:dyDescent="0.2">
      <c r="B42" s="53"/>
      <c r="C42" s="22"/>
      <c r="D42" s="23"/>
      <c r="E42" s="23"/>
      <c r="F42" s="24">
        <f>1.15+1.48</f>
        <v>2.63</v>
      </c>
      <c r="G42" s="25" t="s">
        <v>75</v>
      </c>
      <c r="H42" s="25" t="s">
        <v>75</v>
      </c>
      <c r="I42" s="24">
        <v>0.13300000000000001</v>
      </c>
      <c r="J42" s="24">
        <v>0.6</v>
      </c>
      <c r="K42" s="24">
        <v>1.1100000000000001</v>
      </c>
      <c r="L42" s="24">
        <v>0.79400000000000004</v>
      </c>
      <c r="M42" s="24">
        <v>0.79700000000000004</v>
      </c>
      <c r="N42" s="24">
        <v>0.14299999999999999</v>
      </c>
      <c r="O42" s="25" t="s">
        <v>75</v>
      </c>
      <c r="P42" s="25" t="s">
        <v>75</v>
      </c>
      <c r="Q42" s="25" t="s">
        <v>75</v>
      </c>
      <c r="R42" s="26">
        <f t="shared" si="0"/>
        <v>0.71801801801801801</v>
      </c>
      <c r="S42" s="26">
        <f t="shared" si="1"/>
        <v>0.71531531531531534</v>
      </c>
      <c r="T42" s="25" t="s">
        <v>75</v>
      </c>
      <c r="U42" s="24">
        <v>0.38200000000000001</v>
      </c>
      <c r="V42" s="25" t="s">
        <v>75</v>
      </c>
      <c r="W42" s="24">
        <v>0.80100000000000005</v>
      </c>
      <c r="X42" s="24">
        <v>0.161</v>
      </c>
      <c r="Y42" s="18">
        <f>W42/X42</f>
        <v>4.975155279503106</v>
      </c>
      <c r="Z42" s="25" t="s">
        <v>75</v>
      </c>
      <c r="AA42" s="24">
        <v>0.69399999999999995</v>
      </c>
      <c r="AB42" s="24">
        <f t="shared" si="67"/>
        <v>0.26387832699619773</v>
      </c>
      <c r="AC42" s="24">
        <v>1.4610000000000001</v>
      </c>
      <c r="AD42" s="24">
        <f t="shared" si="68"/>
        <v>0.55551330798479093</v>
      </c>
      <c r="AE42" s="24">
        <v>0.109</v>
      </c>
      <c r="AF42" s="18">
        <f t="shared" si="83"/>
        <v>9.8198198198198194E-2</v>
      </c>
      <c r="AG42" s="25" t="s">
        <v>75</v>
      </c>
      <c r="AH42" s="24">
        <f>AE42/N42</f>
        <v>0.7622377622377623</v>
      </c>
      <c r="AI42" s="24">
        <v>0.104</v>
      </c>
      <c r="AJ42" s="24">
        <v>6.0999999999999999E-2</v>
      </c>
      <c r="AK42" s="24">
        <f t="shared" si="2"/>
        <v>1.7049180327868851</v>
      </c>
      <c r="AL42" s="24">
        <f t="shared" si="75"/>
        <v>0.95412844036697242</v>
      </c>
      <c r="AM42" s="24">
        <f>AI42/N42</f>
        <v>0.72727272727272729</v>
      </c>
      <c r="AN42" s="24">
        <f t="shared" si="86"/>
        <v>9.369369369369368E-2</v>
      </c>
      <c r="AO42" s="24">
        <f t="shared" si="3"/>
        <v>0.30678466076696159</v>
      </c>
      <c r="AP42" s="24">
        <v>0.33900000000000002</v>
      </c>
      <c r="AQ42" s="24">
        <v>0.13600000000000001</v>
      </c>
      <c r="AR42" s="24">
        <f t="shared" si="77"/>
        <v>0.12889733840304185</v>
      </c>
      <c r="AS42" s="24">
        <f t="shared" si="5"/>
        <v>2.4926470588235294</v>
      </c>
      <c r="AT42" s="24">
        <f t="shared" si="52"/>
        <v>0.30540540540540539</v>
      </c>
      <c r="AU42" s="24">
        <v>0.127</v>
      </c>
      <c r="AV42" s="24">
        <v>0.13100000000000001</v>
      </c>
      <c r="AW42" s="24">
        <f t="shared" ref="AW42" si="87">AU42/AV42</f>
        <v>0.96946564885496178</v>
      </c>
      <c r="AX42" s="26">
        <f t="shared" ref="AX42" si="88">AP42/AU42</f>
        <v>2.6692913385826773</v>
      </c>
      <c r="AY42" s="25" t="s">
        <v>75</v>
      </c>
      <c r="AZ42" s="131">
        <v>13</v>
      </c>
      <c r="BA42" s="25" t="s">
        <v>75</v>
      </c>
      <c r="BB42" s="25" t="s">
        <v>75</v>
      </c>
      <c r="BC42" s="40" t="s">
        <v>75</v>
      </c>
    </row>
    <row r="43" spans="2:55" x14ac:dyDescent="0.2">
      <c r="B43" s="51">
        <v>19532</v>
      </c>
      <c r="C43" s="10" t="s">
        <v>59</v>
      </c>
      <c r="D43" s="11" t="s">
        <v>74</v>
      </c>
      <c r="E43" s="11" t="s">
        <v>177</v>
      </c>
      <c r="F43" s="12">
        <f>1.408+0.585</f>
        <v>1.9929999999999999</v>
      </c>
      <c r="G43" s="14">
        <f>I43+J43+K43+L43+M43+N43+O43</f>
        <v>3.7709999999999999</v>
      </c>
      <c r="H43" s="14">
        <f>G43/F43</f>
        <v>1.8921224284997491</v>
      </c>
      <c r="I43" s="12">
        <v>0.108</v>
      </c>
      <c r="J43" s="12">
        <v>5.3999999999999999E-2</v>
      </c>
      <c r="K43" s="12">
        <v>0.95899999999999996</v>
      </c>
      <c r="L43" s="12">
        <v>0.72499999999999998</v>
      </c>
      <c r="M43" s="12">
        <v>0.67500000000000004</v>
      </c>
      <c r="N43" s="12">
        <v>0.14099999999999999</v>
      </c>
      <c r="O43" s="12">
        <v>1.109</v>
      </c>
      <c r="P43" s="12">
        <f>N:N+O:O</f>
        <v>1.25</v>
      </c>
      <c r="Q43" s="14">
        <f t="shared" si="12"/>
        <v>1.3034410844629822</v>
      </c>
      <c r="R43" s="14">
        <f t="shared" si="0"/>
        <v>0.70385818561001046</v>
      </c>
      <c r="S43" s="14">
        <f t="shared" si="1"/>
        <v>0.75599582898852968</v>
      </c>
      <c r="T43" s="14">
        <f t="shared" si="13"/>
        <v>7.8652482269503556</v>
      </c>
      <c r="U43" s="12">
        <v>0.38800000000000001</v>
      </c>
      <c r="V43" s="12">
        <f t="shared" si="20"/>
        <v>9.7190721649484537</v>
      </c>
      <c r="W43" s="12">
        <v>0.83</v>
      </c>
      <c r="X43" s="12">
        <v>0.16800000000000001</v>
      </c>
      <c r="Y43" s="12">
        <f t="shared" ref="Y43:Y44" si="89">W43/X43</f>
        <v>4.9404761904761898</v>
      </c>
      <c r="Z43" s="12">
        <v>0.47199999999999998</v>
      </c>
      <c r="AA43" s="12">
        <v>0.60399999999999998</v>
      </c>
      <c r="AB43" s="12">
        <f t="shared" si="67"/>
        <v>0.30306071249372807</v>
      </c>
      <c r="AC43" s="12">
        <v>1.26</v>
      </c>
      <c r="AD43" s="12">
        <f t="shared" si="68"/>
        <v>0.63221274460612142</v>
      </c>
      <c r="AE43" s="12">
        <v>0.11600000000000001</v>
      </c>
      <c r="AF43" s="12">
        <f>AE43/K43</f>
        <v>0.12095933263816476</v>
      </c>
      <c r="AG43" s="12">
        <f t="shared" ref="AG43:AG44" si="90">AE43/P43</f>
        <v>9.2800000000000007E-2</v>
      </c>
      <c r="AH43" s="12">
        <f>AE43/N43</f>
        <v>0.82269503546099298</v>
      </c>
      <c r="AI43" s="12">
        <v>0.107</v>
      </c>
      <c r="AJ43" s="12">
        <v>5.3999999999999999E-2</v>
      </c>
      <c r="AK43" s="12">
        <f t="shared" si="2"/>
        <v>1.9814814814814814</v>
      </c>
      <c r="AL43" s="12">
        <f t="shared" si="75"/>
        <v>0.92241379310344818</v>
      </c>
      <c r="AM43" s="12">
        <f>AI43/N43</f>
        <v>0.75886524822695045</v>
      </c>
      <c r="AN43" s="12">
        <f t="shared" ref="AN43:AN44" si="91">AI43/K43</f>
        <v>0.11157455683003129</v>
      </c>
      <c r="AO43" s="12">
        <f t="shared" si="3"/>
        <v>0.40377358490566034</v>
      </c>
      <c r="AP43" s="12">
        <v>0.26500000000000001</v>
      </c>
      <c r="AQ43" s="12">
        <v>0.14299999999999999</v>
      </c>
      <c r="AR43" s="12">
        <f t="shared" si="77"/>
        <v>0.13296537882589063</v>
      </c>
      <c r="AS43" s="12">
        <f t="shared" si="5"/>
        <v>1.8531468531468533</v>
      </c>
      <c r="AT43" s="12">
        <f t="shared" si="52"/>
        <v>0.27632950990615229</v>
      </c>
      <c r="AU43" s="12">
        <v>0.14000000000000001</v>
      </c>
      <c r="AV43" s="12">
        <v>0.12</v>
      </c>
      <c r="AW43" s="12">
        <f t="shared" si="7"/>
        <v>1.1666666666666667</v>
      </c>
      <c r="AX43" s="14">
        <f t="shared" si="8"/>
        <v>1.8928571428571428</v>
      </c>
      <c r="AY43" s="15">
        <v>5</v>
      </c>
      <c r="AZ43" s="129">
        <v>11</v>
      </c>
      <c r="BA43" s="15">
        <v>8</v>
      </c>
      <c r="BB43" s="15">
        <v>9</v>
      </c>
      <c r="BC43" s="38">
        <v>8</v>
      </c>
    </row>
    <row r="44" spans="2:55" x14ac:dyDescent="0.2">
      <c r="B44" s="48"/>
      <c r="C44" s="10"/>
      <c r="D44" s="11"/>
      <c r="E44" s="11"/>
      <c r="F44" s="12">
        <f>1.408+0.585</f>
        <v>1.9929999999999999</v>
      </c>
      <c r="G44" s="14">
        <f>I44+J44+K44+L44+M44+N44+O44</f>
        <v>3.7869999999999999</v>
      </c>
      <c r="H44" s="14">
        <f>G44/F44</f>
        <v>1.9001505268439538</v>
      </c>
      <c r="I44" s="12">
        <v>0.105</v>
      </c>
      <c r="J44" s="12">
        <v>6.2E-2</v>
      </c>
      <c r="K44" s="12">
        <v>0.95</v>
      </c>
      <c r="L44" s="12">
        <v>0.72099999999999997</v>
      </c>
      <c r="M44" s="12">
        <v>0.69099999999999995</v>
      </c>
      <c r="N44" s="12">
        <v>0.14799999999999999</v>
      </c>
      <c r="O44" s="12">
        <v>1.1100000000000001</v>
      </c>
      <c r="P44" s="12">
        <f>N:N+O:O</f>
        <v>1.258</v>
      </c>
      <c r="Q44" s="14">
        <f t="shared" si="12"/>
        <v>1.3242105263157895</v>
      </c>
      <c r="R44" s="14">
        <f t="shared" si="0"/>
        <v>0.72736842105263155</v>
      </c>
      <c r="S44" s="14">
        <f t="shared" si="1"/>
        <v>0.75894736842105259</v>
      </c>
      <c r="T44" s="14">
        <f t="shared" si="13"/>
        <v>7.5000000000000009</v>
      </c>
      <c r="U44" s="12">
        <v>0.38800000000000001</v>
      </c>
      <c r="V44" s="12">
        <f t="shared" si="20"/>
        <v>9.7603092783505154</v>
      </c>
      <c r="W44" s="12">
        <v>0.80700000000000005</v>
      </c>
      <c r="X44" s="12">
        <v>0.16</v>
      </c>
      <c r="Y44" s="12">
        <f t="shared" si="89"/>
        <v>5.0437500000000002</v>
      </c>
      <c r="Z44" s="12">
        <v>0.47399999999999998</v>
      </c>
      <c r="AA44" s="12">
        <v>0.59499999999999997</v>
      </c>
      <c r="AB44" s="12">
        <f t="shared" si="67"/>
        <v>0.29854490717511289</v>
      </c>
      <c r="AC44" s="12">
        <f>0.625+0.639</f>
        <v>1.264</v>
      </c>
      <c r="AD44" s="12">
        <f t="shared" si="68"/>
        <v>0.6342197691921726</v>
      </c>
      <c r="AE44" s="12">
        <v>0.12</v>
      </c>
      <c r="AF44" s="12">
        <f>AE44/K44</f>
        <v>0.12631578947368421</v>
      </c>
      <c r="AG44" s="12">
        <f t="shared" si="90"/>
        <v>9.538950715421303E-2</v>
      </c>
      <c r="AH44" s="12">
        <f>AE44/N44</f>
        <v>0.81081081081081086</v>
      </c>
      <c r="AI44" s="12">
        <v>0.107</v>
      </c>
      <c r="AJ44" s="12">
        <v>5.3999999999999999E-2</v>
      </c>
      <c r="AK44" s="12">
        <f t="shared" si="2"/>
        <v>1.9814814814814814</v>
      </c>
      <c r="AL44" s="12">
        <f t="shared" si="75"/>
        <v>0.89166666666666672</v>
      </c>
      <c r="AM44" s="12">
        <f>AI44/N44</f>
        <v>0.72297297297297303</v>
      </c>
      <c r="AN44" s="12">
        <f t="shared" si="91"/>
        <v>0.11263157894736843</v>
      </c>
      <c r="AO44" s="12">
        <f t="shared" si="3"/>
        <v>0.44398340248962659</v>
      </c>
      <c r="AP44" s="12">
        <v>0.24099999999999999</v>
      </c>
      <c r="AQ44" s="12">
        <v>0.17</v>
      </c>
      <c r="AR44" s="12">
        <f t="shared" si="77"/>
        <v>0.12092323130958355</v>
      </c>
      <c r="AS44" s="12">
        <f t="shared" si="5"/>
        <v>1.4176470588235293</v>
      </c>
      <c r="AT44" s="12">
        <f t="shared" si="52"/>
        <v>0.25368421052631579</v>
      </c>
      <c r="AU44" s="12">
        <v>0.14000000000000001</v>
      </c>
      <c r="AV44" s="12">
        <v>0.12</v>
      </c>
      <c r="AW44" s="12">
        <f t="shared" ref="AW44" si="92">AU44/AV44</f>
        <v>1.1666666666666667</v>
      </c>
      <c r="AX44" s="14">
        <f t="shared" ref="AX44" si="93">AP44/AU44</f>
        <v>1.7214285714285713</v>
      </c>
      <c r="AY44" s="13" t="s">
        <v>75</v>
      </c>
      <c r="AZ44" s="126">
        <v>12</v>
      </c>
      <c r="BA44" s="13" t="s">
        <v>75</v>
      </c>
      <c r="BB44" s="13" t="s">
        <v>75</v>
      </c>
      <c r="BC44" s="35" t="s">
        <v>75</v>
      </c>
    </row>
    <row r="45" spans="2:55" x14ac:dyDescent="0.2">
      <c r="B45" s="52">
        <v>21736</v>
      </c>
      <c r="C45" s="22" t="s">
        <v>59</v>
      </c>
      <c r="D45" s="23" t="s">
        <v>73</v>
      </c>
      <c r="E45" s="23" t="s">
        <v>177</v>
      </c>
      <c r="F45" s="24">
        <f>1.231+0.386</f>
        <v>1.617</v>
      </c>
      <c r="G45" s="25" t="s">
        <v>75</v>
      </c>
      <c r="H45" s="25" t="s">
        <v>75</v>
      </c>
      <c r="I45" s="24">
        <v>8.8999999999999996E-2</v>
      </c>
      <c r="J45" s="24">
        <v>4.8000000000000001E-2</v>
      </c>
      <c r="K45" s="24">
        <v>0.80900000000000005</v>
      </c>
      <c r="L45" s="24">
        <v>0.52700000000000002</v>
      </c>
      <c r="M45" s="25" t="s">
        <v>75</v>
      </c>
      <c r="N45" s="25" t="s">
        <v>75</v>
      </c>
      <c r="O45" s="25" t="s">
        <v>75</v>
      </c>
      <c r="P45" s="25" t="s">
        <v>75</v>
      </c>
      <c r="Q45" s="25" t="s">
        <v>75</v>
      </c>
      <c r="R45" s="25" t="s">
        <v>75</v>
      </c>
      <c r="S45" s="26">
        <f t="shared" si="1"/>
        <v>0.65142150803461063</v>
      </c>
      <c r="T45" s="25" t="s">
        <v>75</v>
      </c>
      <c r="U45" s="24">
        <v>0.32</v>
      </c>
      <c r="V45" s="25" t="s">
        <v>75</v>
      </c>
      <c r="W45" s="24">
        <v>0.55100000000000005</v>
      </c>
      <c r="X45" s="24">
        <v>0.14000000000000001</v>
      </c>
      <c r="Y45" s="18">
        <f>W45/X45</f>
        <v>3.9357142857142855</v>
      </c>
      <c r="Z45" s="24">
        <v>0.32800000000000001</v>
      </c>
      <c r="AA45" s="24">
        <v>0.45900000000000002</v>
      </c>
      <c r="AB45" s="24">
        <f t="shared" si="67"/>
        <v>0.28385899814471244</v>
      </c>
      <c r="AC45" s="24">
        <v>0.96199999999999997</v>
      </c>
      <c r="AD45" s="24">
        <f t="shared" si="68"/>
        <v>0.59492888064316629</v>
      </c>
      <c r="AE45" s="24">
        <v>9.9000000000000005E-2</v>
      </c>
      <c r="AF45" s="18">
        <f t="shared" ref="AF45:AF46" si="94">AE45/K45</f>
        <v>0.12237330037082818</v>
      </c>
      <c r="AG45" s="25" t="s">
        <v>75</v>
      </c>
      <c r="AH45" s="25" t="s">
        <v>75</v>
      </c>
      <c r="AI45" s="25" t="s">
        <v>75</v>
      </c>
      <c r="AJ45" s="25" t="s">
        <v>75</v>
      </c>
      <c r="AK45" s="25" t="s">
        <v>75</v>
      </c>
      <c r="AL45" s="25" t="s">
        <v>75</v>
      </c>
      <c r="AM45" s="25" t="s">
        <v>75</v>
      </c>
      <c r="AN45" s="25" t="s">
        <v>75</v>
      </c>
      <c r="AO45" s="25" t="s">
        <v>75</v>
      </c>
      <c r="AP45" s="24">
        <v>0.193</v>
      </c>
      <c r="AQ45" s="24">
        <v>0.11799999999999999</v>
      </c>
      <c r="AR45" s="24">
        <f t="shared" si="77"/>
        <v>0.11935683364254793</v>
      </c>
      <c r="AS45" s="24">
        <f t="shared" si="5"/>
        <v>1.6355932203389831</v>
      </c>
      <c r="AT45" s="24">
        <f t="shared" si="52"/>
        <v>0.23856613102595797</v>
      </c>
      <c r="AU45" s="24">
        <v>0.104</v>
      </c>
      <c r="AV45" s="24">
        <v>0.122</v>
      </c>
      <c r="AW45" s="24">
        <f t="shared" si="7"/>
        <v>0.85245901639344257</v>
      </c>
      <c r="AX45" s="26">
        <f t="shared" si="8"/>
        <v>1.8557692307692308</v>
      </c>
      <c r="AY45" s="27">
        <v>5</v>
      </c>
      <c r="AZ45" s="130">
        <v>12</v>
      </c>
      <c r="BA45" s="25" t="s">
        <v>75</v>
      </c>
      <c r="BB45" s="27">
        <v>8</v>
      </c>
      <c r="BC45" s="39">
        <v>8</v>
      </c>
    </row>
    <row r="46" spans="2:55" x14ac:dyDescent="0.2">
      <c r="B46" s="53"/>
      <c r="C46" s="22"/>
      <c r="D46" s="23"/>
      <c r="E46" s="23"/>
      <c r="F46" s="24">
        <f>1.231+0.386</f>
        <v>1.617</v>
      </c>
      <c r="G46" s="26">
        <f>I46+J46+K46+L46+M46+N46+O46</f>
        <v>3.4630000000000001</v>
      </c>
      <c r="H46" s="26">
        <f>G46/F46</f>
        <v>2.1416202844774275</v>
      </c>
      <c r="I46" s="24">
        <v>8.8999999999999996E-2</v>
      </c>
      <c r="J46" s="24">
        <v>4.3999999999999997E-2</v>
      </c>
      <c r="K46" s="24">
        <v>0.80800000000000005</v>
      </c>
      <c r="L46" s="24">
        <v>0.53900000000000003</v>
      </c>
      <c r="M46" s="24">
        <v>0.58099999999999996</v>
      </c>
      <c r="N46" s="24">
        <v>0.128</v>
      </c>
      <c r="O46" s="24">
        <f>0.761+0.513</f>
        <v>1.274</v>
      </c>
      <c r="P46" s="24">
        <f>N:N+O:O</f>
        <v>1.4020000000000001</v>
      </c>
      <c r="Q46" s="26">
        <f t="shared" si="12"/>
        <v>1.7351485148514851</v>
      </c>
      <c r="R46" s="26">
        <f t="shared" si="0"/>
        <v>0.71905940594059392</v>
      </c>
      <c r="S46" s="26">
        <f t="shared" si="1"/>
        <v>0.66707920792079212</v>
      </c>
      <c r="T46" s="26">
        <f t="shared" si="13"/>
        <v>9.953125</v>
      </c>
      <c r="U46" s="24">
        <v>0.32</v>
      </c>
      <c r="V46" s="24">
        <f t="shared" si="20"/>
        <v>10.821875</v>
      </c>
      <c r="W46" s="24">
        <v>0.57999999999999996</v>
      </c>
      <c r="X46" s="24">
        <v>0.14000000000000001</v>
      </c>
      <c r="Y46" s="18">
        <f>W46/X46</f>
        <v>4.1428571428571423</v>
      </c>
      <c r="Z46" s="24">
        <v>0.34300000000000003</v>
      </c>
      <c r="AA46" s="24">
        <v>0.443</v>
      </c>
      <c r="AB46" s="24">
        <f t="shared" si="67"/>
        <v>0.27396413110698825</v>
      </c>
      <c r="AC46" s="24">
        <v>0.94099999999999995</v>
      </c>
      <c r="AD46" s="24">
        <f t="shared" si="68"/>
        <v>0.5819418676561533</v>
      </c>
      <c r="AE46" s="24">
        <v>9.1999999999999998E-2</v>
      </c>
      <c r="AF46" s="18">
        <f t="shared" si="94"/>
        <v>0.11386138613861385</v>
      </c>
      <c r="AG46" s="25" t="s">
        <v>75</v>
      </c>
      <c r="AH46" s="24">
        <f>AE46/N46</f>
        <v>0.71875</v>
      </c>
      <c r="AI46" s="25" t="s">
        <v>75</v>
      </c>
      <c r="AJ46" s="25" t="s">
        <v>75</v>
      </c>
      <c r="AK46" s="25" t="s">
        <v>75</v>
      </c>
      <c r="AL46" s="25" t="s">
        <v>75</v>
      </c>
      <c r="AM46" s="25" t="s">
        <v>75</v>
      </c>
      <c r="AN46" s="25" t="s">
        <v>75</v>
      </c>
      <c r="AO46" s="25" t="s">
        <v>75</v>
      </c>
      <c r="AP46" s="24">
        <v>0.20699999999999999</v>
      </c>
      <c r="AQ46" s="24">
        <v>0.13600000000000001</v>
      </c>
      <c r="AR46" s="24">
        <f t="shared" si="77"/>
        <v>0.12801484230055657</v>
      </c>
      <c r="AS46" s="24">
        <f t="shared" si="5"/>
        <v>1.5220588235294117</v>
      </c>
      <c r="AT46" s="24">
        <f t="shared" si="52"/>
        <v>0.25618811881188114</v>
      </c>
      <c r="AU46" s="24">
        <v>0.104</v>
      </c>
      <c r="AV46" s="24">
        <v>0.122</v>
      </c>
      <c r="AW46" s="24">
        <f t="shared" ref="AW46" si="95">AU46/AV46</f>
        <v>0.85245901639344257</v>
      </c>
      <c r="AX46" s="26">
        <f t="shared" ref="AX46" si="96">AP46/AU46</f>
        <v>1.9903846153846154</v>
      </c>
      <c r="AY46" s="25" t="s">
        <v>75</v>
      </c>
      <c r="AZ46" s="131">
        <v>13</v>
      </c>
      <c r="BA46" s="25" t="s">
        <v>75</v>
      </c>
      <c r="BB46" s="25" t="s">
        <v>75</v>
      </c>
      <c r="BC46" s="40" t="s">
        <v>75</v>
      </c>
    </row>
    <row r="47" spans="2:55" x14ac:dyDescent="0.2">
      <c r="B47" s="51">
        <v>21736</v>
      </c>
      <c r="C47" s="10" t="s">
        <v>59</v>
      </c>
      <c r="D47" s="11" t="s">
        <v>73</v>
      </c>
      <c r="E47" s="11" t="s">
        <v>177</v>
      </c>
      <c r="F47" s="12">
        <f>1.142+0.435</f>
        <v>1.577</v>
      </c>
      <c r="G47" s="14">
        <f>I47+J47+K47+L47+M47+N47+O47</f>
        <v>3.3770000000000002</v>
      </c>
      <c r="H47" s="14">
        <f>G47/F47</f>
        <v>2.1414077362079902</v>
      </c>
      <c r="I47" s="12">
        <v>9.9000000000000005E-2</v>
      </c>
      <c r="J47" s="12">
        <v>5.3999999999999999E-2</v>
      </c>
      <c r="K47" s="12">
        <v>0.78700000000000003</v>
      </c>
      <c r="L47" s="12">
        <v>0.52200000000000002</v>
      </c>
      <c r="M47" s="12">
        <v>0.59199999999999997</v>
      </c>
      <c r="N47" s="12">
        <v>0.121</v>
      </c>
      <c r="O47" s="12">
        <f>0.828+0.374</f>
        <v>1.202</v>
      </c>
      <c r="P47" s="12">
        <f>N:N+O:O</f>
        <v>1.323</v>
      </c>
      <c r="Q47" s="14">
        <f t="shared" si="12"/>
        <v>1.6810673443456161</v>
      </c>
      <c r="R47" s="14">
        <f t="shared" si="0"/>
        <v>0.75222363405336712</v>
      </c>
      <c r="S47" s="14">
        <f t="shared" si="1"/>
        <v>0.6632782719186785</v>
      </c>
      <c r="T47" s="14">
        <f t="shared" si="13"/>
        <v>9.9338842975206614</v>
      </c>
      <c r="U47" s="13" t="s">
        <v>75</v>
      </c>
      <c r="V47" s="13" t="s">
        <v>75</v>
      </c>
      <c r="W47" s="12">
        <v>0.52700000000000002</v>
      </c>
      <c r="X47" s="12">
        <v>0.125</v>
      </c>
      <c r="Y47" s="12">
        <f t="shared" ref="Y47:Y48" si="97">W47/X47</f>
        <v>4.2160000000000002</v>
      </c>
      <c r="Z47" s="13" t="s">
        <v>75</v>
      </c>
      <c r="AA47" s="12">
        <v>0.45600000000000002</v>
      </c>
      <c r="AB47" s="12">
        <f t="shared" si="67"/>
        <v>0.28915662650602414</v>
      </c>
      <c r="AC47" s="12">
        <v>0.97299999999999998</v>
      </c>
      <c r="AD47" s="12">
        <f t="shared" si="68"/>
        <v>0.61699429296131891</v>
      </c>
      <c r="AE47" s="12">
        <v>9.5000000000000001E-2</v>
      </c>
      <c r="AF47" s="12">
        <f t="shared" ref="AF47" si="98">AE47/K47</f>
        <v>0.1207115628970775</v>
      </c>
      <c r="AG47" s="12">
        <f>AE47/P47</f>
        <v>7.1806500377928947E-2</v>
      </c>
      <c r="AH47" s="12">
        <f>AE47/N47</f>
        <v>0.78512396694214881</v>
      </c>
      <c r="AI47" s="12">
        <v>8.8999999999999996E-2</v>
      </c>
      <c r="AJ47" s="12">
        <v>4.9000000000000002E-2</v>
      </c>
      <c r="AK47" s="12">
        <f t="shared" si="2"/>
        <v>1.8163265306122447</v>
      </c>
      <c r="AL47" s="12">
        <f>AI47/AE47</f>
        <v>0.93684210526315781</v>
      </c>
      <c r="AM47" s="12">
        <f>AI47/N47</f>
        <v>0.73553719008264462</v>
      </c>
      <c r="AN47" s="12">
        <f t="shared" ref="AN47" si="99">AI47/K47</f>
        <v>0.11308767471410418</v>
      </c>
      <c r="AO47" s="12">
        <f t="shared" si="3"/>
        <v>0.44949494949494945</v>
      </c>
      <c r="AP47" s="12">
        <v>0.19800000000000001</v>
      </c>
      <c r="AQ47" s="12">
        <v>0.105</v>
      </c>
      <c r="AR47" s="12">
        <f t="shared" si="77"/>
        <v>0.12555485098287889</v>
      </c>
      <c r="AS47" s="12">
        <f t="shared" si="5"/>
        <v>1.8857142857142859</v>
      </c>
      <c r="AT47" s="12">
        <f t="shared" si="52"/>
        <v>0.25158831003811943</v>
      </c>
      <c r="AU47" s="12">
        <v>0.13200000000000001</v>
      </c>
      <c r="AV47" s="13" t="s">
        <v>75</v>
      </c>
      <c r="AW47" s="13" t="s">
        <v>75</v>
      </c>
      <c r="AX47" s="14">
        <f t="shared" si="8"/>
        <v>1.5</v>
      </c>
      <c r="AY47" s="15">
        <v>4</v>
      </c>
      <c r="AZ47" s="129">
        <v>13</v>
      </c>
      <c r="BA47" s="15">
        <v>8</v>
      </c>
      <c r="BB47" s="15">
        <v>15</v>
      </c>
      <c r="BC47" s="38">
        <v>4</v>
      </c>
    </row>
    <row r="48" spans="2:55" x14ac:dyDescent="0.2">
      <c r="B48" s="48"/>
      <c r="C48" s="10"/>
      <c r="D48" s="11"/>
      <c r="E48" s="11"/>
      <c r="F48" s="12">
        <f>1.142+0.435</f>
        <v>1.577</v>
      </c>
      <c r="G48" s="13" t="s">
        <v>75</v>
      </c>
      <c r="H48" s="13" t="s">
        <v>75</v>
      </c>
      <c r="I48" s="12">
        <v>9.0999999999999998E-2</v>
      </c>
      <c r="J48" s="12">
        <v>5.0999999999999997E-2</v>
      </c>
      <c r="K48" s="13" t="s">
        <v>75</v>
      </c>
      <c r="L48" s="13" t="s">
        <v>75</v>
      </c>
      <c r="M48" s="13" t="s">
        <v>75</v>
      </c>
      <c r="N48" s="13" t="s">
        <v>75</v>
      </c>
      <c r="O48" s="13" t="s">
        <v>75</v>
      </c>
      <c r="P48" s="13" t="s">
        <v>75</v>
      </c>
      <c r="Q48" s="13" t="s">
        <v>75</v>
      </c>
      <c r="R48" s="13" t="s">
        <v>75</v>
      </c>
      <c r="S48" s="13" t="s">
        <v>75</v>
      </c>
      <c r="T48" s="13" t="s">
        <v>75</v>
      </c>
      <c r="U48" s="13" t="s">
        <v>75</v>
      </c>
      <c r="V48" s="13" t="s">
        <v>75</v>
      </c>
      <c r="W48" s="12">
        <v>0.55000000000000004</v>
      </c>
      <c r="X48" s="12">
        <v>0.126</v>
      </c>
      <c r="Y48" s="12">
        <f t="shared" si="97"/>
        <v>4.3650793650793656</v>
      </c>
      <c r="Z48" s="13" t="s">
        <v>75</v>
      </c>
      <c r="AA48" s="12">
        <v>0.41599999999999998</v>
      </c>
      <c r="AB48" s="12">
        <f t="shared" si="67"/>
        <v>0.26379201014584652</v>
      </c>
      <c r="AC48" s="12">
        <v>0.99199999999999999</v>
      </c>
      <c r="AD48" s="12">
        <f t="shared" si="68"/>
        <v>0.62904248573240329</v>
      </c>
      <c r="AE48" s="13" t="s">
        <v>75</v>
      </c>
      <c r="AF48" s="13" t="s">
        <v>75</v>
      </c>
      <c r="AG48" s="13" t="s">
        <v>75</v>
      </c>
      <c r="AH48" s="13" t="s">
        <v>75</v>
      </c>
      <c r="AI48" s="12">
        <v>8.8999999999999996E-2</v>
      </c>
      <c r="AJ48" s="12">
        <v>4.9000000000000002E-2</v>
      </c>
      <c r="AK48" s="12">
        <f t="shared" si="2"/>
        <v>1.8163265306122447</v>
      </c>
      <c r="AL48" s="13" t="s">
        <v>75</v>
      </c>
      <c r="AM48" s="13" t="s">
        <v>75</v>
      </c>
      <c r="AN48" s="13" t="s">
        <v>75</v>
      </c>
      <c r="AO48" s="12">
        <f t="shared" si="3"/>
        <v>0.45408163265306117</v>
      </c>
      <c r="AP48" s="12">
        <v>0.19600000000000001</v>
      </c>
      <c r="AQ48" s="12">
        <v>0.127</v>
      </c>
      <c r="AR48" s="12">
        <f t="shared" si="77"/>
        <v>0.12428662016487002</v>
      </c>
      <c r="AS48" s="12">
        <f t="shared" si="5"/>
        <v>1.5433070866141734</v>
      </c>
      <c r="AT48" s="13" t="s">
        <v>75</v>
      </c>
      <c r="AU48" s="12">
        <v>0.13200000000000001</v>
      </c>
      <c r="AV48" s="13" t="s">
        <v>75</v>
      </c>
      <c r="AW48" s="13" t="s">
        <v>75</v>
      </c>
      <c r="AX48" s="14">
        <f t="shared" ref="AX48" si="100">AP48/AU48</f>
        <v>1.4848484848484849</v>
      </c>
      <c r="AY48" s="13" t="s">
        <v>75</v>
      </c>
      <c r="AZ48" s="126" t="s">
        <v>75</v>
      </c>
      <c r="BA48" s="13" t="s">
        <v>75</v>
      </c>
      <c r="BB48" s="13" t="s">
        <v>75</v>
      </c>
      <c r="BC48" s="35" t="s">
        <v>75</v>
      </c>
    </row>
    <row r="49" spans="2:55" x14ac:dyDescent="0.2">
      <c r="B49" s="52">
        <v>21736</v>
      </c>
      <c r="C49" s="22" t="s">
        <v>59</v>
      </c>
      <c r="D49" s="23" t="s">
        <v>73</v>
      </c>
      <c r="E49" s="23" t="s">
        <v>177</v>
      </c>
      <c r="F49" s="24">
        <f>1.343+0.479</f>
        <v>1.8220000000000001</v>
      </c>
      <c r="G49" s="25" t="s">
        <v>75</v>
      </c>
      <c r="H49" s="25" t="s">
        <v>75</v>
      </c>
      <c r="I49" s="24">
        <v>9.2999999999999999E-2</v>
      </c>
      <c r="J49" s="24">
        <v>0.05</v>
      </c>
      <c r="K49" s="24">
        <v>0.79700000000000004</v>
      </c>
      <c r="L49" s="24">
        <v>0.52</v>
      </c>
      <c r="M49" s="24">
        <v>0.53900000000000003</v>
      </c>
      <c r="N49" s="24">
        <v>0.122</v>
      </c>
      <c r="O49" s="25" t="s">
        <v>75</v>
      </c>
      <c r="P49" s="25" t="s">
        <v>75</v>
      </c>
      <c r="Q49" s="25" t="s">
        <v>75</v>
      </c>
      <c r="R49" s="26">
        <f t="shared" si="0"/>
        <v>0.67628607277289843</v>
      </c>
      <c r="S49" s="26">
        <f t="shared" si="1"/>
        <v>0.65244667503136766</v>
      </c>
      <c r="T49" s="25" t="s">
        <v>75</v>
      </c>
      <c r="U49" s="24">
        <v>0.28000000000000003</v>
      </c>
      <c r="V49" s="25" t="s">
        <v>75</v>
      </c>
      <c r="W49" s="24">
        <v>0.53900000000000003</v>
      </c>
      <c r="X49" s="24">
        <v>0.13500000000000001</v>
      </c>
      <c r="Y49" s="18">
        <f>W49/X49</f>
        <v>3.9925925925925925</v>
      </c>
      <c r="Z49" s="24">
        <v>0.35299999999999998</v>
      </c>
      <c r="AA49" s="24">
        <v>0.44700000000000001</v>
      </c>
      <c r="AB49" s="24">
        <f t="shared" si="67"/>
        <v>0.24533479692645443</v>
      </c>
      <c r="AC49" s="24">
        <v>0.95399999999999996</v>
      </c>
      <c r="AD49" s="24">
        <f t="shared" si="68"/>
        <v>0.5236004390779363</v>
      </c>
      <c r="AE49" s="24">
        <v>8.7999999999999995E-2</v>
      </c>
      <c r="AF49" s="18">
        <f t="shared" ref="AF49:AF50" si="101">AE49/K49</f>
        <v>0.11041405269761605</v>
      </c>
      <c r="AG49" s="25" t="s">
        <v>75</v>
      </c>
      <c r="AH49" s="24">
        <f>AE49/N49</f>
        <v>0.72131147540983609</v>
      </c>
      <c r="AI49" s="25" t="s">
        <v>75</v>
      </c>
      <c r="AJ49" s="25" t="s">
        <v>75</v>
      </c>
      <c r="AK49" s="25" t="s">
        <v>75</v>
      </c>
      <c r="AL49" s="25" t="s">
        <v>75</v>
      </c>
      <c r="AM49" s="25" t="s">
        <v>75</v>
      </c>
      <c r="AN49" s="25" t="s">
        <v>75</v>
      </c>
      <c r="AO49" s="25" t="s">
        <v>75</v>
      </c>
      <c r="AP49" s="24">
        <v>0.20599999999999999</v>
      </c>
      <c r="AQ49" s="24">
        <v>0.13</v>
      </c>
      <c r="AR49" s="24">
        <f t="shared" si="77"/>
        <v>0.11306256860592755</v>
      </c>
      <c r="AS49" s="24">
        <f t="shared" si="5"/>
        <v>1.5846153846153845</v>
      </c>
      <c r="AT49" s="24">
        <f>AP49/K49</f>
        <v>0.25846925972396484</v>
      </c>
      <c r="AU49" s="24">
        <v>9.8000000000000004E-2</v>
      </c>
      <c r="AV49" s="24">
        <v>0.11</v>
      </c>
      <c r="AW49" s="24">
        <f t="shared" si="7"/>
        <v>0.89090909090909098</v>
      </c>
      <c r="AX49" s="26">
        <f t="shared" si="8"/>
        <v>2.1020408163265305</v>
      </c>
      <c r="AY49" s="27">
        <v>6</v>
      </c>
      <c r="AZ49" s="130">
        <v>9</v>
      </c>
      <c r="BA49" s="25" t="s">
        <v>75</v>
      </c>
      <c r="BB49" s="27">
        <v>5</v>
      </c>
      <c r="BC49" s="39">
        <v>7</v>
      </c>
    </row>
    <row r="50" spans="2:55" x14ac:dyDescent="0.2">
      <c r="B50" s="53"/>
      <c r="C50" s="22"/>
      <c r="D50" s="23"/>
      <c r="E50" s="23"/>
      <c r="F50" s="24">
        <f>1.343+0.479</f>
        <v>1.8220000000000001</v>
      </c>
      <c r="G50" s="26">
        <f>I50+J50+K50+L50+M50+N50+O50</f>
        <v>3.2549999999999999</v>
      </c>
      <c r="H50" s="26">
        <f>G50/F50</f>
        <v>1.7864983534577386</v>
      </c>
      <c r="I50" s="24">
        <v>8.3000000000000004E-2</v>
      </c>
      <c r="J50" s="24">
        <v>5.0999999999999997E-2</v>
      </c>
      <c r="K50" s="24">
        <v>0.77900000000000003</v>
      </c>
      <c r="L50" s="24">
        <v>0.51300000000000001</v>
      </c>
      <c r="M50" s="24">
        <v>0.52400000000000002</v>
      </c>
      <c r="N50" s="24">
        <v>0.11799999999999999</v>
      </c>
      <c r="O50" s="24">
        <v>1.1870000000000001</v>
      </c>
      <c r="P50" s="24">
        <f>N:N+O:O</f>
        <v>1.3050000000000002</v>
      </c>
      <c r="Q50" s="26">
        <f t="shared" si="12"/>
        <v>1.6752246469833121</v>
      </c>
      <c r="R50" s="26">
        <f t="shared" si="0"/>
        <v>0.67265725288831835</v>
      </c>
      <c r="S50" s="26">
        <f t="shared" si="1"/>
        <v>0.65853658536585369</v>
      </c>
      <c r="T50" s="26">
        <f t="shared" si="13"/>
        <v>10.059322033898306</v>
      </c>
      <c r="U50" s="24">
        <v>0.28000000000000003</v>
      </c>
      <c r="V50" s="24">
        <f t="shared" si="20"/>
        <v>11.624999999999998</v>
      </c>
      <c r="W50" s="24">
        <v>0.56000000000000005</v>
      </c>
      <c r="X50" s="24">
        <v>0.13700000000000001</v>
      </c>
      <c r="Y50" s="18">
        <f>W50/X50</f>
        <v>4.0875912408759127</v>
      </c>
      <c r="Z50" s="25" t="s">
        <v>75</v>
      </c>
      <c r="AA50" s="24">
        <v>0.438</v>
      </c>
      <c r="AB50" s="24">
        <f t="shared" si="67"/>
        <v>0.24039517014270032</v>
      </c>
      <c r="AC50" s="24">
        <v>0.94499999999999995</v>
      </c>
      <c r="AD50" s="24">
        <f t="shared" si="68"/>
        <v>0.51866081229418215</v>
      </c>
      <c r="AE50" s="24">
        <v>8.4000000000000005E-2</v>
      </c>
      <c r="AF50" s="18">
        <f t="shared" si="101"/>
        <v>0.10783055198973043</v>
      </c>
      <c r="AG50" s="18">
        <f>AE50/P50</f>
        <v>6.4367816091954022E-2</v>
      </c>
      <c r="AH50" s="24">
        <f>AE50/N50</f>
        <v>0.71186440677966112</v>
      </c>
      <c r="AI50" s="25" t="s">
        <v>75</v>
      </c>
      <c r="AJ50" s="25" t="s">
        <v>75</v>
      </c>
      <c r="AK50" s="25" t="s">
        <v>75</v>
      </c>
      <c r="AL50" s="25" t="s">
        <v>75</v>
      </c>
      <c r="AM50" s="25" t="s">
        <v>75</v>
      </c>
      <c r="AN50" s="25" t="s">
        <v>75</v>
      </c>
      <c r="AO50" s="25" t="s">
        <v>75</v>
      </c>
      <c r="AP50" s="24">
        <v>0.20300000000000001</v>
      </c>
      <c r="AQ50" s="24">
        <v>0.13100000000000001</v>
      </c>
      <c r="AR50" s="24">
        <f t="shared" si="77"/>
        <v>0.11141602634467618</v>
      </c>
      <c r="AS50" s="24">
        <f t="shared" si="5"/>
        <v>1.5496183206106871</v>
      </c>
      <c r="AT50" s="24">
        <f>AP50/K50</f>
        <v>0.26059050064184852</v>
      </c>
      <c r="AU50" s="24">
        <v>9.8000000000000004E-2</v>
      </c>
      <c r="AV50" s="24">
        <v>0.11</v>
      </c>
      <c r="AW50" s="24">
        <f t="shared" ref="AW50" si="102">AU50/AV50</f>
        <v>0.89090909090909098</v>
      </c>
      <c r="AX50" s="26">
        <f t="shared" ref="AX50" si="103">AP50/AU50</f>
        <v>2.0714285714285716</v>
      </c>
      <c r="AY50" s="25" t="s">
        <v>75</v>
      </c>
      <c r="AZ50" s="131">
        <v>12</v>
      </c>
      <c r="BA50" s="25" t="s">
        <v>75</v>
      </c>
      <c r="BB50" s="25" t="s">
        <v>75</v>
      </c>
      <c r="BC50" s="40" t="s">
        <v>75</v>
      </c>
    </row>
    <row r="51" spans="2:55" x14ac:dyDescent="0.2">
      <c r="B51" s="51">
        <v>21736</v>
      </c>
      <c r="C51" s="10" t="s">
        <v>59</v>
      </c>
      <c r="D51" s="11" t="s">
        <v>73</v>
      </c>
      <c r="E51" s="11" t="s">
        <v>177</v>
      </c>
      <c r="F51" s="12">
        <f>1.028+1.081</f>
        <v>2.109</v>
      </c>
      <c r="G51" s="13" t="s">
        <v>75</v>
      </c>
      <c r="H51" s="13" t="s">
        <v>75</v>
      </c>
      <c r="I51" s="12">
        <v>0.108</v>
      </c>
      <c r="J51" s="12">
        <v>5.8000000000000003E-2</v>
      </c>
      <c r="K51" s="13" t="s">
        <v>75</v>
      </c>
      <c r="L51" s="13" t="s">
        <v>75</v>
      </c>
      <c r="M51" s="13" t="s">
        <v>75</v>
      </c>
      <c r="N51" s="13" t="s">
        <v>75</v>
      </c>
      <c r="O51" s="13" t="s">
        <v>75</v>
      </c>
      <c r="P51" s="13" t="s">
        <v>75</v>
      </c>
      <c r="Q51" s="13" t="s">
        <v>75</v>
      </c>
      <c r="R51" s="13" t="s">
        <v>75</v>
      </c>
      <c r="S51" s="13" t="s">
        <v>75</v>
      </c>
      <c r="T51" s="13" t="s">
        <v>75</v>
      </c>
      <c r="U51" s="12">
        <v>0.32600000000000001</v>
      </c>
      <c r="V51" s="13" t="s">
        <v>75</v>
      </c>
      <c r="W51" s="12">
        <v>0.72899999999999998</v>
      </c>
      <c r="X51" s="12">
        <v>0.159</v>
      </c>
      <c r="Y51" s="12">
        <f t="shared" ref="Y51" si="104">W51/X51</f>
        <v>4.5849056603773581</v>
      </c>
      <c r="Z51" s="12">
        <v>0.45</v>
      </c>
      <c r="AA51" s="12">
        <v>0.59099999999999997</v>
      </c>
      <c r="AB51" s="12">
        <f t="shared" si="67"/>
        <v>0.2802275960170697</v>
      </c>
      <c r="AC51" s="12">
        <v>1.272</v>
      </c>
      <c r="AD51" s="12">
        <f t="shared" si="68"/>
        <v>0.60312944523470846</v>
      </c>
      <c r="AE51" s="12">
        <v>0.12</v>
      </c>
      <c r="AF51" s="13" t="s">
        <v>75</v>
      </c>
      <c r="AG51" s="13" t="s">
        <v>75</v>
      </c>
      <c r="AH51" s="13" t="s">
        <v>75</v>
      </c>
      <c r="AI51" s="12">
        <v>0.109</v>
      </c>
      <c r="AJ51" s="12">
        <v>6.5000000000000002E-2</v>
      </c>
      <c r="AK51" s="12">
        <f t="shared" si="2"/>
        <v>1.676923076923077</v>
      </c>
      <c r="AL51" s="12">
        <f>AI51/AE51</f>
        <v>0.90833333333333333</v>
      </c>
      <c r="AM51" s="13" t="s">
        <v>75</v>
      </c>
      <c r="AN51" s="13" t="s">
        <v>75</v>
      </c>
      <c r="AO51" s="12">
        <f t="shared" si="3"/>
        <v>0.42248062015503873</v>
      </c>
      <c r="AP51" s="12">
        <v>0.25800000000000001</v>
      </c>
      <c r="AQ51" s="12">
        <v>0.16</v>
      </c>
      <c r="AR51" s="12">
        <f t="shared" si="77"/>
        <v>0.12233285917496445</v>
      </c>
      <c r="AS51" s="12">
        <f t="shared" si="5"/>
        <v>1.6125</v>
      </c>
      <c r="AT51" s="13" t="s">
        <v>75</v>
      </c>
      <c r="AU51" s="12">
        <v>0.128</v>
      </c>
      <c r="AV51" s="12">
        <v>0.14099999999999999</v>
      </c>
      <c r="AW51" s="12">
        <f t="shared" si="7"/>
        <v>0.9078014184397164</v>
      </c>
      <c r="AX51" s="14">
        <f t="shared" si="8"/>
        <v>2.015625</v>
      </c>
      <c r="AY51" s="15">
        <v>4</v>
      </c>
      <c r="AZ51" s="129">
        <v>11</v>
      </c>
      <c r="BA51" s="15">
        <v>8</v>
      </c>
      <c r="BB51" s="15">
        <v>5</v>
      </c>
      <c r="BC51" s="38">
        <v>8</v>
      </c>
    </row>
    <row r="52" spans="2:55" x14ac:dyDescent="0.2">
      <c r="B52" s="48"/>
      <c r="C52" s="10"/>
      <c r="D52" s="11"/>
      <c r="E52" s="11"/>
      <c r="F52" s="12">
        <f>1.028+1.081</f>
        <v>2.109</v>
      </c>
      <c r="G52" s="13" t="s">
        <v>75</v>
      </c>
      <c r="H52" s="13" t="s">
        <v>75</v>
      </c>
      <c r="I52" s="12">
        <v>9.8000000000000004E-2</v>
      </c>
      <c r="J52" s="12">
        <v>6.4000000000000001E-2</v>
      </c>
      <c r="K52" s="12">
        <v>0.96</v>
      </c>
      <c r="L52" s="12">
        <v>0.78900000000000003</v>
      </c>
      <c r="M52" s="12">
        <v>0.69699999999999995</v>
      </c>
      <c r="N52" s="13" t="s">
        <v>75</v>
      </c>
      <c r="O52" s="13" t="s">
        <v>75</v>
      </c>
      <c r="P52" s="13" t="s">
        <v>75</v>
      </c>
      <c r="Q52" s="13" t="s">
        <v>75</v>
      </c>
      <c r="R52" s="14">
        <f t="shared" si="0"/>
        <v>0.7260416666666667</v>
      </c>
      <c r="S52" s="14">
        <f t="shared" si="1"/>
        <v>0.82187500000000002</v>
      </c>
      <c r="T52" s="13" t="s">
        <v>75</v>
      </c>
      <c r="U52" s="12">
        <v>0.32600000000000001</v>
      </c>
      <c r="V52" s="13" t="s">
        <v>75</v>
      </c>
      <c r="W52" s="13" t="s">
        <v>75</v>
      </c>
      <c r="X52" s="13" t="s">
        <v>75</v>
      </c>
      <c r="Y52" s="13" t="s">
        <v>75</v>
      </c>
      <c r="Z52" s="12">
        <v>0.46400000000000002</v>
      </c>
      <c r="AA52" s="12">
        <v>0.59899999999999998</v>
      </c>
      <c r="AB52" s="12">
        <f t="shared" si="67"/>
        <v>0.28402086296823137</v>
      </c>
      <c r="AC52" s="12">
        <v>1.2669999999999999</v>
      </c>
      <c r="AD52" s="12">
        <f t="shared" si="68"/>
        <v>0.60075865339023227</v>
      </c>
      <c r="AE52" s="13" t="s">
        <v>75</v>
      </c>
      <c r="AF52" s="13" t="s">
        <v>75</v>
      </c>
      <c r="AG52" s="13" t="s">
        <v>75</v>
      </c>
      <c r="AH52" s="13" t="s">
        <v>75</v>
      </c>
      <c r="AI52" s="12">
        <v>0.109</v>
      </c>
      <c r="AJ52" s="12">
        <v>6.5000000000000002E-2</v>
      </c>
      <c r="AK52" s="12">
        <f t="shared" si="2"/>
        <v>1.676923076923077</v>
      </c>
      <c r="AL52" s="13" t="s">
        <v>75</v>
      </c>
      <c r="AM52" s="13" t="s">
        <v>75</v>
      </c>
      <c r="AN52" s="12">
        <f t="shared" ref="AN52:AN54" si="105">AI52/K52</f>
        <v>0.11354166666666667</v>
      </c>
      <c r="AO52" s="12">
        <f t="shared" si="3"/>
        <v>0.41923076923076924</v>
      </c>
      <c r="AP52" s="12">
        <v>0.26</v>
      </c>
      <c r="AQ52" s="12">
        <v>0.153</v>
      </c>
      <c r="AR52" s="12">
        <f t="shared" si="77"/>
        <v>0.12328117591275486</v>
      </c>
      <c r="AS52" s="12">
        <f t="shared" si="5"/>
        <v>1.6993464052287583</v>
      </c>
      <c r="AT52" s="12">
        <f>AP52/K52</f>
        <v>0.27083333333333337</v>
      </c>
      <c r="AU52" s="12">
        <v>0.128</v>
      </c>
      <c r="AV52" s="12">
        <v>0.14099999999999999</v>
      </c>
      <c r="AW52" s="12">
        <f t="shared" ref="AW52" si="106">AU52/AV52</f>
        <v>0.9078014184397164</v>
      </c>
      <c r="AX52" s="14">
        <f t="shared" ref="AX52" si="107">AP52/AU52</f>
        <v>2.03125</v>
      </c>
      <c r="AY52" s="13" t="s">
        <v>75</v>
      </c>
      <c r="AZ52" s="126" t="s">
        <v>75</v>
      </c>
      <c r="BA52" s="13" t="s">
        <v>75</v>
      </c>
      <c r="BB52" s="13" t="s">
        <v>75</v>
      </c>
      <c r="BC52" s="35" t="s">
        <v>75</v>
      </c>
    </row>
    <row r="53" spans="2:55" x14ac:dyDescent="0.2">
      <c r="B53" s="52">
        <v>21736</v>
      </c>
      <c r="C53" s="22" t="s">
        <v>59</v>
      </c>
      <c r="D53" s="23" t="s">
        <v>73</v>
      </c>
      <c r="E53" s="23" t="s">
        <v>177</v>
      </c>
      <c r="F53" s="24">
        <v>1.554</v>
      </c>
      <c r="G53" s="25" t="s">
        <v>75</v>
      </c>
      <c r="H53" s="25" t="s">
        <v>75</v>
      </c>
      <c r="I53" s="24">
        <v>9.9000000000000005E-2</v>
      </c>
      <c r="J53" s="24">
        <v>4.7E-2</v>
      </c>
      <c r="K53" s="24">
        <v>0.71</v>
      </c>
      <c r="L53" s="24">
        <v>0.50600000000000001</v>
      </c>
      <c r="M53" s="24">
        <v>0.52600000000000002</v>
      </c>
      <c r="N53" s="24">
        <v>0.11899999999999999</v>
      </c>
      <c r="O53" s="25" t="s">
        <v>75</v>
      </c>
      <c r="P53" s="25" t="s">
        <v>75</v>
      </c>
      <c r="Q53" s="25" t="s">
        <v>75</v>
      </c>
      <c r="R53" s="26">
        <f t="shared" si="0"/>
        <v>0.74084507042253533</v>
      </c>
      <c r="S53" s="26">
        <f t="shared" si="1"/>
        <v>0.71267605633802822</v>
      </c>
      <c r="T53" s="25" t="s">
        <v>75</v>
      </c>
      <c r="U53" s="24">
        <v>0.28999999999999998</v>
      </c>
      <c r="V53" s="25" t="s">
        <v>75</v>
      </c>
      <c r="W53" s="24">
        <v>0.52800000000000002</v>
      </c>
      <c r="X53" s="24">
        <v>0.13600000000000001</v>
      </c>
      <c r="Y53" s="18">
        <f>W53/X53</f>
        <v>3.8823529411764706</v>
      </c>
      <c r="Z53" s="24">
        <v>0.318</v>
      </c>
      <c r="AA53" s="24">
        <v>0.42599999999999999</v>
      </c>
      <c r="AB53" s="24">
        <f t="shared" si="67"/>
        <v>0.27413127413127414</v>
      </c>
      <c r="AC53" s="24">
        <v>0.84699999999999998</v>
      </c>
      <c r="AD53" s="24">
        <f t="shared" si="68"/>
        <v>0.54504504504504503</v>
      </c>
      <c r="AE53" s="24">
        <v>7.9000000000000001E-2</v>
      </c>
      <c r="AF53" s="18">
        <f t="shared" ref="AF53:AF54" si="108">AE53/K53</f>
        <v>0.11126760563380282</v>
      </c>
      <c r="AG53" s="25" t="s">
        <v>75</v>
      </c>
      <c r="AH53" s="24">
        <f>AE53/N53</f>
        <v>0.66386554621848748</v>
      </c>
      <c r="AI53" s="24">
        <v>9.0999999999999998E-2</v>
      </c>
      <c r="AJ53" s="24">
        <v>5.6000000000000001E-2</v>
      </c>
      <c r="AK53" s="24">
        <f t="shared" si="2"/>
        <v>1.625</v>
      </c>
      <c r="AL53" s="24">
        <f>AI53/AE53</f>
        <v>1.1518987341772151</v>
      </c>
      <c r="AM53" s="24">
        <f>AI53/N53</f>
        <v>0.76470588235294124</v>
      </c>
      <c r="AN53" s="24">
        <f t="shared" si="105"/>
        <v>0.12816901408450704</v>
      </c>
      <c r="AO53" s="24">
        <f t="shared" si="3"/>
        <v>0.52298850574712641</v>
      </c>
      <c r="AP53" s="24">
        <v>0.17399999999999999</v>
      </c>
      <c r="AQ53" s="24">
        <v>0.127</v>
      </c>
      <c r="AR53" s="24">
        <f t="shared" si="77"/>
        <v>0.11196911196911195</v>
      </c>
      <c r="AS53" s="24">
        <f t="shared" si="5"/>
        <v>1.3700787401574801</v>
      </c>
      <c r="AT53" s="24">
        <f>AP53/K53</f>
        <v>0.24507042253521127</v>
      </c>
      <c r="AU53" s="24">
        <v>9.5000000000000001E-2</v>
      </c>
      <c r="AV53" s="24">
        <v>0.104</v>
      </c>
      <c r="AW53" s="24">
        <f t="shared" si="7"/>
        <v>0.91346153846153855</v>
      </c>
      <c r="AX53" s="26">
        <f t="shared" si="8"/>
        <v>1.831578947368421</v>
      </c>
      <c r="AY53" s="27">
        <v>4</v>
      </c>
      <c r="AZ53" s="130">
        <v>10</v>
      </c>
      <c r="BA53" s="27">
        <v>4</v>
      </c>
      <c r="BB53" s="27">
        <v>4</v>
      </c>
      <c r="BC53" s="39">
        <v>4</v>
      </c>
    </row>
    <row r="54" spans="2:55" x14ac:dyDescent="0.2">
      <c r="B54" s="54"/>
      <c r="C54" s="41"/>
      <c r="D54" s="41"/>
      <c r="E54" s="41"/>
      <c r="F54" s="42">
        <v>1.554</v>
      </c>
      <c r="G54" s="43" t="s">
        <v>75</v>
      </c>
      <c r="H54" s="43" t="s">
        <v>75</v>
      </c>
      <c r="I54" s="42">
        <v>9.7000000000000003E-2</v>
      </c>
      <c r="J54" s="42">
        <v>4.9000000000000002E-2</v>
      </c>
      <c r="K54" s="42">
        <v>0.70799999999999996</v>
      </c>
      <c r="L54" s="42">
        <v>0.48599999999999999</v>
      </c>
      <c r="M54" s="42">
        <v>0.53600000000000003</v>
      </c>
      <c r="N54" s="42">
        <v>0.12</v>
      </c>
      <c r="O54" s="43" t="s">
        <v>75</v>
      </c>
      <c r="P54" s="43" t="s">
        <v>75</v>
      </c>
      <c r="Q54" s="43" t="s">
        <v>75</v>
      </c>
      <c r="R54" s="44">
        <f t="shared" si="0"/>
        <v>0.7570621468926555</v>
      </c>
      <c r="S54" s="44">
        <f t="shared" si="1"/>
        <v>0.68644067796610175</v>
      </c>
      <c r="T54" s="43" t="s">
        <v>75</v>
      </c>
      <c r="U54" s="43">
        <v>0.28999999999999998</v>
      </c>
      <c r="V54" s="57" t="s">
        <v>75</v>
      </c>
      <c r="W54" s="42">
        <v>0.51100000000000001</v>
      </c>
      <c r="X54" s="55">
        <v>0.13700000000000001</v>
      </c>
      <c r="Y54" s="56">
        <f>W54/X54</f>
        <v>3.7299270072992701</v>
      </c>
      <c r="Z54" s="55">
        <v>0.32600000000000001</v>
      </c>
      <c r="AA54" s="42">
        <v>0.42499999999999999</v>
      </c>
      <c r="AB54" s="42">
        <f t="shared" si="67"/>
        <v>0.27348777348777348</v>
      </c>
      <c r="AC54" s="42">
        <v>0.83799999999999997</v>
      </c>
      <c r="AD54" s="42">
        <f t="shared" si="68"/>
        <v>0.53925353925353925</v>
      </c>
      <c r="AE54" s="55">
        <v>7.3999999999999996E-2</v>
      </c>
      <c r="AF54" s="56">
        <f t="shared" si="108"/>
        <v>0.10451977401129943</v>
      </c>
      <c r="AG54" s="57" t="s">
        <v>75</v>
      </c>
      <c r="AH54" s="42">
        <f>AE54/N54</f>
        <v>0.6166666666666667</v>
      </c>
      <c r="AI54" s="42">
        <v>9.0999999999999998E-2</v>
      </c>
      <c r="AJ54" s="42">
        <v>5.6000000000000001E-2</v>
      </c>
      <c r="AK54" s="42">
        <f t="shared" si="2"/>
        <v>1.625</v>
      </c>
      <c r="AL54" s="42">
        <f>AI54/AE54</f>
        <v>1.2297297297297298</v>
      </c>
      <c r="AM54" s="55">
        <f>AI54/N54</f>
        <v>0.7583333333333333</v>
      </c>
      <c r="AN54" s="55">
        <f t="shared" si="105"/>
        <v>0.12853107344632769</v>
      </c>
      <c r="AO54" s="55">
        <f t="shared" si="3"/>
        <v>0.49189189189189186</v>
      </c>
      <c r="AP54" s="42">
        <v>0.185</v>
      </c>
      <c r="AQ54" s="42">
        <v>0.112</v>
      </c>
      <c r="AR54" s="42">
        <f t="shared" si="77"/>
        <v>0.11904761904761904</v>
      </c>
      <c r="AS54" s="42">
        <f t="shared" si="5"/>
        <v>1.6517857142857142</v>
      </c>
      <c r="AT54" s="42">
        <f>AP54/K54</f>
        <v>0.26129943502824859</v>
      </c>
      <c r="AU54" s="55">
        <v>9.5000000000000001E-2</v>
      </c>
      <c r="AV54" s="55">
        <v>0.104</v>
      </c>
      <c r="AW54" s="55">
        <f t="shared" ref="AW54" si="109">AU54/AV54</f>
        <v>0.91346153846153855</v>
      </c>
      <c r="AX54" s="101">
        <f t="shared" ref="AX54" si="110">AP54/AU54</f>
        <v>1.9473684210526316</v>
      </c>
      <c r="AY54" s="43" t="s">
        <v>75</v>
      </c>
      <c r="AZ54" s="132">
        <v>11</v>
      </c>
      <c r="BA54" s="43" t="s">
        <v>75</v>
      </c>
      <c r="BB54" s="43" t="s">
        <v>75</v>
      </c>
      <c r="BC54" s="45" t="s">
        <v>75</v>
      </c>
    </row>
    <row r="55" spans="2:55" x14ac:dyDescent="0.2">
      <c r="E55" s="58" t="s">
        <v>22</v>
      </c>
      <c r="F55" s="8">
        <f>MIN(F3:F54)</f>
        <v>1.554</v>
      </c>
      <c r="G55" s="8">
        <f>MIN(G3:G54)</f>
        <v>3.19</v>
      </c>
      <c r="H55" s="8">
        <f>MIN(H3:H54)</f>
        <v>1.5779092702169624</v>
      </c>
      <c r="I55" s="8">
        <f t="shared" ref="I55:BC55" si="111">MIN(I3:I54)</f>
        <v>0.01</v>
      </c>
      <c r="J55" s="8">
        <f t="shared" si="111"/>
        <v>4.1000000000000002E-2</v>
      </c>
      <c r="K55" s="8">
        <f t="shared" si="111"/>
        <v>0.70799999999999996</v>
      </c>
      <c r="L55" s="8">
        <f t="shared" si="111"/>
        <v>0.46899999999999997</v>
      </c>
      <c r="M55" s="8">
        <f t="shared" si="111"/>
        <v>0.504</v>
      </c>
      <c r="N55" s="8">
        <f t="shared" si="111"/>
        <v>0.114</v>
      </c>
      <c r="O55" s="8">
        <f t="shared" si="111"/>
        <v>0.94399999999999995</v>
      </c>
      <c r="P55" s="8">
        <f t="shared" si="111"/>
        <v>1.0619999999999998</v>
      </c>
      <c r="Q55" s="8">
        <f t="shared" si="111"/>
        <v>1.124229979466119</v>
      </c>
      <c r="R55" s="8">
        <f t="shared" si="111"/>
        <v>0.64271047227926081</v>
      </c>
      <c r="S55" s="8">
        <f t="shared" si="111"/>
        <v>0.64158686730506154</v>
      </c>
      <c r="T55" s="8">
        <f t="shared" si="111"/>
        <v>6.9347826086956514</v>
      </c>
      <c r="U55" s="8">
        <f t="shared" si="111"/>
        <v>0.28000000000000003</v>
      </c>
      <c r="V55" s="8">
        <f t="shared" ref="V55" si="112">MIN(V3:V54)</f>
        <v>9.2315789473684191</v>
      </c>
      <c r="W55" s="8">
        <f t="shared" si="111"/>
        <v>0.505</v>
      </c>
      <c r="X55" s="8">
        <f t="shared" si="111"/>
        <v>0.114</v>
      </c>
      <c r="Y55" s="8">
        <f t="shared" si="111"/>
        <v>3.7299270072992701</v>
      </c>
      <c r="Z55" s="8">
        <f t="shared" si="111"/>
        <v>0.318</v>
      </c>
      <c r="AA55" s="8">
        <f t="shared" si="111"/>
        <v>0.41599999999999998</v>
      </c>
      <c r="AB55" s="8">
        <f t="shared" si="111"/>
        <v>0.24039517014270032</v>
      </c>
      <c r="AC55" s="8">
        <f t="shared" si="111"/>
        <v>0.83799999999999997</v>
      </c>
      <c r="AD55" s="8">
        <f t="shared" si="111"/>
        <v>0.49263431542461011</v>
      </c>
      <c r="AE55" s="8">
        <f t="shared" si="111"/>
        <v>7.3999999999999996E-2</v>
      </c>
      <c r="AF55" s="8">
        <f t="shared" ref="AF55" si="113">MIN(AF3:AF54)</f>
        <v>9.4304388422035493E-2</v>
      </c>
      <c r="AG55" s="8">
        <f t="shared" si="111"/>
        <v>6.1212121212121211E-2</v>
      </c>
      <c r="AH55" s="8">
        <f t="shared" si="111"/>
        <v>0.6166666666666667</v>
      </c>
      <c r="AI55" s="8">
        <f t="shared" si="111"/>
        <v>8.5999999999999993E-2</v>
      </c>
      <c r="AJ55" s="8">
        <f t="shared" si="111"/>
        <v>4.9000000000000002E-2</v>
      </c>
      <c r="AK55" s="8">
        <f t="shared" si="111"/>
        <v>1.3164556962025316</v>
      </c>
      <c r="AL55" s="8">
        <f t="shared" si="111"/>
        <v>0.77118644067796616</v>
      </c>
      <c r="AM55" s="8">
        <f t="shared" si="111"/>
        <v>0.59090909090909094</v>
      </c>
      <c r="AN55" s="8">
        <f t="shared" ref="AN55" si="114">MIN(AN3:AN54)</f>
        <v>8.2129963898916955E-2</v>
      </c>
      <c r="AO55" s="8">
        <f t="shared" si="111"/>
        <v>0.24931506849315069</v>
      </c>
      <c r="AP55" s="8">
        <f t="shared" si="111"/>
        <v>0.17399999999999999</v>
      </c>
      <c r="AQ55" s="8">
        <f t="shared" si="111"/>
        <v>9.7000000000000003E-2</v>
      </c>
      <c r="AR55" s="8">
        <f t="shared" si="111"/>
        <v>0.1035528596187175</v>
      </c>
      <c r="AS55" s="8">
        <f t="shared" si="111"/>
        <v>1.3700787401574801</v>
      </c>
      <c r="AT55" s="8">
        <f t="shared" si="111"/>
        <v>0.23856613102595797</v>
      </c>
      <c r="AU55" s="8">
        <f t="shared" si="111"/>
        <v>7.5999999999999998E-2</v>
      </c>
      <c r="AV55" s="8">
        <f t="shared" si="111"/>
        <v>0.1</v>
      </c>
      <c r="AW55" s="8">
        <f t="shared" si="111"/>
        <v>0.69934640522875813</v>
      </c>
      <c r="AX55" s="8">
        <f t="shared" si="111"/>
        <v>1.4848484848484849</v>
      </c>
      <c r="AY55" s="9">
        <f>MIN(AY3:AY54)</f>
        <v>3</v>
      </c>
      <c r="AZ55" s="9">
        <v>9</v>
      </c>
      <c r="BA55" s="9">
        <f t="shared" si="111"/>
        <v>4</v>
      </c>
      <c r="BB55" s="9">
        <f t="shared" si="111"/>
        <v>4</v>
      </c>
      <c r="BC55" s="9">
        <f t="shared" si="111"/>
        <v>4</v>
      </c>
    </row>
    <row r="56" spans="2:55" x14ac:dyDescent="0.2">
      <c r="E56" s="58" t="s">
        <v>23</v>
      </c>
      <c r="F56" s="8">
        <f>MAX(F3:F54)</f>
        <v>2.6840000000000002</v>
      </c>
      <c r="G56" s="8">
        <f t="shared" ref="G56:BC56" si="115">MAX(G3:G54)</f>
        <v>5.2940000000000005</v>
      </c>
      <c r="H56" s="8">
        <f t="shared" si="115"/>
        <v>2.2601823708206688</v>
      </c>
      <c r="I56" s="8">
        <f t="shared" si="115"/>
        <v>0.13300000000000001</v>
      </c>
      <c r="J56" s="8">
        <f t="shared" si="115"/>
        <v>0.71</v>
      </c>
      <c r="K56" s="8">
        <f t="shared" si="115"/>
        <v>1.1100000000000001</v>
      </c>
      <c r="L56" s="8">
        <f t="shared" si="115"/>
        <v>0.90400000000000003</v>
      </c>
      <c r="M56" s="8">
        <f t="shared" si="115"/>
        <v>0.86599999999999999</v>
      </c>
      <c r="N56" s="8">
        <f t="shared" si="115"/>
        <v>0.155</v>
      </c>
      <c r="O56" s="8">
        <f t="shared" si="115"/>
        <v>1.6080000000000001</v>
      </c>
      <c r="P56" s="8">
        <f t="shared" si="115"/>
        <v>1.7630000000000001</v>
      </c>
      <c r="Q56" s="8">
        <f t="shared" si="115"/>
        <v>1.7351485148514851</v>
      </c>
      <c r="R56" s="8">
        <f t="shared" si="115"/>
        <v>0.82791586998087952</v>
      </c>
      <c r="S56" s="8">
        <f t="shared" si="115"/>
        <v>0.85468451242829824</v>
      </c>
      <c r="T56" s="8">
        <f t="shared" si="115"/>
        <v>12.024193548387098</v>
      </c>
      <c r="U56" s="8">
        <f t="shared" si="115"/>
        <v>0.39900000000000002</v>
      </c>
      <c r="V56" s="8">
        <f t="shared" ref="V56" si="116">MAX(V3:V54)</f>
        <v>13.786458333333334</v>
      </c>
      <c r="W56" s="8">
        <f t="shared" si="115"/>
        <v>0.84599999999999997</v>
      </c>
      <c r="X56" s="8">
        <f t="shared" si="115"/>
        <v>0.18</v>
      </c>
      <c r="Y56" s="8">
        <f t="shared" si="115"/>
        <v>6.6991869918699187</v>
      </c>
      <c r="Z56" s="8">
        <f t="shared" si="115"/>
        <v>0.56799999999999995</v>
      </c>
      <c r="AA56" s="8">
        <f t="shared" si="115"/>
        <v>0.76200000000000001</v>
      </c>
      <c r="AB56" s="8">
        <f t="shared" si="115"/>
        <v>0.31899871630295251</v>
      </c>
      <c r="AC56" s="8">
        <f t="shared" si="115"/>
        <v>1.5349999999999999</v>
      </c>
      <c r="AD56" s="8">
        <f t="shared" si="115"/>
        <v>0.72849807445442871</v>
      </c>
      <c r="AE56" s="8">
        <f t="shared" si="115"/>
        <v>0.13500000000000001</v>
      </c>
      <c r="AF56" s="8">
        <f t="shared" ref="AF56" si="117">MAX(AF3:AF54)</f>
        <v>0.14344827586206896</v>
      </c>
      <c r="AG56" s="8">
        <f t="shared" si="115"/>
        <v>0.10867579908675799</v>
      </c>
      <c r="AH56" s="8">
        <f t="shared" si="115"/>
        <v>0.89473684210526305</v>
      </c>
      <c r="AI56" s="8">
        <f t="shared" si="115"/>
        <v>0.109</v>
      </c>
      <c r="AJ56" s="8">
        <f t="shared" si="115"/>
        <v>7.9000000000000001E-2</v>
      </c>
      <c r="AK56" s="8">
        <f t="shared" si="115"/>
        <v>1.9814814814814814</v>
      </c>
      <c r="AL56" s="8">
        <f t="shared" si="115"/>
        <v>1.2297297297297298</v>
      </c>
      <c r="AM56" s="8">
        <f t="shared" si="115"/>
        <v>0.87719298245614041</v>
      </c>
      <c r="AN56" s="8">
        <f t="shared" ref="AN56" si="118">MAX(AN3:AN54)</f>
        <v>0.12853107344632769</v>
      </c>
      <c r="AO56" s="8">
        <f t="shared" si="115"/>
        <v>0.52298850574712641</v>
      </c>
      <c r="AP56" s="8">
        <f t="shared" si="115"/>
        <v>0.375</v>
      </c>
      <c r="AQ56" s="8">
        <f t="shared" si="115"/>
        <v>0.19900000000000001</v>
      </c>
      <c r="AR56" s="8">
        <f t="shared" si="115"/>
        <v>0.15262515262515264</v>
      </c>
      <c r="AS56" s="8">
        <f t="shared" si="115"/>
        <v>2.9527559055118111</v>
      </c>
      <c r="AT56" s="8">
        <f t="shared" si="115"/>
        <v>0.34340659340659341</v>
      </c>
      <c r="AU56" s="8">
        <f t="shared" si="115"/>
        <v>0.14399999999999999</v>
      </c>
      <c r="AV56" s="8">
        <f t="shared" si="115"/>
        <v>0.16400000000000001</v>
      </c>
      <c r="AW56" s="8">
        <f t="shared" si="115"/>
        <v>1.2037037037037037</v>
      </c>
      <c r="AX56" s="8">
        <f t="shared" si="115"/>
        <v>2.9078947368421053</v>
      </c>
      <c r="AY56" s="9">
        <f>MAX(AY3:AY54)</f>
        <v>6</v>
      </c>
      <c r="AZ56" s="9">
        <v>17</v>
      </c>
      <c r="BA56" s="9">
        <f t="shared" si="115"/>
        <v>9</v>
      </c>
      <c r="BB56" s="9">
        <f t="shared" si="115"/>
        <v>15</v>
      </c>
      <c r="BC56" s="9">
        <f t="shared" si="115"/>
        <v>8</v>
      </c>
    </row>
    <row r="57" spans="2:55" x14ac:dyDescent="0.2">
      <c r="D57" s="58"/>
      <c r="E57" s="5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</row>
    <row r="60" spans="2:55" x14ac:dyDescent="0.2">
      <c r="C60" s="1" t="s">
        <v>98</v>
      </c>
    </row>
    <row r="62" spans="2:55" x14ac:dyDescent="0.2">
      <c r="B62" s="60"/>
      <c r="C62" s="7" t="s">
        <v>34</v>
      </c>
      <c r="D62" s="46" t="s">
        <v>0</v>
      </c>
      <c r="E62" s="46"/>
    </row>
    <row r="63" spans="2:55" x14ac:dyDescent="0.2">
      <c r="B63" s="60"/>
      <c r="C63" s="7" t="s">
        <v>35</v>
      </c>
      <c r="D63" s="46" t="s">
        <v>1</v>
      </c>
      <c r="E63" s="46"/>
    </row>
    <row r="64" spans="2:55" x14ac:dyDescent="0.2">
      <c r="B64" s="60"/>
      <c r="C64" s="7" t="s">
        <v>36</v>
      </c>
      <c r="D64" s="46" t="s">
        <v>122</v>
      </c>
      <c r="E64" s="46"/>
    </row>
    <row r="65" spans="2:5" x14ac:dyDescent="0.2">
      <c r="B65" s="60"/>
      <c r="C65" s="7" t="s">
        <v>37</v>
      </c>
      <c r="D65" s="46" t="s">
        <v>2</v>
      </c>
      <c r="E65" s="46"/>
    </row>
    <row r="66" spans="2:5" x14ac:dyDescent="0.2">
      <c r="B66" s="60"/>
      <c r="C66" s="7" t="s">
        <v>38</v>
      </c>
      <c r="D66" s="46" t="s">
        <v>3</v>
      </c>
      <c r="E66" s="46"/>
    </row>
    <row r="67" spans="2:5" x14ac:dyDescent="0.2">
      <c r="B67" s="60"/>
      <c r="C67" s="7" t="s">
        <v>51</v>
      </c>
      <c r="D67" s="46" t="s">
        <v>4</v>
      </c>
      <c r="E67" s="46"/>
    </row>
    <row r="68" spans="2:5" x14ac:dyDescent="0.2">
      <c r="B68" s="60"/>
      <c r="C68" s="7" t="s">
        <v>39</v>
      </c>
      <c r="D68" s="46" t="s">
        <v>5</v>
      </c>
      <c r="E68" s="46"/>
    </row>
    <row r="69" spans="2:5" x14ac:dyDescent="0.2">
      <c r="B69" s="60"/>
      <c r="C69" s="7" t="s">
        <v>40</v>
      </c>
      <c r="D69" s="46" t="s">
        <v>6</v>
      </c>
      <c r="E69" s="46"/>
    </row>
    <row r="70" spans="2:5" x14ac:dyDescent="0.2">
      <c r="B70" s="60"/>
      <c r="C70" s="7" t="s">
        <v>92</v>
      </c>
      <c r="D70" s="46" t="s">
        <v>99</v>
      </c>
      <c r="E70" s="46"/>
    </row>
    <row r="71" spans="2:5" x14ac:dyDescent="0.2">
      <c r="B71" s="60"/>
      <c r="C71" s="7" t="s">
        <v>93</v>
      </c>
      <c r="D71" s="46" t="s">
        <v>100</v>
      </c>
      <c r="E71" s="46"/>
    </row>
    <row r="72" spans="2:5" x14ac:dyDescent="0.2">
      <c r="B72" s="60"/>
      <c r="C72" s="7" t="s">
        <v>41</v>
      </c>
      <c r="D72" s="46" t="s">
        <v>20</v>
      </c>
      <c r="E72" s="46"/>
    </row>
    <row r="73" spans="2:5" x14ac:dyDescent="0.2">
      <c r="B73" s="60"/>
      <c r="C73" s="7" t="s">
        <v>101</v>
      </c>
      <c r="D73" s="46" t="s">
        <v>7</v>
      </c>
      <c r="E73" s="46"/>
    </row>
    <row r="74" spans="2:5" x14ac:dyDescent="0.2">
      <c r="B74" s="60"/>
      <c r="C74" s="7" t="s">
        <v>102</v>
      </c>
      <c r="D74" s="46" t="s">
        <v>8</v>
      </c>
      <c r="E74" s="46"/>
    </row>
    <row r="75" spans="2:5" x14ac:dyDescent="0.2">
      <c r="B75" s="60"/>
      <c r="C75" s="7" t="s">
        <v>103</v>
      </c>
      <c r="D75" s="46" t="s">
        <v>9</v>
      </c>
      <c r="E75" s="46"/>
    </row>
    <row r="76" spans="2:5" x14ac:dyDescent="0.2">
      <c r="B76" s="60"/>
      <c r="C76" s="7" t="s">
        <v>104</v>
      </c>
      <c r="D76" s="46" t="s">
        <v>105</v>
      </c>
      <c r="E76" s="46"/>
    </row>
    <row r="77" spans="2:5" x14ac:dyDescent="0.2">
      <c r="B77" s="60"/>
      <c r="C77" s="7" t="s">
        <v>43</v>
      </c>
      <c r="D77" s="46" t="s">
        <v>10</v>
      </c>
      <c r="E77" s="46"/>
    </row>
    <row r="78" spans="2:5" x14ac:dyDescent="0.2">
      <c r="B78" s="60"/>
      <c r="C78" s="7" t="s">
        <v>44</v>
      </c>
      <c r="D78" s="46" t="s">
        <v>11</v>
      </c>
      <c r="E78" s="46"/>
    </row>
    <row r="79" spans="2:5" x14ac:dyDescent="0.2">
      <c r="B79" s="60"/>
      <c r="C79" s="7" t="s">
        <v>45</v>
      </c>
      <c r="D79" s="46" t="s">
        <v>12</v>
      </c>
      <c r="E79" s="46"/>
    </row>
    <row r="80" spans="2:5" x14ac:dyDescent="0.2">
      <c r="B80" s="60"/>
      <c r="C80" s="7" t="s">
        <v>50</v>
      </c>
      <c r="D80" s="46" t="s">
        <v>27</v>
      </c>
      <c r="E80" s="46"/>
    </row>
    <row r="81" spans="2:5" x14ac:dyDescent="0.2">
      <c r="B81" s="60"/>
      <c r="C81" s="7" t="s">
        <v>46</v>
      </c>
      <c r="D81" s="46" t="s">
        <v>13</v>
      </c>
      <c r="E81" s="46"/>
    </row>
    <row r="82" spans="2:5" x14ac:dyDescent="0.2">
      <c r="B82" s="60"/>
      <c r="C82" s="7" t="s">
        <v>54</v>
      </c>
      <c r="D82" s="46" t="s">
        <v>14</v>
      </c>
      <c r="E82" s="46"/>
    </row>
    <row r="83" spans="2:5" x14ac:dyDescent="0.2">
      <c r="B83" s="60"/>
      <c r="C83" s="7" t="s">
        <v>106</v>
      </c>
      <c r="D83" s="46" t="s">
        <v>123</v>
      </c>
      <c r="E83" s="46"/>
    </row>
    <row r="84" spans="2:5" x14ac:dyDescent="0.2">
      <c r="B84" s="60"/>
      <c r="C84" s="7" t="s">
        <v>55</v>
      </c>
      <c r="D84" s="46" t="s">
        <v>15</v>
      </c>
      <c r="E84" s="46"/>
    </row>
    <row r="85" spans="2:5" x14ac:dyDescent="0.2">
      <c r="B85" s="60"/>
      <c r="C85" s="7" t="s">
        <v>107</v>
      </c>
      <c r="D85" s="46" t="s">
        <v>124</v>
      </c>
      <c r="E85" s="46"/>
    </row>
    <row r="86" spans="2:5" x14ac:dyDescent="0.2">
      <c r="B86" s="60"/>
      <c r="C86" s="7" t="s">
        <v>49</v>
      </c>
      <c r="D86" s="46" t="s">
        <v>108</v>
      </c>
      <c r="E86" s="46"/>
    </row>
    <row r="87" spans="2:5" x14ac:dyDescent="0.2">
      <c r="B87" s="60"/>
      <c r="C87" s="60" t="s">
        <v>137</v>
      </c>
      <c r="D87" s="46" t="s">
        <v>138</v>
      </c>
      <c r="E87" s="46"/>
    </row>
    <row r="88" spans="2:5" x14ac:dyDescent="0.2">
      <c r="B88" s="60"/>
      <c r="C88" s="7" t="s">
        <v>110</v>
      </c>
      <c r="D88" s="46" t="s">
        <v>125</v>
      </c>
      <c r="E88" s="46"/>
    </row>
    <row r="89" spans="2:5" x14ac:dyDescent="0.2">
      <c r="B89" s="60"/>
      <c r="C89" s="7" t="s">
        <v>109</v>
      </c>
      <c r="D89" s="46" t="s">
        <v>126</v>
      </c>
      <c r="E89" s="46"/>
    </row>
    <row r="90" spans="2:5" x14ac:dyDescent="0.2">
      <c r="B90" s="60"/>
      <c r="C90" s="7" t="s">
        <v>76</v>
      </c>
      <c r="D90" s="46" t="s">
        <v>16</v>
      </c>
      <c r="E90" s="46"/>
    </row>
    <row r="91" spans="2:5" x14ac:dyDescent="0.2">
      <c r="B91" s="60"/>
      <c r="C91" s="7" t="s">
        <v>77</v>
      </c>
      <c r="D91" s="46" t="s">
        <v>17</v>
      </c>
      <c r="E91" s="46"/>
    </row>
    <row r="92" spans="2:5" x14ac:dyDescent="0.2">
      <c r="B92" s="60"/>
      <c r="C92" s="7" t="s">
        <v>111</v>
      </c>
      <c r="D92" s="46" t="s">
        <v>18</v>
      </c>
      <c r="E92" s="46"/>
    </row>
    <row r="93" spans="2:5" x14ac:dyDescent="0.2">
      <c r="B93" s="60"/>
      <c r="C93" s="7" t="s">
        <v>112</v>
      </c>
      <c r="D93" s="46" t="s">
        <v>127</v>
      </c>
      <c r="E93" s="46"/>
    </row>
    <row r="94" spans="2:5" x14ac:dyDescent="0.2">
      <c r="B94" s="60"/>
      <c r="C94" s="7" t="s">
        <v>113</v>
      </c>
      <c r="D94" s="46" t="s">
        <v>128</v>
      </c>
      <c r="E94" s="46"/>
    </row>
    <row r="95" spans="2:5" x14ac:dyDescent="0.2">
      <c r="B95" s="60"/>
      <c r="C95" s="60" t="s">
        <v>139</v>
      </c>
      <c r="D95" s="46" t="s">
        <v>140</v>
      </c>
      <c r="E95" s="46"/>
    </row>
    <row r="96" spans="2:5" x14ac:dyDescent="0.2">
      <c r="B96" s="60"/>
      <c r="C96" s="7" t="s">
        <v>153</v>
      </c>
      <c r="D96" s="46" t="s">
        <v>129</v>
      </c>
      <c r="E96" s="46"/>
    </row>
    <row r="97" spans="2:5" x14ac:dyDescent="0.2">
      <c r="B97" s="60"/>
      <c r="C97" s="7" t="s">
        <v>88</v>
      </c>
      <c r="D97" s="46" t="s">
        <v>114</v>
      </c>
      <c r="E97" s="46"/>
    </row>
    <row r="98" spans="2:5" x14ac:dyDescent="0.2">
      <c r="B98" s="60"/>
      <c r="C98" s="7" t="s">
        <v>79</v>
      </c>
      <c r="D98" s="46" t="s">
        <v>115</v>
      </c>
      <c r="E98" s="46"/>
    </row>
    <row r="99" spans="2:5" x14ac:dyDescent="0.2">
      <c r="B99" s="60"/>
      <c r="C99" s="7" t="s">
        <v>116</v>
      </c>
      <c r="D99" s="46" t="s">
        <v>121</v>
      </c>
      <c r="E99" s="46"/>
    </row>
    <row r="100" spans="2:5" x14ac:dyDescent="0.2">
      <c r="B100" s="60"/>
      <c r="C100" s="7" t="s">
        <v>117</v>
      </c>
      <c r="D100" s="46" t="s">
        <v>120</v>
      </c>
      <c r="E100" s="46"/>
    </row>
    <row r="101" spans="2:5" x14ac:dyDescent="0.2">
      <c r="B101" s="60"/>
      <c r="C101" s="7" t="s">
        <v>118</v>
      </c>
      <c r="D101" s="46" t="s">
        <v>130</v>
      </c>
      <c r="E101" s="46"/>
    </row>
    <row r="102" spans="2:5" x14ac:dyDescent="0.2">
      <c r="B102" s="60"/>
      <c r="C102" s="1" t="s">
        <v>131</v>
      </c>
      <c r="D102" s="46" t="s">
        <v>19</v>
      </c>
      <c r="E102" s="46"/>
    </row>
    <row r="103" spans="2:5" x14ac:dyDescent="0.2">
      <c r="C103" s="1" t="s">
        <v>132</v>
      </c>
      <c r="D103" s="46" t="s">
        <v>80</v>
      </c>
      <c r="E103" s="46"/>
    </row>
    <row r="104" spans="2:5" x14ac:dyDescent="0.2">
      <c r="B104" s="60"/>
      <c r="C104" s="1" t="s">
        <v>133</v>
      </c>
      <c r="D104" s="46" t="s">
        <v>148</v>
      </c>
      <c r="E104" s="46"/>
    </row>
    <row r="105" spans="2:5" x14ac:dyDescent="0.2">
      <c r="B105" s="60"/>
      <c r="C105" s="1" t="s">
        <v>134</v>
      </c>
      <c r="D105" s="46" t="s">
        <v>149</v>
      </c>
      <c r="E105" s="46"/>
    </row>
    <row r="106" spans="2:5" x14ac:dyDescent="0.2">
      <c r="C106" s="7" t="s">
        <v>81</v>
      </c>
      <c r="D106" s="46" t="s">
        <v>119</v>
      </c>
      <c r="E106" s="4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D84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4" width="18.7109375" style="1" customWidth="1"/>
    <col min="5" max="5" width="36.7109375" style="1" customWidth="1"/>
    <col min="6" max="52" width="8.7109375" style="1" customWidth="1"/>
    <col min="53" max="55" width="10.7109375" style="1" customWidth="1"/>
    <col min="56" max="16384" width="9.140625" style="1"/>
  </cols>
  <sheetData>
    <row r="1" spans="2:56" ht="12" customHeight="1" x14ac:dyDescent="0.2"/>
    <row r="2" spans="2:56" ht="59.1" customHeight="1" x14ac:dyDescent="0.2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59" t="s">
        <v>56</v>
      </c>
      <c r="AH2" s="59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59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6" ht="12.75" customHeight="1" x14ac:dyDescent="0.2">
      <c r="B3" s="61">
        <v>14729</v>
      </c>
      <c r="C3" s="62" t="s">
        <v>147</v>
      </c>
      <c r="D3" s="63" t="s">
        <v>142</v>
      </c>
      <c r="E3" s="29" t="s">
        <v>177</v>
      </c>
      <c r="F3" s="163">
        <v>2.141</v>
      </c>
      <c r="G3" s="66" t="s">
        <v>75</v>
      </c>
      <c r="H3" s="66" t="s">
        <v>75</v>
      </c>
      <c r="I3" s="64">
        <v>0.104</v>
      </c>
      <c r="J3" s="64">
        <v>6.2E-2</v>
      </c>
      <c r="K3" s="64">
        <v>0.92900000000000005</v>
      </c>
      <c r="L3" s="64">
        <v>0.65300000000000002</v>
      </c>
      <c r="M3" s="64">
        <v>0.63</v>
      </c>
      <c r="N3" s="64">
        <v>0.17899999999999999</v>
      </c>
      <c r="O3" s="66" t="s">
        <v>75</v>
      </c>
      <c r="P3" s="66" t="s">
        <v>75</v>
      </c>
      <c r="Q3" s="66" t="s">
        <v>75</v>
      </c>
      <c r="R3" s="65">
        <f>M3/K3</f>
        <v>0.67814854682454251</v>
      </c>
      <c r="S3" s="65">
        <f>L3/K3</f>
        <v>0.70290635091496234</v>
      </c>
      <c r="T3" s="66" t="s">
        <v>75</v>
      </c>
      <c r="U3" s="66" t="s">
        <v>75</v>
      </c>
      <c r="V3" s="66" t="s">
        <v>75</v>
      </c>
      <c r="W3" s="64">
        <v>0.70899999999999996</v>
      </c>
      <c r="X3" s="66" t="s">
        <v>75</v>
      </c>
      <c r="Y3" s="66" t="s">
        <v>75</v>
      </c>
      <c r="Z3" s="64">
        <v>0.48099999999999998</v>
      </c>
      <c r="AA3" s="64">
        <v>0.66400000000000003</v>
      </c>
      <c r="AB3" s="64">
        <f>AA3/F3</f>
        <v>0.31013545072396076</v>
      </c>
      <c r="AC3" s="64">
        <v>1.2669999999999999</v>
      </c>
      <c r="AD3" s="64">
        <f>AC3/F3</f>
        <v>0.59177954226996721</v>
      </c>
      <c r="AE3" s="64">
        <v>0.108</v>
      </c>
      <c r="AF3" s="64">
        <f>AE3/K3</f>
        <v>0.116254036598493</v>
      </c>
      <c r="AG3" s="66" t="s">
        <v>75</v>
      </c>
      <c r="AH3" s="64">
        <f>AE3/N3</f>
        <v>0.6033519553072626</v>
      </c>
      <c r="AI3" s="66" t="s">
        <v>75</v>
      </c>
      <c r="AJ3" s="66" t="s">
        <v>75</v>
      </c>
      <c r="AK3" s="66" t="s">
        <v>75</v>
      </c>
      <c r="AL3" s="66" t="s">
        <v>75</v>
      </c>
      <c r="AM3" s="66" t="s">
        <v>75</v>
      </c>
      <c r="AN3" s="66" t="s">
        <v>75</v>
      </c>
      <c r="AO3" s="66" t="s">
        <v>75</v>
      </c>
      <c r="AP3" s="64">
        <v>0.251</v>
      </c>
      <c r="AQ3" s="66" t="s">
        <v>75</v>
      </c>
      <c r="AR3" s="64">
        <f>AP3/F3</f>
        <v>0.11723493694535264</v>
      </c>
      <c r="AS3" s="66" t="s">
        <v>75</v>
      </c>
      <c r="AT3" s="64">
        <f>AP3/K3</f>
        <v>0.27018299246501615</v>
      </c>
      <c r="AU3" s="102">
        <v>0.115</v>
      </c>
      <c r="AV3" s="102">
        <v>0.152</v>
      </c>
      <c r="AW3" s="102">
        <f>AU3/AV3</f>
        <v>0.75657894736842113</v>
      </c>
      <c r="AX3" s="103">
        <f>AP3/AU3</f>
        <v>2.1826086956521737</v>
      </c>
      <c r="AY3" s="66" t="s">
        <v>75</v>
      </c>
      <c r="AZ3" s="133">
        <v>15</v>
      </c>
      <c r="BA3" s="66" t="s">
        <v>75</v>
      </c>
      <c r="BB3" s="66" t="s">
        <v>75</v>
      </c>
      <c r="BC3" s="68" t="s">
        <v>75</v>
      </c>
      <c r="BD3" s="5"/>
    </row>
    <row r="4" spans="2:56" ht="12.75" customHeight="1" x14ac:dyDescent="0.2">
      <c r="B4" s="69"/>
      <c r="C4" s="70"/>
      <c r="D4" s="71"/>
      <c r="E4" s="11"/>
      <c r="F4" s="72">
        <v>2.141</v>
      </c>
      <c r="G4" s="73" t="s">
        <v>75</v>
      </c>
      <c r="H4" s="73" t="s">
        <v>75</v>
      </c>
      <c r="I4" s="73" t="s">
        <v>75</v>
      </c>
      <c r="J4" s="73" t="s">
        <v>75</v>
      </c>
      <c r="K4" s="73" t="s">
        <v>75</v>
      </c>
      <c r="L4" s="73" t="s">
        <v>75</v>
      </c>
      <c r="M4" s="73" t="s">
        <v>75</v>
      </c>
      <c r="N4" s="73" t="s">
        <v>75</v>
      </c>
      <c r="O4" s="73" t="s">
        <v>75</v>
      </c>
      <c r="P4" s="73" t="s">
        <v>75</v>
      </c>
      <c r="Q4" s="73" t="s">
        <v>75</v>
      </c>
      <c r="R4" s="73" t="s">
        <v>75</v>
      </c>
      <c r="S4" s="73" t="s">
        <v>75</v>
      </c>
      <c r="T4" s="73" t="s">
        <v>75</v>
      </c>
      <c r="U4" s="73" t="s">
        <v>75</v>
      </c>
      <c r="V4" s="73" t="s">
        <v>75</v>
      </c>
      <c r="W4" s="73" t="s">
        <v>75</v>
      </c>
      <c r="X4" s="73" t="s">
        <v>75</v>
      </c>
      <c r="Y4" s="73" t="s">
        <v>75</v>
      </c>
      <c r="Z4" s="73" t="s">
        <v>75</v>
      </c>
      <c r="AA4" s="72">
        <v>0.67400000000000004</v>
      </c>
      <c r="AB4" s="72">
        <f t="shared" ref="AB4:AB34" si="0">AA4/F4</f>
        <v>0.31480616534329753</v>
      </c>
      <c r="AC4" s="72">
        <v>1.282</v>
      </c>
      <c r="AD4" s="72">
        <f t="shared" ref="AD4:AD34" si="1">AC4/F4</f>
        <v>0.59878561419897247</v>
      </c>
      <c r="AE4" s="72">
        <v>0.13600000000000001</v>
      </c>
      <c r="AF4" s="73" t="s">
        <v>75</v>
      </c>
      <c r="AG4" s="73" t="s">
        <v>75</v>
      </c>
      <c r="AH4" s="73" t="s">
        <v>75</v>
      </c>
      <c r="AI4" s="73" t="s">
        <v>75</v>
      </c>
      <c r="AJ4" s="73" t="s">
        <v>75</v>
      </c>
      <c r="AK4" s="73" t="s">
        <v>75</v>
      </c>
      <c r="AL4" s="73" t="s">
        <v>75</v>
      </c>
      <c r="AM4" s="73" t="s">
        <v>75</v>
      </c>
      <c r="AN4" s="73" t="s">
        <v>75</v>
      </c>
      <c r="AO4" s="73" t="s">
        <v>75</v>
      </c>
      <c r="AP4" s="72">
        <v>0.255</v>
      </c>
      <c r="AQ4" s="73" t="s">
        <v>75</v>
      </c>
      <c r="AR4" s="72">
        <f t="shared" ref="AR4:AR34" si="2">AP4/F4</f>
        <v>0.11910322279308734</v>
      </c>
      <c r="AS4" s="73" t="s">
        <v>75</v>
      </c>
      <c r="AT4" s="73" t="s">
        <v>75</v>
      </c>
      <c r="AU4" s="104">
        <v>0.115</v>
      </c>
      <c r="AV4" s="104">
        <v>0.152</v>
      </c>
      <c r="AW4" s="104">
        <f>AU4/AV4</f>
        <v>0.75657894736842113</v>
      </c>
      <c r="AX4" s="105">
        <f>AP4/AU4</f>
        <v>2.2173913043478262</v>
      </c>
      <c r="AY4" s="73" t="s">
        <v>75</v>
      </c>
      <c r="AZ4" s="134">
        <v>14</v>
      </c>
      <c r="BA4" s="73" t="s">
        <v>75</v>
      </c>
      <c r="BB4" s="73" t="s">
        <v>75</v>
      </c>
      <c r="BC4" s="74" t="s">
        <v>75</v>
      </c>
      <c r="BD4" s="5"/>
    </row>
    <row r="5" spans="2:56" ht="12.75" customHeight="1" x14ac:dyDescent="0.2">
      <c r="B5" s="159">
        <v>14729</v>
      </c>
      <c r="C5" s="76" t="s">
        <v>147</v>
      </c>
      <c r="D5" s="77" t="s">
        <v>142</v>
      </c>
      <c r="E5" s="17" t="s">
        <v>177</v>
      </c>
      <c r="F5" s="78">
        <v>1.907</v>
      </c>
      <c r="G5" s="79" t="s">
        <v>75</v>
      </c>
      <c r="H5" s="79" t="s">
        <v>75</v>
      </c>
      <c r="I5" s="79" t="s">
        <v>75</v>
      </c>
      <c r="J5" s="79" t="s">
        <v>75</v>
      </c>
      <c r="K5" s="79" t="s">
        <v>75</v>
      </c>
      <c r="L5" s="79" t="s">
        <v>75</v>
      </c>
      <c r="M5" s="79" t="s">
        <v>75</v>
      </c>
      <c r="N5" s="79" t="s">
        <v>75</v>
      </c>
      <c r="O5" s="79" t="s">
        <v>75</v>
      </c>
      <c r="P5" s="79" t="s">
        <v>75</v>
      </c>
      <c r="Q5" s="79" t="s">
        <v>75</v>
      </c>
      <c r="R5" s="79" t="s">
        <v>75</v>
      </c>
      <c r="S5" s="79" t="s">
        <v>75</v>
      </c>
      <c r="T5" s="79" t="s">
        <v>75</v>
      </c>
      <c r="U5" s="79" t="s">
        <v>75</v>
      </c>
      <c r="V5" s="79" t="s">
        <v>75</v>
      </c>
      <c r="W5" s="78">
        <v>0.67300000000000004</v>
      </c>
      <c r="X5" s="78">
        <v>0.10299999999999999</v>
      </c>
      <c r="Y5" s="78">
        <f t="shared" ref="Y5:Y32" si="3">W5/X5</f>
        <v>6.5339805825242729</v>
      </c>
      <c r="Z5" s="78">
        <v>0.45100000000000001</v>
      </c>
      <c r="AA5" s="78">
        <v>0.60299999999999998</v>
      </c>
      <c r="AB5" s="78">
        <f t="shared" si="0"/>
        <v>0.31620346093340324</v>
      </c>
      <c r="AC5" s="78">
        <v>1.19</v>
      </c>
      <c r="AD5" s="78">
        <f t="shared" si="1"/>
        <v>0.62401678028316721</v>
      </c>
      <c r="AE5" s="78">
        <v>0.127</v>
      </c>
      <c r="AF5" s="79" t="s">
        <v>75</v>
      </c>
      <c r="AG5" s="79" t="s">
        <v>75</v>
      </c>
      <c r="AH5" s="79" t="s">
        <v>75</v>
      </c>
      <c r="AI5" s="79" t="s">
        <v>75</v>
      </c>
      <c r="AJ5" s="79" t="s">
        <v>75</v>
      </c>
      <c r="AK5" s="79" t="s">
        <v>75</v>
      </c>
      <c r="AL5" s="79" t="s">
        <v>75</v>
      </c>
      <c r="AM5" s="79" t="s">
        <v>75</v>
      </c>
      <c r="AN5" s="79" t="s">
        <v>75</v>
      </c>
      <c r="AO5" s="79" t="s">
        <v>75</v>
      </c>
      <c r="AP5" s="78">
        <v>0.24099999999999999</v>
      </c>
      <c r="AQ5" s="79" t="s">
        <v>75</v>
      </c>
      <c r="AR5" s="78">
        <f t="shared" si="2"/>
        <v>0.12637650760356581</v>
      </c>
      <c r="AS5" s="79" t="s">
        <v>75</v>
      </c>
      <c r="AT5" s="79" t="s">
        <v>75</v>
      </c>
      <c r="AU5" s="78">
        <v>0.16900000000000001</v>
      </c>
      <c r="AV5" s="78">
        <v>0.105</v>
      </c>
      <c r="AW5" s="78">
        <f t="shared" ref="AW5:AW33" si="4">AU5/AV5</f>
        <v>1.6095238095238098</v>
      </c>
      <c r="AX5" s="80">
        <f t="shared" ref="AX5:AX33" si="5">AP5/AU5</f>
        <v>1.4260355029585798</v>
      </c>
      <c r="AY5" s="79" t="s">
        <v>75</v>
      </c>
      <c r="AZ5" s="135" t="s">
        <v>75</v>
      </c>
      <c r="BA5" s="79" t="s">
        <v>75</v>
      </c>
      <c r="BB5" s="79" t="s">
        <v>75</v>
      </c>
      <c r="BC5" s="81" t="s">
        <v>75</v>
      </c>
      <c r="BD5" s="5"/>
    </row>
    <row r="6" spans="2:56" ht="12.75" customHeight="1" x14ac:dyDescent="0.2">
      <c r="B6" s="75"/>
      <c r="C6" s="76"/>
      <c r="D6" s="77"/>
      <c r="E6" s="17"/>
      <c r="F6" s="78">
        <v>1.907</v>
      </c>
      <c r="G6" s="79" t="s">
        <v>75</v>
      </c>
      <c r="H6" s="79" t="s">
        <v>75</v>
      </c>
      <c r="I6" s="79" t="s">
        <v>75</v>
      </c>
      <c r="J6" s="79" t="s">
        <v>75</v>
      </c>
      <c r="K6" s="79" t="s">
        <v>75</v>
      </c>
      <c r="L6" s="79" t="s">
        <v>75</v>
      </c>
      <c r="M6" s="79" t="s">
        <v>75</v>
      </c>
      <c r="N6" s="79" t="s">
        <v>75</v>
      </c>
      <c r="O6" s="79" t="s">
        <v>75</v>
      </c>
      <c r="P6" s="79" t="s">
        <v>75</v>
      </c>
      <c r="Q6" s="79" t="s">
        <v>75</v>
      </c>
      <c r="R6" s="79" t="s">
        <v>75</v>
      </c>
      <c r="S6" s="79" t="s">
        <v>75</v>
      </c>
      <c r="T6" s="79" t="s">
        <v>75</v>
      </c>
      <c r="U6" s="79" t="s">
        <v>75</v>
      </c>
      <c r="V6" s="79" t="s">
        <v>75</v>
      </c>
      <c r="W6" s="78">
        <v>0.66600000000000004</v>
      </c>
      <c r="X6" s="78">
        <v>0.104</v>
      </c>
      <c r="Y6" s="78">
        <f t="shared" si="3"/>
        <v>6.4038461538461542</v>
      </c>
      <c r="Z6" s="79" t="s">
        <v>75</v>
      </c>
      <c r="AA6" s="78">
        <v>0.60099999999999998</v>
      </c>
      <c r="AB6" s="78">
        <f t="shared" si="0"/>
        <v>0.31515469323544831</v>
      </c>
      <c r="AC6" s="78">
        <v>1.1739999999999999</v>
      </c>
      <c r="AD6" s="78">
        <f t="shared" si="1"/>
        <v>0.61562663869952805</v>
      </c>
      <c r="AE6" s="78">
        <v>0.126</v>
      </c>
      <c r="AF6" s="79" t="s">
        <v>75</v>
      </c>
      <c r="AG6" s="79" t="s">
        <v>75</v>
      </c>
      <c r="AH6" s="79" t="s">
        <v>75</v>
      </c>
      <c r="AI6" s="79" t="s">
        <v>75</v>
      </c>
      <c r="AJ6" s="79" t="s">
        <v>75</v>
      </c>
      <c r="AK6" s="79" t="s">
        <v>75</v>
      </c>
      <c r="AL6" s="79" t="s">
        <v>75</v>
      </c>
      <c r="AM6" s="79" t="s">
        <v>75</v>
      </c>
      <c r="AN6" s="79" t="s">
        <v>75</v>
      </c>
      <c r="AO6" s="79" t="s">
        <v>75</v>
      </c>
      <c r="AP6" s="78">
        <v>0.25800000000000001</v>
      </c>
      <c r="AQ6" s="79" t="s">
        <v>75</v>
      </c>
      <c r="AR6" s="78">
        <f t="shared" si="2"/>
        <v>0.13529103303618248</v>
      </c>
      <c r="AS6" s="79" t="s">
        <v>75</v>
      </c>
      <c r="AT6" s="79" t="s">
        <v>75</v>
      </c>
      <c r="AU6" s="79" t="s">
        <v>75</v>
      </c>
      <c r="AV6" s="79" t="s">
        <v>75</v>
      </c>
      <c r="AW6" s="79" t="s">
        <v>75</v>
      </c>
      <c r="AX6" s="79" t="s">
        <v>75</v>
      </c>
      <c r="AY6" s="79" t="s">
        <v>75</v>
      </c>
      <c r="AZ6" s="135" t="s">
        <v>75</v>
      </c>
      <c r="BA6" s="79" t="s">
        <v>75</v>
      </c>
      <c r="BB6" s="79" t="s">
        <v>75</v>
      </c>
      <c r="BC6" s="81" t="s">
        <v>75</v>
      </c>
      <c r="BD6" s="5"/>
    </row>
    <row r="7" spans="2:56" ht="12.75" customHeight="1" x14ac:dyDescent="0.2">
      <c r="B7" s="160">
        <v>14729</v>
      </c>
      <c r="C7" s="70" t="s">
        <v>147</v>
      </c>
      <c r="D7" s="71" t="s">
        <v>142</v>
      </c>
      <c r="E7" s="11" t="s">
        <v>177</v>
      </c>
      <c r="F7" s="72">
        <v>1.8480000000000001</v>
      </c>
      <c r="G7" s="82">
        <f t="shared" ref="G7:G8" si="6">I7+J7+K7+L7+M7+N7+O7</f>
        <v>3.1670000000000007</v>
      </c>
      <c r="H7" s="82">
        <f>G7/F7</f>
        <v>1.713744588744589</v>
      </c>
      <c r="I7" s="72">
        <v>9.2999999999999999E-2</v>
      </c>
      <c r="J7" s="72">
        <v>6.7000000000000004E-2</v>
      </c>
      <c r="K7" s="72">
        <v>0.81100000000000005</v>
      </c>
      <c r="L7" s="72">
        <v>0.58499999999999996</v>
      </c>
      <c r="M7" s="72">
        <v>0.56200000000000006</v>
      </c>
      <c r="N7" s="72">
        <v>0.16</v>
      </c>
      <c r="O7" s="72">
        <v>0.88900000000000001</v>
      </c>
      <c r="P7" s="72">
        <f>N:N+O:O</f>
        <v>1.0489999999999999</v>
      </c>
      <c r="Q7" s="82">
        <f t="shared" ref="Q7:Q33" si="7">(N7+O7)/K7</f>
        <v>1.2934648581997532</v>
      </c>
      <c r="R7" s="82">
        <f t="shared" ref="R7:R34" si="8">M7/K7</f>
        <v>0.69297163995067823</v>
      </c>
      <c r="S7" s="82">
        <f t="shared" ref="S7:S34" si="9">L7/K7</f>
        <v>0.72133168927250302</v>
      </c>
      <c r="T7" s="82">
        <f t="shared" ref="T7:T33" si="10">O7/N7</f>
        <v>5.5562500000000004</v>
      </c>
      <c r="U7" s="72">
        <v>0.29799999999999999</v>
      </c>
      <c r="V7" s="72">
        <f>G7/U7</f>
        <v>10.627516778523493</v>
      </c>
      <c r="W7" s="73" t="s">
        <v>75</v>
      </c>
      <c r="X7" s="72">
        <v>0.114</v>
      </c>
      <c r="Y7" s="73" t="s">
        <v>75</v>
      </c>
      <c r="Z7" s="72">
        <v>0.36399999999999999</v>
      </c>
      <c r="AA7" s="72">
        <v>0.55800000000000005</v>
      </c>
      <c r="AB7" s="72">
        <f t="shared" si="0"/>
        <v>0.30194805194805197</v>
      </c>
      <c r="AC7" s="73" t="s">
        <v>75</v>
      </c>
      <c r="AD7" s="73" t="s">
        <v>75</v>
      </c>
      <c r="AE7" s="73" t="s">
        <v>75</v>
      </c>
      <c r="AF7" s="73" t="s">
        <v>75</v>
      </c>
      <c r="AG7" s="73" t="s">
        <v>75</v>
      </c>
      <c r="AH7" s="73" t="s">
        <v>75</v>
      </c>
      <c r="AI7" s="73" t="s">
        <v>75</v>
      </c>
      <c r="AJ7" s="73" t="s">
        <v>75</v>
      </c>
      <c r="AK7" s="73" t="s">
        <v>75</v>
      </c>
      <c r="AL7" s="73" t="s">
        <v>75</v>
      </c>
      <c r="AM7" s="73" t="s">
        <v>75</v>
      </c>
      <c r="AN7" s="73" t="s">
        <v>75</v>
      </c>
      <c r="AO7" s="73" t="s">
        <v>75</v>
      </c>
      <c r="AP7" s="72">
        <v>0.22700000000000001</v>
      </c>
      <c r="AQ7" s="73" t="s">
        <v>75</v>
      </c>
      <c r="AR7" s="72">
        <f t="shared" si="2"/>
        <v>0.12283549783549784</v>
      </c>
      <c r="AS7" s="73" t="s">
        <v>75</v>
      </c>
      <c r="AT7" s="72">
        <f t="shared" ref="AT7:AT34" si="11">AP7/K7</f>
        <v>0.27990135635018493</v>
      </c>
      <c r="AU7" s="72">
        <v>0.106</v>
      </c>
      <c r="AV7" s="72">
        <v>0.13600000000000001</v>
      </c>
      <c r="AW7" s="72">
        <f t="shared" si="4"/>
        <v>0.77941176470588225</v>
      </c>
      <c r="AX7" s="82">
        <f t="shared" si="5"/>
        <v>2.1415094339622645</v>
      </c>
      <c r="AY7" s="73" t="s">
        <v>75</v>
      </c>
      <c r="AZ7" s="134" t="s">
        <v>75</v>
      </c>
      <c r="BA7" s="73" t="s">
        <v>75</v>
      </c>
      <c r="BB7" s="73" t="s">
        <v>75</v>
      </c>
      <c r="BC7" s="74" t="s">
        <v>75</v>
      </c>
      <c r="BD7" s="5"/>
    </row>
    <row r="8" spans="2:56" ht="12.75" customHeight="1" x14ac:dyDescent="0.2">
      <c r="B8" s="69"/>
      <c r="C8" s="70"/>
      <c r="D8" s="71"/>
      <c r="E8" s="11"/>
      <c r="F8" s="72">
        <v>1.8480000000000001</v>
      </c>
      <c r="G8" s="82">
        <f t="shared" si="6"/>
        <v>3.2089999999999996</v>
      </c>
      <c r="H8" s="82">
        <f t="shared" ref="H8" si="12">G8/F8</f>
        <v>1.7364718614718613</v>
      </c>
      <c r="I8" s="72">
        <v>0.109</v>
      </c>
      <c r="J8" s="72">
        <v>6.6000000000000003E-2</v>
      </c>
      <c r="K8" s="72">
        <v>0.82299999999999995</v>
      </c>
      <c r="L8" s="72">
        <v>0.56499999999999995</v>
      </c>
      <c r="M8" s="72">
        <v>0.56799999999999995</v>
      </c>
      <c r="N8" s="72">
        <v>0.14899999999999999</v>
      </c>
      <c r="O8" s="72">
        <v>0.92900000000000005</v>
      </c>
      <c r="P8" s="72">
        <f>N:N+O:O</f>
        <v>1.0780000000000001</v>
      </c>
      <c r="Q8" s="82">
        <f t="shared" si="7"/>
        <v>1.3098420413122724</v>
      </c>
      <c r="R8" s="82">
        <f t="shared" si="8"/>
        <v>0.69015795868772778</v>
      </c>
      <c r="S8" s="82">
        <f t="shared" si="9"/>
        <v>0.6865127582017011</v>
      </c>
      <c r="T8" s="82">
        <f t="shared" si="10"/>
        <v>6.2348993288590613</v>
      </c>
      <c r="U8" s="72">
        <v>0.29799999999999999</v>
      </c>
      <c r="V8" s="72">
        <f t="shared" ref="V8:V33" si="13">G8/U8</f>
        <v>10.768456375838925</v>
      </c>
      <c r="W8" s="73" t="s">
        <v>75</v>
      </c>
      <c r="X8" s="72">
        <v>0.106</v>
      </c>
      <c r="Y8" s="73" t="s">
        <v>75</v>
      </c>
      <c r="Z8" s="72">
        <v>0.35</v>
      </c>
      <c r="AA8" s="72">
        <v>0.57299999999999995</v>
      </c>
      <c r="AB8" s="72">
        <f t="shared" si="0"/>
        <v>0.31006493506493504</v>
      </c>
      <c r="AC8" s="73" t="s">
        <v>75</v>
      </c>
      <c r="AD8" s="73" t="s">
        <v>75</v>
      </c>
      <c r="AE8" s="73" t="s">
        <v>75</v>
      </c>
      <c r="AF8" s="73" t="s">
        <v>75</v>
      </c>
      <c r="AG8" s="73" t="s">
        <v>75</v>
      </c>
      <c r="AH8" s="73" t="s">
        <v>75</v>
      </c>
      <c r="AI8" s="73" t="s">
        <v>75</v>
      </c>
      <c r="AJ8" s="73" t="s">
        <v>75</v>
      </c>
      <c r="AK8" s="73" t="s">
        <v>75</v>
      </c>
      <c r="AL8" s="73" t="s">
        <v>75</v>
      </c>
      <c r="AM8" s="73" t="s">
        <v>75</v>
      </c>
      <c r="AN8" s="73" t="s">
        <v>75</v>
      </c>
      <c r="AO8" s="73" t="s">
        <v>75</v>
      </c>
      <c r="AP8" s="72">
        <v>0.222</v>
      </c>
      <c r="AQ8" s="73" t="s">
        <v>75</v>
      </c>
      <c r="AR8" s="72">
        <f t="shared" si="2"/>
        <v>0.12012987012987013</v>
      </c>
      <c r="AS8" s="73" t="s">
        <v>75</v>
      </c>
      <c r="AT8" s="72">
        <f>AP8/K8</f>
        <v>0.26974483596597815</v>
      </c>
      <c r="AU8" s="72">
        <v>0.106</v>
      </c>
      <c r="AV8" s="72">
        <v>0.13600000000000001</v>
      </c>
      <c r="AW8" s="72">
        <f t="shared" ref="AW8" si="14">AU8/AV8</f>
        <v>0.77941176470588225</v>
      </c>
      <c r="AX8" s="82">
        <f t="shared" ref="AX8" si="15">AP8/AU8</f>
        <v>2.0943396226415096</v>
      </c>
      <c r="AY8" s="73" t="s">
        <v>75</v>
      </c>
      <c r="AZ8" s="134" t="s">
        <v>75</v>
      </c>
      <c r="BA8" s="73" t="s">
        <v>75</v>
      </c>
      <c r="BB8" s="73" t="s">
        <v>75</v>
      </c>
      <c r="BC8" s="74" t="s">
        <v>75</v>
      </c>
      <c r="BD8" s="5"/>
    </row>
    <row r="9" spans="2:56" ht="12.75" customHeight="1" x14ac:dyDescent="0.2">
      <c r="B9" s="159">
        <v>14729</v>
      </c>
      <c r="C9" s="76" t="s">
        <v>147</v>
      </c>
      <c r="D9" s="77" t="s">
        <v>142</v>
      </c>
      <c r="E9" s="17" t="s">
        <v>177</v>
      </c>
      <c r="F9" s="78">
        <v>1.8109999999999999</v>
      </c>
      <c r="G9" s="79" t="s">
        <v>75</v>
      </c>
      <c r="H9" s="79" t="s">
        <v>75</v>
      </c>
      <c r="I9" s="79" t="s">
        <v>75</v>
      </c>
      <c r="J9" s="79" t="s">
        <v>75</v>
      </c>
      <c r="K9" s="78">
        <v>0.88400000000000001</v>
      </c>
      <c r="L9" s="78">
        <v>0.61</v>
      </c>
      <c r="M9" s="78">
        <v>0.625</v>
      </c>
      <c r="N9" s="78">
        <v>0.161</v>
      </c>
      <c r="O9" s="78">
        <v>1.117</v>
      </c>
      <c r="P9" s="78">
        <f>N:N+O:O</f>
        <v>1.278</v>
      </c>
      <c r="Q9" s="80">
        <f t="shared" si="7"/>
        <v>1.4457013574660633</v>
      </c>
      <c r="R9" s="80">
        <f t="shared" si="8"/>
        <v>0.70701357466063353</v>
      </c>
      <c r="S9" s="80">
        <f t="shared" si="9"/>
        <v>0.69004524886877827</v>
      </c>
      <c r="T9" s="80">
        <f t="shared" si="10"/>
        <v>6.9378881987577641</v>
      </c>
      <c r="U9" s="79" t="s">
        <v>75</v>
      </c>
      <c r="V9" s="79" t="s">
        <v>75</v>
      </c>
      <c r="W9" s="78">
        <v>0.71399999999999997</v>
      </c>
      <c r="X9" s="78">
        <v>0.113</v>
      </c>
      <c r="Y9" s="78">
        <f t="shared" si="3"/>
        <v>6.3185840707964598</v>
      </c>
      <c r="Z9" s="79" t="s">
        <v>75</v>
      </c>
      <c r="AA9" s="78">
        <v>0.63300000000000001</v>
      </c>
      <c r="AB9" s="78">
        <f t="shared" si="0"/>
        <v>0.34953064605190504</v>
      </c>
      <c r="AC9" s="78">
        <v>1.1970000000000001</v>
      </c>
      <c r="AD9" s="78">
        <f t="shared" si="1"/>
        <v>0.66096079514080619</v>
      </c>
      <c r="AE9" s="79" t="s">
        <v>75</v>
      </c>
      <c r="AF9" s="79" t="s">
        <v>75</v>
      </c>
      <c r="AG9" s="79" t="s">
        <v>75</v>
      </c>
      <c r="AH9" s="79" t="s">
        <v>75</v>
      </c>
      <c r="AI9" s="78">
        <v>9.4E-2</v>
      </c>
      <c r="AJ9" s="79" t="s">
        <v>75</v>
      </c>
      <c r="AK9" s="79" t="s">
        <v>75</v>
      </c>
      <c r="AL9" s="79" t="s">
        <v>75</v>
      </c>
      <c r="AM9" s="78">
        <f t="shared" ref="AM9:AM34" si="16">AI9/N9</f>
        <v>0.58385093167701863</v>
      </c>
      <c r="AN9" s="78">
        <f t="shared" ref="AN9:AN34" si="17">AI9/K9</f>
        <v>0.10633484162895927</v>
      </c>
      <c r="AO9" s="78">
        <f t="shared" ref="AO9:AO34" si="18">AI9/AP9</f>
        <v>0.38056680161943318</v>
      </c>
      <c r="AP9" s="78">
        <v>0.247</v>
      </c>
      <c r="AQ9" s="79" t="s">
        <v>75</v>
      </c>
      <c r="AR9" s="78">
        <f t="shared" si="2"/>
        <v>0.13638873550524572</v>
      </c>
      <c r="AS9" s="79" t="s">
        <v>75</v>
      </c>
      <c r="AT9" s="78">
        <f t="shared" si="11"/>
        <v>0.27941176470588236</v>
      </c>
      <c r="AU9" s="79" t="s">
        <v>75</v>
      </c>
      <c r="AV9" s="79" t="s">
        <v>75</v>
      </c>
      <c r="AW9" s="79" t="s">
        <v>75</v>
      </c>
      <c r="AX9" s="79" t="s">
        <v>75</v>
      </c>
      <c r="AY9" s="79" t="s">
        <v>75</v>
      </c>
      <c r="AZ9" s="135" t="s">
        <v>75</v>
      </c>
      <c r="BA9" s="79" t="s">
        <v>75</v>
      </c>
      <c r="BB9" s="79" t="s">
        <v>75</v>
      </c>
      <c r="BC9" s="81" t="s">
        <v>75</v>
      </c>
      <c r="BD9" s="5"/>
    </row>
    <row r="10" spans="2:56" ht="12.75" customHeight="1" x14ac:dyDescent="0.2">
      <c r="B10" s="75"/>
      <c r="C10" s="76"/>
      <c r="D10" s="77"/>
      <c r="E10" s="17"/>
      <c r="F10" s="78">
        <v>1.8109999999999999</v>
      </c>
      <c r="G10" s="79" t="s">
        <v>75</v>
      </c>
      <c r="H10" s="79" t="s">
        <v>75</v>
      </c>
      <c r="I10" s="79" t="s">
        <v>75</v>
      </c>
      <c r="J10" s="79" t="s">
        <v>75</v>
      </c>
      <c r="K10" s="78">
        <v>0.86299999999999999</v>
      </c>
      <c r="L10" s="78">
        <v>0.623</v>
      </c>
      <c r="M10" s="78">
        <v>0.64200000000000002</v>
      </c>
      <c r="N10" s="79" t="s">
        <v>75</v>
      </c>
      <c r="O10" s="79" t="s">
        <v>75</v>
      </c>
      <c r="P10" s="79" t="s">
        <v>75</v>
      </c>
      <c r="Q10" s="79" t="s">
        <v>75</v>
      </c>
      <c r="R10" s="80">
        <f t="shared" si="8"/>
        <v>0.74391657010428736</v>
      </c>
      <c r="S10" s="80">
        <f t="shared" si="9"/>
        <v>0.72190034762456545</v>
      </c>
      <c r="T10" s="79" t="s">
        <v>75</v>
      </c>
      <c r="U10" s="79" t="s">
        <v>75</v>
      </c>
      <c r="V10" s="79" t="s">
        <v>75</v>
      </c>
      <c r="W10" s="79" t="s">
        <v>75</v>
      </c>
      <c r="X10" s="78">
        <v>0.112</v>
      </c>
      <c r="Y10" s="79" t="s">
        <v>75</v>
      </c>
      <c r="Z10" s="79" t="s">
        <v>75</v>
      </c>
      <c r="AA10" s="78">
        <v>0.61499999999999999</v>
      </c>
      <c r="AB10" s="78">
        <f t="shared" si="0"/>
        <v>0.3395913859745997</v>
      </c>
      <c r="AC10" s="79" t="s">
        <v>75</v>
      </c>
      <c r="AD10" s="79" t="s">
        <v>75</v>
      </c>
      <c r="AE10" s="79" t="s">
        <v>75</v>
      </c>
      <c r="AF10" s="79" t="s">
        <v>75</v>
      </c>
      <c r="AG10" s="79" t="s">
        <v>75</v>
      </c>
      <c r="AH10" s="79" t="s">
        <v>75</v>
      </c>
      <c r="AI10" s="78">
        <v>9.4E-2</v>
      </c>
      <c r="AJ10" s="79" t="s">
        <v>75</v>
      </c>
      <c r="AK10" s="79" t="s">
        <v>75</v>
      </c>
      <c r="AL10" s="79" t="s">
        <v>75</v>
      </c>
      <c r="AM10" s="79" t="s">
        <v>75</v>
      </c>
      <c r="AN10" s="78">
        <f t="shared" si="17"/>
        <v>0.10892236384704519</v>
      </c>
      <c r="AO10" s="78">
        <f t="shared" si="18"/>
        <v>0.42342342342342343</v>
      </c>
      <c r="AP10" s="78">
        <v>0.222</v>
      </c>
      <c r="AQ10" s="79" t="s">
        <v>75</v>
      </c>
      <c r="AR10" s="78">
        <f t="shared" si="2"/>
        <v>0.1225842076200994</v>
      </c>
      <c r="AS10" s="79" t="s">
        <v>75</v>
      </c>
      <c r="AT10" s="78">
        <f t="shared" si="11"/>
        <v>0.25724217844727693</v>
      </c>
      <c r="AU10" s="79" t="s">
        <v>75</v>
      </c>
      <c r="AV10" s="79" t="s">
        <v>75</v>
      </c>
      <c r="AW10" s="79" t="s">
        <v>75</v>
      </c>
      <c r="AX10" s="79" t="s">
        <v>75</v>
      </c>
      <c r="AY10" s="79" t="s">
        <v>75</v>
      </c>
      <c r="AZ10" s="135" t="s">
        <v>75</v>
      </c>
      <c r="BA10" s="79" t="s">
        <v>75</v>
      </c>
      <c r="BB10" s="79" t="s">
        <v>75</v>
      </c>
      <c r="BC10" s="81" t="s">
        <v>75</v>
      </c>
      <c r="BD10" s="5"/>
    </row>
    <row r="11" spans="2:56" ht="12.75" customHeight="1" x14ac:dyDescent="0.2">
      <c r="B11" s="83">
        <v>31678</v>
      </c>
      <c r="C11" s="70" t="s">
        <v>147</v>
      </c>
      <c r="D11" s="71" t="s">
        <v>143</v>
      </c>
      <c r="E11" s="11" t="s">
        <v>178</v>
      </c>
      <c r="F11" s="72">
        <f>1.088+1.33</f>
        <v>2.4180000000000001</v>
      </c>
      <c r="G11" s="73" t="s">
        <v>75</v>
      </c>
      <c r="H11" s="73" t="s">
        <v>75</v>
      </c>
      <c r="I11" s="72">
        <v>0.11</v>
      </c>
      <c r="J11" s="72">
        <v>0.6</v>
      </c>
      <c r="K11" s="72">
        <v>0.98</v>
      </c>
      <c r="L11" s="72">
        <v>0.71</v>
      </c>
      <c r="M11" s="72">
        <v>0.69</v>
      </c>
      <c r="N11" s="72">
        <v>0.14000000000000001</v>
      </c>
      <c r="O11" s="73" t="s">
        <v>75</v>
      </c>
      <c r="P11" s="73" t="s">
        <v>75</v>
      </c>
      <c r="Q11" s="73" t="s">
        <v>75</v>
      </c>
      <c r="R11" s="82">
        <f t="shared" si="8"/>
        <v>0.70408163265306123</v>
      </c>
      <c r="S11" s="82">
        <f t="shared" si="9"/>
        <v>0.72448979591836737</v>
      </c>
      <c r="T11" s="73" t="s">
        <v>75</v>
      </c>
      <c r="U11" s="72">
        <v>0.31</v>
      </c>
      <c r="V11" s="73" t="s">
        <v>75</v>
      </c>
      <c r="W11" s="73" t="s">
        <v>75</v>
      </c>
      <c r="X11" s="73" t="s">
        <v>75</v>
      </c>
      <c r="Y11" s="73" t="s">
        <v>75</v>
      </c>
      <c r="Z11" s="73" t="s">
        <v>75</v>
      </c>
      <c r="AA11" s="72">
        <v>0.63</v>
      </c>
      <c r="AB11" s="72">
        <f t="shared" si="0"/>
        <v>0.26054590570719599</v>
      </c>
      <c r="AC11" s="72">
        <v>1.26</v>
      </c>
      <c r="AD11" s="72">
        <f t="shared" si="1"/>
        <v>0.52109181141439198</v>
      </c>
      <c r="AE11" s="72">
        <v>0.124</v>
      </c>
      <c r="AF11" s="72">
        <f t="shared" ref="AF11:AF34" si="19">AE11/K11</f>
        <v>0.12653061224489795</v>
      </c>
      <c r="AG11" s="73" t="s">
        <v>75</v>
      </c>
      <c r="AH11" s="72">
        <f t="shared" ref="AH11:AH34" si="20">AE11/N11</f>
        <v>0.88571428571428568</v>
      </c>
      <c r="AI11" s="72">
        <v>9.9000000000000005E-2</v>
      </c>
      <c r="AJ11" s="72">
        <v>0.06</v>
      </c>
      <c r="AK11" s="72">
        <f t="shared" ref="AK11:AK34" si="21">AI11/AJ11</f>
        <v>1.6500000000000001</v>
      </c>
      <c r="AL11" s="72">
        <f t="shared" ref="AL11:AL34" si="22">AI11/AE11</f>
        <v>0.79838709677419362</v>
      </c>
      <c r="AM11" s="72">
        <f t="shared" si="16"/>
        <v>0.70714285714285707</v>
      </c>
      <c r="AN11" s="72">
        <f t="shared" si="17"/>
        <v>0.10102040816326531</v>
      </c>
      <c r="AO11" s="72">
        <f t="shared" si="18"/>
        <v>0.44394618834080718</v>
      </c>
      <c r="AP11" s="72">
        <v>0.223</v>
      </c>
      <c r="AQ11" s="72">
        <v>0.13</v>
      </c>
      <c r="AR11" s="72">
        <f t="shared" si="2"/>
        <v>9.2224979321753511E-2</v>
      </c>
      <c r="AS11" s="72">
        <f>AP11/AQ11</f>
        <v>1.7153846153846153</v>
      </c>
      <c r="AT11" s="72">
        <f t="shared" si="11"/>
        <v>0.22755102040816327</v>
      </c>
      <c r="AU11" s="72">
        <v>0.16800000000000001</v>
      </c>
      <c r="AV11" s="72">
        <v>0.14199999999999999</v>
      </c>
      <c r="AW11" s="72">
        <f t="shared" si="4"/>
        <v>1.183098591549296</v>
      </c>
      <c r="AX11" s="82">
        <f t="shared" si="5"/>
        <v>1.3273809523809523</v>
      </c>
      <c r="AY11" s="84">
        <v>4</v>
      </c>
      <c r="AZ11" s="136">
        <v>11</v>
      </c>
      <c r="BA11" s="84">
        <v>4</v>
      </c>
      <c r="BB11" s="84">
        <v>6</v>
      </c>
      <c r="BC11" s="85">
        <v>7</v>
      </c>
      <c r="BD11" s="5"/>
    </row>
    <row r="12" spans="2:56" ht="12.75" customHeight="1" x14ac:dyDescent="0.2">
      <c r="B12" s="69"/>
      <c r="C12" s="70"/>
      <c r="D12" s="71"/>
      <c r="E12" s="11"/>
      <c r="F12" s="72">
        <f>1.088+1.33</f>
        <v>2.4180000000000001</v>
      </c>
      <c r="G12" s="82">
        <f>I12+J12+K12+L12+M12+N12+O12</f>
        <v>4.1099999999999994</v>
      </c>
      <c r="H12" s="82">
        <f>G12/F12</f>
        <v>1.6997518610421833</v>
      </c>
      <c r="I12" s="72">
        <v>0.1</v>
      </c>
      <c r="J12" s="72">
        <v>0.57999999999999996</v>
      </c>
      <c r="K12" s="72">
        <v>0.96</v>
      </c>
      <c r="L12" s="72">
        <v>0.72</v>
      </c>
      <c r="M12" s="72">
        <v>0.7</v>
      </c>
      <c r="N12" s="72">
        <v>0.15</v>
      </c>
      <c r="O12" s="72">
        <v>0.9</v>
      </c>
      <c r="P12" s="72">
        <f>N:N+O:O</f>
        <v>1.05</v>
      </c>
      <c r="Q12" s="82">
        <f t="shared" si="7"/>
        <v>1.09375</v>
      </c>
      <c r="R12" s="82">
        <f t="shared" si="8"/>
        <v>0.72916666666666663</v>
      </c>
      <c r="S12" s="82">
        <f t="shared" si="9"/>
        <v>0.75</v>
      </c>
      <c r="T12" s="82">
        <f t="shared" si="10"/>
        <v>6</v>
      </c>
      <c r="U12" s="72">
        <v>0.31</v>
      </c>
      <c r="V12" s="72">
        <f t="shared" si="13"/>
        <v>13.25806451612903</v>
      </c>
      <c r="W12" s="72">
        <v>0.69</v>
      </c>
      <c r="X12" s="72">
        <v>0.13600000000000001</v>
      </c>
      <c r="Y12" s="72">
        <f t="shared" si="3"/>
        <v>5.0735294117647047</v>
      </c>
      <c r="Z12" s="72">
        <v>0.45</v>
      </c>
      <c r="AA12" s="72">
        <v>0.64</v>
      </c>
      <c r="AB12" s="72">
        <f t="shared" si="0"/>
        <v>0.26468155500413565</v>
      </c>
      <c r="AC12" s="72">
        <v>1.25</v>
      </c>
      <c r="AD12" s="72">
        <f t="shared" si="1"/>
        <v>0.51695616211745243</v>
      </c>
      <c r="AE12" s="72">
        <v>0.128</v>
      </c>
      <c r="AF12" s="72">
        <f t="shared" si="19"/>
        <v>0.13333333333333333</v>
      </c>
      <c r="AG12" s="72">
        <f t="shared" ref="AG12:AG33" si="23">AE12/P12</f>
        <v>0.1219047619047619</v>
      </c>
      <c r="AH12" s="72">
        <f t="shared" si="20"/>
        <v>0.85333333333333339</v>
      </c>
      <c r="AI12" s="72">
        <v>9.9000000000000005E-2</v>
      </c>
      <c r="AJ12" s="72">
        <v>0.06</v>
      </c>
      <c r="AK12" s="72">
        <f t="shared" si="21"/>
        <v>1.6500000000000001</v>
      </c>
      <c r="AL12" s="72">
        <f t="shared" si="22"/>
        <v>0.7734375</v>
      </c>
      <c r="AM12" s="72">
        <f t="shared" si="16"/>
        <v>0.66</v>
      </c>
      <c r="AN12" s="72">
        <f t="shared" si="17"/>
        <v>0.10312500000000001</v>
      </c>
      <c r="AO12" s="72">
        <f t="shared" si="18"/>
        <v>0.42672413793103448</v>
      </c>
      <c r="AP12" s="72">
        <v>0.23200000000000001</v>
      </c>
      <c r="AQ12" s="72">
        <v>0.123</v>
      </c>
      <c r="AR12" s="72">
        <f t="shared" si="2"/>
        <v>9.5947063688999176E-2</v>
      </c>
      <c r="AS12" s="72">
        <f t="shared" ref="AS12:AS34" si="24">AP12/AQ12</f>
        <v>1.8861788617886179</v>
      </c>
      <c r="AT12" s="72">
        <f t="shared" si="11"/>
        <v>0.2416666666666667</v>
      </c>
      <c r="AU12" s="72">
        <v>0.16800000000000001</v>
      </c>
      <c r="AV12" s="72">
        <v>0.14199999999999999</v>
      </c>
      <c r="AW12" s="72">
        <f t="shared" ref="AW12" si="25">AU12/AV12</f>
        <v>1.183098591549296</v>
      </c>
      <c r="AX12" s="82">
        <f t="shared" ref="AX12" si="26">AP12/AU12</f>
        <v>1.3809523809523809</v>
      </c>
      <c r="AY12" s="73" t="s">
        <v>75</v>
      </c>
      <c r="AZ12" s="134">
        <v>12</v>
      </c>
      <c r="BA12" s="73" t="s">
        <v>75</v>
      </c>
      <c r="BB12" s="73" t="s">
        <v>75</v>
      </c>
      <c r="BC12" s="74" t="s">
        <v>75</v>
      </c>
      <c r="BD12" s="5"/>
    </row>
    <row r="13" spans="2:56" ht="12.75" customHeight="1" x14ac:dyDescent="0.2">
      <c r="B13" s="86">
        <v>28012</v>
      </c>
      <c r="C13" s="76" t="s">
        <v>147</v>
      </c>
      <c r="D13" s="77" t="s">
        <v>144</v>
      </c>
      <c r="E13" s="17" t="s">
        <v>175</v>
      </c>
      <c r="F13" s="78">
        <f>1.288+0.586</f>
        <v>1.8740000000000001</v>
      </c>
      <c r="G13" s="79" t="s">
        <v>75</v>
      </c>
      <c r="H13" s="79" t="s">
        <v>75</v>
      </c>
      <c r="I13" s="78">
        <v>0.1</v>
      </c>
      <c r="J13" s="78">
        <v>0.06</v>
      </c>
      <c r="K13" s="78">
        <v>0.875</v>
      </c>
      <c r="L13" s="78">
        <v>0.7</v>
      </c>
      <c r="M13" s="78">
        <v>0.63</v>
      </c>
      <c r="N13" s="78">
        <v>0.156</v>
      </c>
      <c r="O13" s="79" t="s">
        <v>75</v>
      </c>
      <c r="P13" s="79" t="s">
        <v>75</v>
      </c>
      <c r="Q13" s="79" t="s">
        <v>75</v>
      </c>
      <c r="R13" s="80">
        <f t="shared" si="8"/>
        <v>0.72</v>
      </c>
      <c r="S13" s="80">
        <f t="shared" si="9"/>
        <v>0.79999999999999993</v>
      </c>
      <c r="T13" s="79" t="s">
        <v>75</v>
      </c>
      <c r="U13" s="78">
        <v>0.3</v>
      </c>
      <c r="V13" s="79" t="s">
        <v>75</v>
      </c>
      <c r="W13" s="79" t="s">
        <v>75</v>
      </c>
      <c r="X13" s="79" t="s">
        <v>75</v>
      </c>
      <c r="Y13" s="79" t="s">
        <v>75</v>
      </c>
      <c r="Z13" s="79" t="s">
        <v>75</v>
      </c>
      <c r="AA13" s="79" t="s">
        <v>75</v>
      </c>
      <c r="AB13" s="79" t="s">
        <v>75</v>
      </c>
      <c r="AC13" s="79" t="s">
        <v>75</v>
      </c>
      <c r="AD13" s="79" t="s">
        <v>75</v>
      </c>
      <c r="AE13" s="79" t="s">
        <v>75</v>
      </c>
      <c r="AF13" s="79" t="s">
        <v>75</v>
      </c>
      <c r="AG13" s="79" t="s">
        <v>75</v>
      </c>
      <c r="AH13" s="79" t="s">
        <v>75</v>
      </c>
      <c r="AI13" s="79" t="s">
        <v>75</v>
      </c>
      <c r="AJ13" s="79" t="s">
        <v>75</v>
      </c>
      <c r="AK13" s="79" t="s">
        <v>75</v>
      </c>
      <c r="AL13" s="79" t="s">
        <v>75</v>
      </c>
      <c r="AM13" s="79" t="s">
        <v>75</v>
      </c>
      <c r="AN13" s="79" t="s">
        <v>75</v>
      </c>
      <c r="AO13" s="79" t="s">
        <v>75</v>
      </c>
      <c r="AP13" s="78">
        <v>0.183</v>
      </c>
      <c r="AQ13" s="78">
        <v>7.1999999999999995E-2</v>
      </c>
      <c r="AR13" s="78">
        <f t="shared" si="2"/>
        <v>9.7652081109925279E-2</v>
      </c>
      <c r="AS13" s="78">
        <f t="shared" si="24"/>
        <v>2.541666666666667</v>
      </c>
      <c r="AT13" s="78">
        <f t="shared" si="11"/>
        <v>0.20914285714285713</v>
      </c>
      <c r="AU13" s="78">
        <v>0.1</v>
      </c>
      <c r="AV13" s="78">
        <v>0.11899999999999999</v>
      </c>
      <c r="AW13" s="78">
        <f t="shared" si="4"/>
        <v>0.84033613445378164</v>
      </c>
      <c r="AX13" s="80">
        <f t="shared" si="5"/>
        <v>1.8299999999999998</v>
      </c>
      <c r="AY13" s="87">
        <v>3</v>
      </c>
      <c r="AZ13" s="137">
        <v>13</v>
      </c>
      <c r="BA13" s="79" t="s">
        <v>75</v>
      </c>
      <c r="BB13" s="87">
        <v>4</v>
      </c>
      <c r="BC13" s="88">
        <v>7</v>
      </c>
      <c r="BD13" s="5"/>
    </row>
    <row r="14" spans="2:56" ht="12.75" customHeight="1" x14ac:dyDescent="0.2">
      <c r="B14" s="75"/>
      <c r="C14" s="76"/>
      <c r="D14" s="77"/>
      <c r="E14" s="17"/>
      <c r="F14" s="78">
        <f>1.288+0.586</f>
        <v>1.8740000000000001</v>
      </c>
      <c r="G14" s="79" t="s">
        <v>75</v>
      </c>
      <c r="H14" s="79" t="s">
        <v>75</v>
      </c>
      <c r="I14" s="78">
        <v>9.4E-2</v>
      </c>
      <c r="J14" s="78">
        <v>0.06</v>
      </c>
      <c r="K14" s="78">
        <v>0.88600000000000001</v>
      </c>
      <c r="L14" s="78">
        <v>0.73</v>
      </c>
      <c r="M14" s="78">
        <v>0.64</v>
      </c>
      <c r="N14" s="78">
        <v>0.16300000000000001</v>
      </c>
      <c r="O14" s="79" t="s">
        <v>75</v>
      </c>
      <c r="P14" s="79" t="s">
        <v>75</v>
      </c>
      <c r="Q14" s="79" t="s">
        <v>75</v>
      </c>
      <c r="R14" s="80">
        <f t="shared" si="8"/>
        <v>0.72234762979683975</v>
      </c>
      <c r="S14" s="80">
        <f t="shared" si="9"/>
        <v>0.82392776523702027</v>
      </c>
      <c r="T14" s="79" t="s">
        <v>75</v>
      </c>
      <c r="U14" s="78">
        <v>0.3</v>
      </c>
      <c r="V14" s="79" t="s">
        <v>75</v>
      </c>
      <c r="W14" s="79" t="s">
        <v>75</v>
      </c>
      <c r="X14" s="79" t="s">
        <v>75</v>
      </c>
      <c r="Y14" s="79" t="s">
        <v>75</v>
      </c>
      <c r="Z14" s="79" t="s">
        <v>75</v>
      </c>
      <c r="AA14" s="79" t="s">
        <v>75</v>
      </c>
      <c r="AB14" s="79" t="s">
        <v>75</v>
      </c>
      <c r="AC14" s="79" t="s">
        <v>75</v>
      </c>
      <c r="AD14" s="79" t="s">
        <v>75</v>
      </c>
      <c r="AE14" s="79" t="s">
        <v>75</v>
      </c>
      <c r="AF14" s="79" t="s">
        <v>75</v>
      </c>
      <c r="AG14" s="79" t="s">
        <v>75</v>
      </c>
      <c r="AH14" s="79" t="s">
        <v>75</v>
      </c>
      <c r="AI14" s="79" t="s">
        <v>75</v>
      </c>
      <c r="AJ14" s="79" t="s">
        <v>75</v>
      </c>
      <c r="AK14" s="79" t="s">
        <v>75</v>
      </c>
      <c r="AL14" s="79" t="s">
        <v>75</v>
      </c>
      <c r="AM14" s="79" t="s">
        <v>75</v>
      </c>
      <c r="AN14" s="79" t="s">
        <v>75</v>
      </c>
      <c r="AO14" s="79" t="s">
        <v>75</v>
      </c>
      <c r="AP14" s="78">
        <v>0.2</v>
      </c>
      <c r="AQ14" s="78">
        <v>7.1999999999999995E-2</v>
      </c>
      <c r="AR14" s="78">
        <f t="shared" si="2"/>
        <v>0.10672358591248667</v>
      </c>
      <c r="AS14" s="78">
        <f t="shared" si="24"/>
        <v>2.7777777777777781</v>
      </c>
      <c r="AT14" s="78">
        <f t="shared" si="11"/>
        <v>0.22573363431151242</v>
      </c>
      <c r="AU14" s="79" t="s">
        <v>75</v>
      </c>
      <c r="AV14" s="79" t="s">
        <v>75</v>
      </c>
      <c r="AW14" s="79" t="s">
        <v>75</v>
      </c>
      <c r="AX14" s="79" t="s">
        <v>75</v>
      </c>
      <c r="AY14" s="79" t="s">
        <v>75</v>
      </c>
      <c r="AZ14" s="135" t="s">
        <v>75</v>
      </c>
      <c r="BA14" s="79" t="s">
        <v>75</v>
      </c>
      <c r="BB14" s="79" t="s">
        <v>75</v>
      </c>
      <c r="BC14" s="81" t="s">
        <v>75</v>
      </c>
      <c r="BD14" s="5"/>
    </row>
    <row r="15" spans="2:56" ht="12.75" customHeight="1" x14ac:dyDescent="0.2">
      <c r="B15" s="83">
        <v>28012</v>
      </c>
      <c r="C15" s="70" t="s">
        <v>147</v>
      </c>
      <c r="D15" s="71" t="s">
        <v>144</v>
      </c>
      <c r="E15" s="11" t="s">
        <v>175</v>
      </c>
      <c r="F15" s="72">
        <f>1.305+0.625</f>
        <v>1.93</v>
      </c>
      <c r="G15" s="82">
        <f>I15+J15+K15+L15+M15+N15+O15</f>
        <v>3.59</v>
      </c>
      <c r="H15" s="82">
        <f>G15/F15</f>
        <v>1.8601036269430051</v>
      </c>
      <c r="I15" s="72">
        <v>0.1</v>
      </c>
      <c r="J15" s="72">
        <v>5.8000000000000003E-2</v>
      </c>
      <c r="K15" s="72">
        <v>0.91900000000000004</v>
      </c>
      <c r="L15" s="72">
        <v>0.68</v>
      </c>
      <c r="M15" s="72">
        <v>0.69</v>
      </c>
      <c r="N15" s="72">
        <v>0.153</v>
      </c>
      <c r="O15" s="72">
        <v>0.99</v>
      </c>
      <c r="P15" s="72">
        <f>N:N+O:O</f>
        <v>1.143</v>
      </c>
      <c r="Q15" s="82">
        <f t="shared" si="7"/>
        <v>1.2437431991294885</v>
      </c>
      <c r="R15" s="82">
        <f t="shared" si="8"/>
        <v>0.75081610446137093</v>
      </c>
      <c r="S15" s="82">
        <f t="shared" si="9"/>
        <v>0.73993471164309033</v>
      </c>
      <c r="T15" s="82">
        <f t="shared" si="10"/>
        <v>6.4705882352941178</v>
      </c>
      <c r="U15" s="72">
        <v>0.38600000000000001</v>
      </c>
      <c r="V15" s="72">
        <f t="shared" si="13"/>
        <v>9.3005181347150252</v>
      </c>
      <c r="W15" s="72">
        <v>0.57299999999999995</v>
      </c>
      <c r="X15" s="72">
        <v>0.109</v>
      </c>
      <c r="Y15" s="72">
        <f t="shared" si="3"/>
        <v>5.2568807339449535</v>
      </c>
      <c r="Z15" s="72">
        <v>0.44</v>
      </c>
      <c r="AA15" s="72">
        <v>0.58199999999999996</v>
      </c>
      <c r="AB15" s="72">
        <f t="shared" si="0"/>
        <v>0.30155440414507773</v>
      </c>
      <c r="AC15" s="72">
        <v>1.1399999999999999</v>
      </c>
      <c r="AD15" s="72">
        <f t="shared" si="1"/>
        <v>0.59067357512953367</v>
      </c>
      <c r="AE15" s="72">
        <v>0.114</v>
      </c>
      <c r="AF15" s="72">
        <f t="shared" si="19"/>
        <v>0.12404787812840043</v>
      </c>
      <c r="AG15" s="72">
        <f t="shared" si="23"/>
        <v>9.9737532808398949E-2</v>
      </c>
      <c r="AH15" s="72">
        <f t="shared" si="20"/>
        <v>0.74509803921568629</v>
      </c>
      <c r="AI15" s="72">
        <v>9.9000000000000005E-2</v>
      </c>
      <c r="AJ15" s="72">
        <v>5.7000000000000002E-2</v>
      </c>
      <c r="AK15" s="72">
        <f t="shared" si="21"/>
        <v>1.736842105263158</v>
      </c>
      <c r="AL15" s="72">
        <f t="shared" si="22"/>
        <v>0.86842105263157898</v>
      </c>
      <c r="AM15" s="72">
        <f t="shared" si="16"/>
        <v>0.6470588235294118</v>
      </c>
      <c r="AN15" s="72">
        <f t="shared" si="17"/>
        <v>0.10772578890097932</v>
      </c>
      <c r="AO15" s="72">
        <f t="shared" si="18"/>
        <v>0.44394618834080718</v>
      </c>
      <c r="AP15" s="72">
        <v>0.223</v>
      </c>
      <c r="AQ15" s="72">
        <v>8.3000000000000004E-2</v>
      </c>
      <c r="AR15" s="72">
        <f t="shared" si="2"/>
        <v>0.11554404145077721</v>
      </c>
      <c r="AS15" s="72">
        <f t="shared" si="24"/>
        <v>2.6867469879518073</v>
      </c>
      <c r="AT15" s="72">
        <f t="shared" si="11"/>
        <v>0.2426550598476605</v>
      </c>
      <c r="AU15" s="72">
        <v>0.104</v>
      </c>
      <c r="AV15" s="72">
        <v>0.14000000000000001</v>
      </c>
      <c r="AW15" s="72">
        <f t="shared" si="4"/>
        <v>0.74285714285714277</v>
      </c>
      <c r="AX15" s="82">
        <f t="shared" si="5"/>
        <v>2.1442307692307692</v>
      </c>
      <c r="AY15" s="84">
        <v>3</v>
      </c>
      <c r="AZ15" s="136">
        <v>10</v>
      </c>
      <c r="BA15" s="73" t="s">
        <v>75</v>
      </c>
      <c r="BB15" s="84">
        <v>6</v>
      </c>
      <c r="BC15" s="85">
        <v>7</v>
      </c>
      <c r="BD15" s="5"/>
    </row>
    <row r="16" spans="2:56" ht="12.75" customHeight="1" x14ac:dyDescent="0.2">
      <c r="B16" s="69"/>
      <c r="C16" s="70"/>
      <c r="D16" s="71"/>
      <c r="E16" s="11"/>
      <c r="F16" s="72">
        <f>1.305+0.625</f>
        <v>1.93</v>
      </c>
      <c r="G16" s="82">
        <f>I16+J16+K16+L16+M16+N16+O16</f>
        <v>3.6850000000000001</v>
      </c>
      <c r="H16" s="82">
        <f>G16/F16</f>
        <v>1.9093264248704664</v>
      </c>
      <c r="I16" s="72">
        <v>0.105</v>
      </c>
      <c r="J16" s="72">
        <v>6.4000000000000001E-2</v>
      </c>
      <c r="K16" s="72">
        <v>0.9</v>
      </c>
      <c r="L16" s="72">
        <v>0.65</v>
      </c>
      <c r="M16" s="72">
        <v>0.64</v>
      </c>
      <c r="N16" s="72">
        <v>0.17299999999999999</v>
      </c>
      <c r="O16" s="72">
        <f>0.813+0.34</f>
        <v>1.153</v>
      </c>
      <c r="P16" s="72">
        <f>N:N+O:O</f>
        <v>1.3260000000000001</v>
      </c>
      <c r="Q16" s="82">
        <f t="shared" si="7"/>
        <v>1.4733333333333334</v>
      </c>
      <c r="R16" s="82">
        <f t="shared" si="8"/>
        <v>0.71111111111111114</v>
      </c>
      <c r="S16" s="82">
        <f t="shared" si="9"/>
        <v>0.72222222222222221</v>
      </c>
      <c r="T16" s="82">
        <f t="shared" si="10"/>
        <v>6.6647398843930645</v>
      </c>
      <c r="U16" s="72">
        <v>0.38600000000000001</v>
      </c>
      <c r="V16" s="72">
        <f t="shared" si="13"/>
        <v>9.5466321243523318</v>
      </c>
      <c r="W16" s="72">
        <v>0.57399999999999995</v>
      </c>
      <c r="X16" s="72">
        <v>0.11</v>
      </c>
      <c r="Y16" s="72">
        <f t="shared" si="3"/>
        <v>5.2181818181818178</v>
      </c>
      <c r="Z16" s="73" t="s">
        <v>75</v>
      </c>
      <c r="AA16" s="72">
        <v>0.59599999999999997</v>
      </c>
      <c r="AB16" s="72">
        <f t="shared" si="0"/>
        <v>0.30880829015544042</v>
      </c>
      <c r="AC16" s="72">
        <v>1.1599999999999999</v>
      </c>
      <c r="AD16" s="72">
        <f t="shared" si="1"/>
        <v>0.60103626943005184</v>
      </c>
      <c r="AE16" s="72">
        <v>0.11700000000000001</v>
      </c>
      <c r="AF16" s="72">
        <f t="shared" si="19"/>
        <v>0.13</v>
      </c>
      <c r="AG16" s="72">
        <f t="shared" si="23"/>
        <v>8.8235294117647065E-2</v>
      </c>
      <c r="AH16" s="72">
        <f t="shared" si="20"/>
        <v>0.67630057803468213</v>
      </c>
      <c r="AI16" s="72">
        <v>9.9000000000000005E-2</v>
      </c>
      <c r="AJ16" s="72">
        <v>5.7000000000000002E-2</v>
      </c>
      <c r="AK16" s="72">
        <f t="shared" si="21"/>
        <v>1.736842105263158</v>
      </c>
      <c r="AL16" s="72">
        <f t="shared" si="22"/>
        <v>0.84615384615384615</v>
      </c>
      <c r="AM16" s="72">
        <f t="shared" si="16"/>
        <v>0.57225433526011571</v>
      </c>
      <c r="AN16" s="72">
        <f t="shared" si="17"/>
        <v>0.11</v>
      </c>
      <c r="AO16" s="72">
        <f t="shared" si="18"/>
        <v>0.47826086956521746</v>
      </c>
      <c r="AP16" s="72">
        <v>0.20699999999999999</v>
      </c>
      <c r="AQ16" s="72">
        <v>7.0000000000000007E-2</v>
      </c>
      <c r="AR16" s="72">
        <f t="shared" si="2"/>
        <v>0.10725388601036269</v>
      </c>
      <c r="AS16" s="72">
        <f t="shared" si="24"/>
        <v>2.9571428571428569</v>
      </c>
      <c r="AT16" s="72">
        <f t="shared" si="11"/>
        <v>0.22999999999999998</v>
      </c>
      <c r="AU16" s="72">
        <v>0.104</v>
      </c>
      <c r="AV16" s="72">
        <v>0.14000000000000001</v>
      </c>
      <c r="AW16" s="72">
        <f t="shared" ref="AW16" si="27">AU16/AV16</f>
        <v>0.74285714285714277</v>
      </c>
      <c r="AX16" s="82">
        <f t="shared" ref="AX16" si="28">AP16/AU16</f>
        <v>1.9903846153846154</v>
      </c>
      <c r="AY16" s="73" t="s">
        <v>75</v>
      </c>
      <c r="AZ16" s="134">
        <v>11</v>
      </c>
      <c r="BA16" s="73" t="s">
        <v>75</v>
      </c>
      <c r="BB16" s="73" t="s">
        <v>75</v>
      </c>
      <c r="BC16" s="74" t="s">
        <v>75</v>
      </c>
      <c r="BD16" s="5"/>
    </row>
    <row r="17" spans="2:56" ht="12.75" customHeight="1" x14ac:dyDescent="0.2">
      <c r="B17" s="86">
        <v>31678</v>
      </c>
      <c r="C17" s="76" t="s">
        <v>147</v>
      </c>
      <c r="D17" s="77" t="s">
        <v>143</v>
      </c>
      <c r="E17" s="17" t="s">
        <v>178</v>
      </c>
      <c r="F17" s="78">
        <f>1.094+1.406</f>
        <v>2.5</v>
      </c>
      <c r="G17" s="79" t="s">
        <v>75</v>
      </c>
      <c r="H17" s="79" t="s">
        <v>75</v>
      </c>
      <c r="I17" s="78">
        <v>0.108</v>
      </c>
      <c r="J17" s="78">
        <v>6.8000000000000005E-2</v>
      </c>
      <c r="K17" s="78">
        <v>0.92</v>
      </c>
      <c r="L17" s="78">
        <v>0.71</v>
      </c>
      <c r="M17" s="79" t="s">
        <v>75</v>
      </c>
      <c r="N17" s="79" t="s">
        <v>75</v>
      </c>
      <c r="O17" s="79" t="s">
        <v>75</v>
      </c>
      <c r="P17" s="79" t="s">
        <v>75</v>
      </c>
      <c r="Q17" s="79" t="s">
        <v>75</v>
      </c>
      <c r="R17" s="79" t="s">
        <v>75</v>
      </c>
      <c r="S17" s="80">
        <f t="shared" si="9"/>
        <v>0.77173913043478248</v>
      </c>
      <c r="T17" s="79" t="s">
        <v>75</v>
      </c>
      <c r="U17" s="78">
        <v>0.33</v>
      </c>
      <c r="V17" s="79" t="s">
        <v>75</v>
      </c>
      <c r="W17" s="78">
        <v>0.66900000000000004</v>
      </c>
      <c r="X17" s="78">
        <v>0.13500000000000001</v>
      </c>
      <c r="Y17" s="78">
        <f t="shared" si="3"/>
        <v>4.9555555555555557</v>
      </c>
      <c r="Z17" s="78">
        <v>0.44</v>
      </c>
      <c r="AA17" s="78">
        <v>0.65</v>
      </c>
      <c r="AB17" s="78">
        <f t="shared" si="0"/>
        <v>0.26</v>
      </c>
      <c r="AC17" s="78">
        <v>1.24</v>
      </c>
      <c r="AD17" s="78">
        <f t="shared" si="1"/>
        <v>0.496</v>
      </c>
      <c r="AE17" s="78">
        <v>0.106</v>
      </c>
      <c r="AF17" s="78">
        <f t="shared" si="19"/>
        <v>0.11521739130434781</v>
      </c>
      <c r="AG17" s="79" t="s">
        <v>75</v>
      </c>
      <c r="AH17" s="79" t="s">
        <v>75</v>
      </c>
      <c r="AI17" s="79" t="s">
        <v>75</v>
      </c>
      <c r="AJ17" s="79" t="s">
        <v>75</v>
      </c>
      <c r="AK17" s="79" t="s">
        <v>75</v>
      </c>
      <c r="AL17" s="79" t="s">
        <v>75</v>
      </c>
      <c r="AM17" s="79" t="s">
        <v>75</v>
      </c>
      <c r="AN17" s="79" t="s">
        <v>75</v>
      </c>
      <c r="AO17" s="79" t="s">
        <v>75</v>
      </c>
      <c r="AP17" s="78">
        <v>0.20899999999999999</v>
      </c>
      <c r="AQ17" s="78">
        <v>0.12</v>
      </c>
      <c r="AR17" s="78">
        <f t="shared" si="2"/>
        <v>8.3599999999999994E-2</v>
      </c>
      <c r="AS17" s="78">
        <f t="shared" si="24"/>
        <v>1.7416666666666667</v>
      </c>
      <c r="AT17" s="78">
        <f t="shared" si="11"/>
        <v>0.22717391304347825</v>
      </c>
      <c r="AU17" s="78">
        <v>8.5999999999999993E-2</v>
      </c>
      <c r="AV17" s="78">
        <v>9.4E-2</v>
      </c>
      <c r="AW17" s="78">
        <f t="shared" si="4"/>
        <v>0.91489361702127647</v>
      </c>
      <c r="AX17" s="80">
        <f t="shared" si="5"/>
        <v>2.4302325581395348</v>
      </c>
      <c r="AY17" s="87">
        <v>3</v>
      </c>
      <c r="AZ17" s="137">
        <v>7</v>
      </c>
      <c r="BA17" s="79" t="s">
        <v>75</v>
      </c>
      <c r="BB17" s="87">
        <v>6</v>
      </c>
      <c r="BC17" s="88">
        <v>8</v>
      </c>
      <c r="BD17" s="5"/>
    </row>
    <row r="18" spans="2:56" ht="12.75" customHeight="1" x14ac:dyDescent="0.2">
      <c r="B18" s="75"/>
      <c r="C18" s="76"/>
      <c r="D18" s="77"/>
      <c r="E18" s="17"/>
      <c r="F18" s="78">
        <f>1.094+1.406</f>
        <v>2.5</v>
      </c>
      <c r="G18" s="79" t="s">
        <v>75</v>
      </c>
      <c r="H18" s="79" t="s">
        <v>75</v>
      </c>
      <c r="I18" s="78">
        <v>0.104</v>
      </c>
      <c r="J18" s="78">
        <v>6.4000000000000001E-2</v>
      </c>
      <c r="K18" s="78">
        <v>0.93</v>
      </c>
      <c r="L18" s="78">
        <v>0.7</v>
      </c>
      <c r="M18" s="78">
        <v>0.7</v>
      </c>
      <c r="N18" s="78">
        <v>0.156</v>
      </c>
      <c r="O18" s="79" t="s">
        <v>75</v>
      </c>
      <c r="P18" s="79" t="s">
        <v>75</v>
      </c>
      <c r="Q18" s="79" t="s">
        <v>75</v>
      </c>
      <c r="R18" s="80">
        <f t="shared" si="8"/>
        <v>0.75268817204301064</v>
      </c>
      <c r="S18" s="80">
        <f t="shared" si="9"/>
        <v>0.75268817204301064</v>
      </c>
      <c r="T18" s="79" t="s">
        <v>75</v>
      </c>
      <c r="U18" s="78">
        <v>0.33</v>
      </c>
      <c r="V18" s="79" t="s">
        <v>75</v>
      </c>
      <c r="W18" s="78">
        <v>0.69499999999999995</v>
      </c>
      <c r="X18" s="78">
        <v>0.13600000000000001</v>
      </c>
      <c r="Y18" s="78">
        <f t="shared" si="3"/>
        <v>5.110294117647058</v>
      </c>
      <c r="Z18" s="79" t="s">
        <v>75</v>
      </c>
      <c r="AA18" s="78">
        <v>0.63</v>
      </c>
      <c r="AB18" s="78">
        <f t="shared" si="0"/>
        <v>0.252</v>
      </c>
      <c r="AC18" s="78">
        <v>1.26</v>
      </c>
      <c r="AD18" s="78">
        <f t="shared" si="1"/>
        <v>0.504</v>
      </c>
      <c r="AE18" s="79" t="s">
        <v>75</v>
      </c>
      <c r="AF18" s="79" t="s">
        <v>75</v>
      </c>
      <c r="AG18" s="79" t="s">
        <v>75</v>
      </c>
      <c r="AH18" s="79" t="s">
        <v>75</v>
      </c>
      <c r="AI18" s="79" t="s">
        <v>75</v>
      </c>
      <c r="AJ18" s="79" t="s">
        <v>75</v>
      </c>
      <c r="AK18" s="79" t="s">
        <v>75</v>
      </c>
      <c r="AL18" s="79" t="s">
        <v>75</v>
      </c>
      <c r="AM18" s="79" t="s">
        <v>75</v>
      </c>
      <c r="AN18" s="79" t="s">
        <v>75</v>
      </c>
      <c r="AO18" s="79" t="s">
        <v>75</v>
      </c>
      <c r="AP18" s="78">
        <v>0.22600000000000001</v>
      </c>
      <c r="AQ18" s="78">
        <v>0.12</v>
      </c>
      <c r="AR18" s="78">
        <f t="shared" si="2"/>
        <v>9.0400000000000008E-2</v>
      </c>
      <c r="AS18" s="78">
        <f t="shared" si="24"/>
        <v>1.8833333333333335</v>
      </c>
      <c r="AT18" s="78">
        <f t="shared" si="11"/>
        <v>0.24301075268817204</v>
      </c>
      <c r="AU18" s="78">
        <v>8.5999999999999993E-2</v>
      </c>
      <c r="AV18" s="78">
        <v>9.4E-2</v>
      </c>
      <c r="AW18" s="78">
        <f t="shared" ref="AW18" si="29">AU18/AV18</f>
        <v>0.91489361702127647</v>
      </c>
      <c r="AX18" s="80">
        <f t="shared" ref="AX18" si="30">AP18/AU18</f>
        <v>2.6279069767441863</v>
      </c>
      <c r="AY18" s="79" t="s">
        <v>75</v>
      </c>
      <c r="AZ18" s="135">
        <v>8</v>
      </c>
      <c r="BA18" s="79" t="s">
        <v>75</v>
      </c>
      <c r="BB18" s="79" t="s">
        <v>75</v>
      </c>
      <c r="BC18" s="81" t="s">
        <v>75</v>
      </c>
      <c r="BD18" s="5"/>
    </row>
    <row r="19" spans="2:56" ht="12.75" customHeight="1" x14ac:dyDescent="0.2">
      <c r="B19" s="69" t="s">
        <v>24</v>
      </c>
      <c r="C19" s="70" t="s">
        <v>147</v>
      </c>
      <c r="D19" s="71" t="s">
        <v>145</v>
      </c>
      <c r="E19" s="11" t="s">
        <v>180</v>
      </c>
      <c r="F19" s="72">
        <f>1.373+0.764</f>
        <v>2.137</v>
      </c>
      <c r="G19" s="73" t="s">
        <v>75</v>
      </c>
      <c r="H19" s="73" t="s">
        <v>75</v>
      </c>
      <c r="I19" s="72">
        <v>0.107</v>
      </c>
      <c r="J19" s="72">
        <v>5.3999999999999999E-2</v>
      </c>
      <c r="K19" s="72">
        <v>1.008</v>
      </c>
      <c r="L19" s="72">
        <v>0.66200000000000003</v>
      </c>
      <c r="M19" s="72">
        <v>0.64</v>
      </c>
      <c r="N19" s="72">
        <v>0.15</v>
      </c>
      <c r="O19" s="73" t="s">
        <v>75</v>
      </c>
      <c r="P19" s="73" t="s">
        <v>75</v>
      </c>
      <c r="Q19" s="73" t="s">
        <v>75</v>
      </c>
      <c r="R19" s="82">
        <f t="shared" si="8"/>
        <v>0.63492063492063489</v>
      </c>
      <c r="S19" s="82">
        <f t="shared" si="9"/>
        <v>0.65674603174603174</v>
      </c>
      <c r="T19" s="73" t="s">
        <v>75</v>
      </c>
      <c r="U19" s="72">
        <v>0.313</v>
      </c>
      <c r="V19" s="73" t="s">
        <v>75</v>
      </c>
      <c r="W19" s="72">
        <v>0.64300000000000002</v>
      </c>
      <c r="X19" s="72">
        <v>0.126</v>
      </c>
      <c r="Y19" s="72">
        <f t="shared" si="3"/>
        <v>5.1031746031746037</v>
      </c>
      <c r="Z19" s="72">
        <v>0.42799999999999999</v>
      </c>
      <c r="AA19" s="72">
        <v>0.61099999999999999</v>
      </c>
      <c r="AB19" s="72">
        <f t="shared" si="0"/>
        <v>0.28591483387927003</v>
      </c>
      <c r="AC19" s="72">
        <v>1.228</v>
      </c>
      <c r="AD19" s="72">
        <f t="shared" si="1"/>
        <v>0.57463734206832007</v>
      </c>
      <c r="AE19" s="72">
        <v>0.107</v>
      </c>
      <c r="AF19" s="72">
        <f t="shared" si="19"/>
        <v>0.10615079365079365</v>
      </c>
      <c r="AG19" s="73" t="s">
        <v>75</v>
      </c>
      <c r="AH19" s="72">
        <f t="shared" si="20"/>
        <v>0.71333333333333337</v>
      </c>
      <c r="AI19" s="73" t="s">
        <v>75</v>
      </c>
      <c r="AJ19" s="73" t="s">
        <v>75</v>
      </c>
      <c r="AK19" s="73" t="s">
        <v>75</v>
      </c>
      <c r="AL19" s="73" t="s">
        <v>75</v>
      </c>
      <c r="AM19" s="73" t="s">
        <v>75</v>
      </c>
      <c r="AN19" s="73" t="s">
        <v>75</v>
      </c>
      <c r="AO19" s="73" t="s">
        <v>75</v>
      </c>
      <c r="AP19" s="72">
        <v>0.19900000000000001</v>
      </c>
      <c r="AQ19" s="72">
        <v>0.161</v>
      </c>
      <c r="AR19" s="72">
        <f t="shared" si="2"/>
        <v>9.3121197941038847E-2</v>
      </c>
      <c r="AS19" s="72">
        <f t="shared" si="24"/>
        <v>1.2360248447204969</v>
      </c>
      <c r="AT19" s="72">
        <f t="shared" si="11"/>
        <v>0.19742063492063494</v>
      </c>
      <c r="AU19" s="72">
        <v>0.104</v>
      </c>
      <c r="AV19" s="72">
        <v>0.153</v>
      </c>
      <c r="AW19" s="72">
        <f t="shared" si="4"/>
        <v>0.6797385620915033</v>
      </c>
      <c r="AX19" s="82">
        <f t="shared" si="5"/>
        <v>1.9134615384615385</v>
      </c>
      <c r="AY19" s="84">
        <v>4</v>
      </c>
      <c r="AZ19" s="136">
        <v>12</v>
      </c>
      <c r="BA19" s="73" t="s">
        <v>75</v>
      </c>
      <c r="BB19" s="84">
        <v>7</v>
      </c>
      <c r="BC19" s="85">
        <v>6</v>
      </c>
      <c r="BD19" s="5"/>
    </row>
    <row r="20" spans="2:56" ht="12.75" customHeight="1" x14ac:dyDescent="0.2">
      <c r="B20" s="69"/>
      <c r="C20" s="70"/>
      <c r="D20" s="71"/>
      <c r="E20" s="11"/>
      <c r="F20" s="72">
        <f>1.373+0.764</f>
        <v>2.137</v>
      </c>
      <c r="G20" s="82">
        <f>I20+J20+K20+L20+M20+N20+O20</f>
        <v>3.8289999999999997</v>
      </c>
      <c r="H20" s="82">
        <f>G20/F20</f>
        <v>1.7917641553579784</v>
      </c>
      <c r="I20" s="72">
        <v>0.109</v>
      </c>
      <c r="J20" s="72">
        <v>5.8999999999999997E-2</v>
      </c>
      <c r="K20" s="72">
        <v>1.006</v>
      </c>
      <c r="L20" s="72">
        <v>0.66300000000000003</v>
      </c>
      <c r="M20" s="72">
        <v>0.63800000000000001</v>
      </c>
      <c r="N20" s="72">
        <v>0.15</v>
      </c>
      <c r="O20" s="72">
        <f>0.423+0.333+0.448</f>
        <v>1.204</v>
      </c>
      <c r="P20" s="72">
        <f>N:N+O:O</f>
        <v>1.3539999999999999</v>
      </c>
      <c r="Q20" s="82">
        <f t="shared" si="7"/>
        <v>1.3459244532803178</v>
      </c>
      <c r="R20" s="82">
        <f t="shared" si="8"/>
        <v>0.63419483101391649</v>
      </c>
      <c r="S20" s="82">
        <f t="shared" si="9"/>
        <v>0.65904572564612329</v>
      </c>
      <c r="T20" s="82">
        <f t="shared" si="10"/>
        <v>8.0266666666666673</v>
      </c>
      <c r="U20" s="72">
        <v>0.313</v>
      </c>
      <c r="V20" s="72">
        <f t="shared" si="13"/>
        <v>12.233226837060702</v>
      </c>
      <c r="W20" s="72">
        <v>0.65600000000000003</v>
      </c>
      <c r="X20" s="72">
        <v>0.14199999999999999</v>
      </c>
      <c r="Y20" s="72">
        <f t="shared" si="3"/>
        <v>4.6197183098591559</v>
      </c>
      <c r="Z20" s="73" t="s">
        <v>75</v>
      </c>
      <c r="AA20" s="73" t="s">
        <v>75</v>
      </c>
      <c r="AB20" s="73" t="s">
        <v>75</v>
      </c>
      <c r="AC20" s="73" t="s">
        <v>75</v>
      </c>
      <c r="AD20" s="73" t="s">
        <v>75</v>
      </c>
      <c r="AE20" s="73" t="s">
        <v>75</v>
      </c>
      <c r="AF20" s="73" t="s">
        <v>75</v>
      </c>
      <c r="AG20" s="73" t="s">
        <v>75</v>
      </c>
      <c r="AH20" s="73" t="s">
        <v>75</v>
      </c>
      <c r="AI20" s="73" t="s">
        <v>75</v>
      </c>
      <c r="AJ20" s="73" t="s">
        <v>75</v>
      </c>
      <c r="AK20" s="73" t="s">
        <v>75</v>
      </c>
      <c r="AL20" s="73" t="s">
        <v>75</v>
      </c>
      <c r="AM20" s="73" t="s">
        <v>75</v>
      </c>
      <c r="AN20" s="73" t="s">
        <v>75</v>
      </c>
      <c r="AO20" s="73" t="s">
        <v>75</v>
      </c>
      <c r="AP20" s="72">
        <v>0.224</v>
      </c>
      <c r="AQ20" s="72">
        <v>0.12</v>
      </c>
      <c r="AR20" s="72">
        <f t="shared" si="2"/>
        <v>0.10481984089845578</v>
      </c>
      <c r="AS20" s="72">
        <f t="shared" si="24"/>
        <v>1.8666666666666667</v>
      </c>
      <c r="AT20" s="72">
        <f t="shared" si="11"/>
        <v>0.22266401590457258</v>
      </c>
      <c r="AU20" s="72">
        <v>0.104</v>
      </c>
      <c r="AV20" s="72">
        <v>0.153</v>
      </c>
      <c r="AW20" s="72">
        <f t="shared" ref="AW20" si="31">AU20/AV20</f>
        <v>0.6797385620915033</v>
      </c>
      <c r="AX20" s="82">
        <f t="shared" ref="AX20" si="32">AP20/AU20</f>
        <v>2.1538461538461542</v>
      </c>
      <c r="AY20" s="73" t="s">
        <v>75</v>
      </c>
      <c r="AZ20" s="134" t="s">
        <v>75</v>
      </c>
      <c r="BA20" s="73" t="s">
        <v>75</v>
      </c>
      <c r="BB20" s="73" t="s">
        <v>75</v>
      </c>
      <c r="BC20" s="74" t="s">
        <v>75</v>
      </c>
      <c r="BD20" s="5"/>
    </row>
    <row r="21" spans="2:56" ht="12.75" customHeight="1" x14ac:dyDescent="0.2">
      <c r="B21" s="75" t="s">
        <v>24</v>
      </c>
      <c r="C21" s="76" t="s">
        <v>147</v>
      </c>
      <c r="D21" s="77" t="s">
        <v>145</v>
      </c>
      <c r="E21" s="23" t="s">
        <v>180</v>
      </c>
      <c r="F21" s="78">
        <f>1.37+0.643</f>
        <v>2.0129999999999999</v>
      </c>
      <c r="G21" s="80">
        <f>I21+J21+K21+L21+M21+N21+O21</f>
        <v>3.6179999999999999</v>
      </c>
      <c r="H21" s="80">
        <f>G21/F21</f>
        <v>1.7973174366616991</v>
      </c>
      <c r="I21" s="78">
        <v>9.8000000000000004E-2</v>
      </c>
      <c r="J21" s="78">
        <v>5.8999999999999997E-2</v>
      </c>
      <c r="K21" s="78">
        <v>0.86699999999999999</v>
      </c>
      <c r="L21" s="78">
        <v>0.66200000000000003</v>
      </c>
      <c r="M21" s="78">
        <v>0.63</v>
      </c>
      <c r="N21" s="78">
        <v>0.17</v>
      </c>
      <c r="O21" s="78">
        <f>0.992+0.14</f>
        <v>1.1320000000000001</v>
      </c>
      <c r="P21" s="78">
        <f>N:N+O:O</f>
        <v>1.302</v>
      </c>
      <c r="Q21" s="80">
        <f t="shared" si="7"/>
        <v>1.5017301038062285</v>
      </c>
      <c r="R21" s="80">
        <f t="shared" si="8"/>
        <v>0.72664359861591699</v>
      </c>
      <c r="S21" s="80">
        <f t="shared" si="9"/>
        <v>0.7635524798154556</v>
      </c>
      <c r="T21" s="80">
        <f t="shared" si="10"/>
        <v>6.658823529411765</v>
      </c>
      <c r="U21" s="78">
        <v>0.312</v>
      </c>
      <c r="V21" s="78">
        <f t="shared" si="13"/>
        <v>11.596153846153845</v>
      </c>
      <c r="W21" s="78">
        <v>0.60599999999999998</v>
      </c>
      <c r="X21" s="78">
        <v>0.12</v>
      </c>
      <c r="Y21" s="78">
        <f t="shared" si="3"/>
        <v>5.05</v>
      </c>
      <c r="Z21" s="78">
        <v>0.40100000000000002</v>
      </c>
      <c r="AA21" s="78">
        <v>0.56299999999999994</v>
      </c>
      <c r="AB21" s="78">
        <f t="shared" si="0"/>
        <v>0.27968206656731248</v>
      </c>
      <c r="AC21" s="78">
        <v>1.1659999999999999</v>
      </c>
      <c r="AD21" s="78">
        <f t="shared" si="1"/>
        <v>0.57923497267759561</v>
      </c>
      <c r="AE21" s="78">
        <v>0.108</v>
      </c>
      <c r="AF21" s="78">
        <f t="shared" si="19"/>
        <v>0.1245674740484429</v>
      </c>
      <c r="AG21" s="78">
        <f t="shared" si="23"/>
        <v>8.294930875576037E-2</v>
      </c>
      <c r="AH21" s="78">
        <f t="shared" si="20"/>
        <v>0.63529411764705879</v>
      </c>
      <c r="AI21" s="79" t="s">
        <v>75</v>
      </c>
      <c r="AJ21" s="79" t="s">
        <v>75</v>
      </c>
      <c r="AK21" s="79" t="s">
        <v>75</v>
      </c>
      <c r="AL21" s="79" t="s">
        <v>75</v>
      </c>
      <c r="AM21" s="79" t="s">
        <v>75</v>
      </c>
      <c r="AN21" s="79" t="s">
        <v>75</v>
      </c>
      <c r="AO21" s="79" t="s">
        <v>75</v>
      </c>
      <c r="AP21" s="78">
        <v>0.20399999999999999</v>
      </c>
      <c r="AQ21" s="78">
        <v>0.121</v>
      </c>
      <c r="AR21" s="78">
        <f t="shared" si="2"/>
        <v>0.10134128166915052</v>
      </c>
      <c r="AS21" s="78">
        <f t="shared" si="24"/>
        <v>1.6859504132231404</v>
      </c>
      <c r="AT21" s="78">
        <f t="shared" si="11"/>
        <v>0.23529411764705882</v>
      </c>
      <c r="AU21" s="78">
        <v>9.5000000000000001E-2</v>
      </c>
      <c r="AV21" s="78">
        <v>0.14099999999999999</v>
      </c>
      <c r="AW21" s="78">
        <f t="shared" si="4"/>
        <v>0.67375886524822703</v>
      </c>
      <c r="AX21" s="80">
        <f t="shared" si="5"/>
        <v>2.1473684210526316</v>
      </c>
      <c r="AY21" s="87">
        <v>4</v>
      </c>
      <c r="AZ21" s="137">
        <v>11</v>
      </c>
      <c r="BA21" s="79" t="s">
        <v>75</v>
      </c>
      <c r="BB21" s="87">
        <v>5</v>
      </c>
      <c r="BC21" s="88">
        <v>5</v>
      </c>
      <c r="BD21" s="5"/>
    </row>
    <row r="22" spans="2:56" ht="12.75" customHeight="1" x14ac:dyDescent="0.2">
      <c r="B22" s="75"/>
      <c r="C22" s="76"/>
      <c r="D22" s="77"/>
      <c r="E22" s="23"/>
      <c r="F22" s="78">
        <f>1.37+0.643</f>
        <v>2.0129999999999999</v>
      </c>
      <c r="G22" s="80">
        <f>I22+J22+K22+L22+M22+N22+O22</f>
        <v>3.5670000000000002</v>
      </c>
      <c r="H22" s="80">
        <f>G22/F22</f>
        <v>1.7719821162444116</v>
      </c>
      <c r="I22" s="78">
        <v>9.2999999999999999E-2</v>
      </c>
      <c r="J22" s="78">
        <v>5.5E-2</v>
      </c>
      <c r="K22" s="78">
        <v>0.872</v>
      </c>
      <c r="L22" s="78">
        <v>0.65200000000000002</v>
      </c>
      <c r="M22" s="78">
        <v>0.622</v>
      </c>
      <c r="N22" s="78">
        <v>0.16</v>
      </c>
      <c r="O22" s="78">
        <f>0.357+0.228+0.216+0.312</f>
        <v>1.113</v>
      </c>
      <c r="P22" s="78">
        <f>N:N+O:O</f>
        <v>1.2729999999999999</v>
      </c>
      <c r="Q22" s="80">
        <f t="shared" si="7"/>
        <v>1.4598623853211008</v>
      </c>
      <c r="R22" s="80">
        <f t="shared" si="8"/>
        <v>0.71330275229357798</v>
      </c>
      <c r="S22" s="80">
        <f t="shared" si="9"/>
        <v>0.74770642201834869</v>
      </c>
      <c r="T22" s="80">
        <f t="shared" si="10"/>
        <v>6.9562499999999998</v>
      </c>
      <c r="U22" s="78">
        <v>0.312</v>
      </c>
      <c r="V22" s="78">
        <f t="shared" si="13"/>
        <v>11.432692307692308</v>
      </c>
      <c r="W22" s="78">
        <v>0.61</v>
      </c>
      <c r="X22" s="78">
        <v>0.127</v>
      </c>
      <c r="Y22" s="78">
        <f t="shared" si="3"/>
        <v>4.8031496062992121</v>
      </c>
      <c r="Z22" s="79" t="s">
        <v>75</v>
      </c>
      <c r="AA22" s="78">
        <v>0.56799999999999995</v>
      </c>
      <c r="AB22" s="78">
        <f t="shared" si="0"/>
        <v>0.28216592151018377</v>
      </c>
      <c r="AC22" s="78">
        <v>1.1419999999999999</v>
      </c>
      <c r="AD22" s="78">
        <f t="shared" si="1"/>
        <v>0.5673124689518132</v>
      </c>
      <c r="AE22" s="78">
        <v>0.108</v>
      </c>
      <c r="AF22" s="78">
        <f t="shared" si="19"/>
        <v>0.1238532110091743</v>
      </c>
      <c r="AG22" s="78">
        <f t="shared" si="23"/>
        <v>8.4838963079340149E-2</v>
      </c>
      <c r="AH22" s="78">
        <f t="shared" si="20"/>
        <v>0.67499999999999993</v>
      </c>
      <c r="AI22" s="79" t="s">
        <v>75</v>
      </c>
      <c r="AJ22" s="79" t="s">
        <v>75</v>
      </c>
      <c r="AK22" s="79" t="s">
        <v>75</v>
      </c>
      <c r="AL22" s="79" t="s">
        <v>75</v>
      </c>
      <c r="AM22" s="79" t="s">
        <v>75</v>
      </c>
      <c r="AN22" s="79" t="s">
        <v>75</v>
      </c>
      <c r="AO22" s="79" t="s">
        <v>75</v>
      </c>
      <c r="AP22" s="78">
        <v>0.20899999999999999</v>
      </c>
      <c r="AQ22" s="78">
        <v>0.105</v>
      </c>
      <c r="AR22" s="78">
        <f t="shared" si="2"/>
        <v>0.10382513661202186</v>
      </c>
      <c r="AS22" s="78">
        <f t="shared" si="24"/>
        <v>1.9904761904761905</v>
      </c>
      <c r="AT22" s="78">
        <f t="shared" si="11"/>
        <v>0.23967889908256879</v>
      </c>
      <c r="AU22" s="78">
        <v>9.5000000000000001E-2</v>
      </c>
      <c r="AV22" s="78">
        <v>0.14099999999999999</v>
      </c>
      <c r="AW22" s="78">
        <f t="shared" ref="AW22" si="33">AU22/AV22</f>
        <v>0.67375886524822703</v>
      </c>
      <c r="AX22" s="80">
        <f t="shared" ref="AX22" si="34">AP22/AU22</f>
        <v>2.1999999999999997</v>
      </c>
      <c r="AY22" s="79" t="s">
        <v>75</v>
      </c>
      <c r="AZ22" s="135">
        <v>12</v>
      </c>
      <c r="BA22" s="79" t="s">
        <v>75</v>
      </c>
      <c r="BB22" s="79" t="s">
        <v>75</v>
      </c>
      <c r="BC22" s="81" t="s">
        <v>75</v>
      </c>
      <c r="BD22" s="5"/>
    </row>
    <row r="23" spans="2:56" ht="12.75" customHeight="1" x14ac:dyDescent="0.2">
      <c r="B23" s="69" t="s">
        <v>24</v>
      </c>
      <c r="C23" s="70" t="s">
        <v>147</v>
      </c>
      <c r="D23" s="71" t="s">
        <v>145</v>
      </c>
      <c r="E23" s="11" t="s">
        <v>180</v>
      </c>
      <c r="F23" s="72">
        <f>0.732+1.528</f>
        <v>2.2599999999999998</v>
      </c>
      <c r="G23" s="73" t="s">
        <v>75</v>
      </c>
      <c r="H23" s="73" t="s">
        <v>75</v>
      </c>
      <c r="I23" s="72">
        <v>9.7000000000000003E-2</v>
      </c>
      <c r="J23" s="72">
        <v>5.6000000000000001E-2</v>
      </c>
      <c r="K23" s="72">
        <v>0.92300000000000004</v>
      </c>
      <c r="L23" s="72">
        <v>0.65800000000000003</v>
      </c>
      <c r="M23" s="72">
        <v>0.66500000000000004</v>
      </c>
      <c r="N23" s="72">
        <v>0.14599999999999999</v>
      </c>
      <c r="O23" s="73" t="s">
        <v>75</v>
      </c>
      <c r="P23" s="73" t="s">
        <v>75</v>
      </c>
      <c r="Q23" s="73" t="s">
        <v>75</v>
      </c>
      <c r="R23" s="82">
        <f t="shared" si="8"/>
        <v>0.72047670639219941</v>
      </c>
      <c r="S23" s="82">
        <f t="shared" si="9"/>
        <v>0.71289274106175515</v>
      </c>
      <c r="T23" s="73" t="s">
        <v>75</v>
      </c>
      <c r="U23" s="72">
        <v>0.33400000000000002</v>
      </c>
      <c r="V23" s="73" t="s">
        <v>75</v>
      </c>
      <c r="W23" s="72">
        <v>0.71599999999999997</v>
      </c>
      <c r="X23" s="72">
        <v>0.13600000000000001</v>
      </c>
      <c r="Y23" s="72">
        <f t="shared" si="3"/>
        <v>5.2647058823529402</v>
      </c>
      <c r="Z23" s="72">
        <v>0.42</v>
      </c>
      <c r="AA23" s="72">
        <v>0.61799999999999999</v>
      </c>
      <c r="AB23" s="72">
        <f t="shared" si="0"/>
        <v>0.27345132743362832</v>
      </c>
      <c r="AC23" s="72">
        <v>1.256</v>
      </c>
      <c r="AD23" s="72">
        <f t="shared" si="1"/>
        <v>0.55575221238938055</v>
      </c>
      <c r="AE23" s="72">
        <v>0.115</v>
      </c>
      <c r="AF23" s="72">
        <f t="shared" si="19"/>
        <v>0.12459371614301191</v>
      </c>
      <c r="AG23" s="73" t="s">
        <v>75</v>
      </c>
      <c r="AH23" s="72">
        <f t="shared" si="20"/>
        <v>0.78767123287671237</v>
      </c>
      <c r="AI23" s="73" t="s">
        <v>75</v>
      </c>
      <c r="AJ23" s="73" t="s">
        <v>75</v>
      </c>
      <c r="AK23" s="73" t="s">
        <v>75</v>
      </c>
      <c r="AL23" s="73" t="s">
        <v>75</v>
      </c>
      <c r="AM23" s="73" t="s">
        <v>75</v>
      </c>
      <c r="AN23" s="73" t="s">
        <v>75</v>
      </c>
      <c r="AO23" s="73" t="s">
        <v>75</v>
      </c>
      <c r="AP23" s="72">
        <v>0.23499999999999999</v>
      </c>
      <c r="AQ23" s="72">
        <v>0.11700000000000001</v>
      </c>
      <c r="AR23" s="72">
        <f t="shared" si="2"/>
        <v>0.10398230088495576</v>
      </c>
      <c r="AS23" s="72">
        <f t="shared" si="24"/>
        <v>2.0085470085470085</v>
      </c>
      <c r="AT23" s="72">
        <f t="shared" si="11"/>
        <v>0.25460455037919821</v>
      </c>
      <c r="AU23" s="72">
        <v>0.10100000000000001</v>
      </c>
      <c r="AV23" s="72">
        <v>0.151</v>
      </c>
      <c r="AW23" s="72">
        <f t="shared" si="4"/>
        <v>0.66887417218543055</v>
      </c>
      <c r="AX23" s="82">
        <f t="shared" si="5"/>
        <v>2.3267326732673266</v>
      </c>
      <c r="AY23" s="84">
        <v>4</v>
      </c>
      <c r="AZ23" s="136"/>
      <c r="BA23" s="73" t="s">
        <v>75</v>
      </c>
      <c r="BB23" s="84">
        <v>5</v>
      </c>
      <c r="BC23" s="85">
        <v>5</v>
      </c>
      <c r="BD23" s="5"/>
    </row>
    <row r="24" spans="2:56" ht="12.75" customHeight="1" x14ac:dyDescent="0.2">
      <c r="B24" s="69"/>
      <c r="C24" s="70"/>
      <c r="D24" s="71"/>
      <c r="E24" s="11"/>
      <c r="F24" s="72">
        <f>0.732+1.528</f>
        <v>2.2599999999999998</v>
      </c>
      <c r="G24" s="73" t="s">
        <v>75</v>
      </c>
      <c r="H24" s="73" t="s">
        <v>75</v>
      </c>
      <c r="I24" s="72">
        <v>0.1</v>
      </c>
      <c r="J24" s="72">
        <v>5.5E-2</v>
      </c>
      <c r="K24" s="72">
        <v>0.93400000000000005</v>
      </c>
      <c r="L24" s="72">
        <v>0.64800000000000002</v>
      </c>
      <c r="M24" s="72">
        <v>0.66</v>
      </c>
      <c r="N24" s="72">
        <v>0.16400000000000001</v>
      </c>
      <c r="O24" s="73" t="s">
        <v>75</v>
      </c>
      <c r="P24" s="73" t="s">
        <v>75</v>
      </c>
      <c r="Q24" s="73" t="s">
        <v>75</v>
      </c>
      <c r="R24" s="82">
        <f t="shared" si="8"/>
        <v>0.70663811563169165</v>
      </c>
      <c r="S24" s="82">
        <f t="shared" si="9"/>
        <v>0.69379014989293364</v>
      </c>
      <c r="T24" s="73" t="s">
        <v>75</v>
      </c>
      <c r="U24" s="72">
        <v>0.33400000000000002</v>
      </c>
      <c r="V24" s="73" t="s">
        <v>75</v>
      </c>
      <c r="W24" s="72">
        <v>0.7</v>
      </c>
      <c r="X24" s="72">
        <v>0.127</v>
      </c>
      <c r="Y24" s="72">
        <f t="shared" si="3"/>
        <v>5.5118110236220472</v>
      </c>
      <c r="Z24" s="73" t="s">
        <v>75</v>
      </c>
      <c r="AA24" s="72">
        <v>0.63800000000000001</v>
      </c>
      <c r="AB24" s="72">
        <f t="shared" si="0"/>
        <v>0.28230088495575223</v>
      </c>
      <c r="AC24" s="72">
        <v>1.284</v>
      </c>
      <c r="AD24" s="72">
        <f t="shared" si="1"/>
        <v>0.56814159292035404</v>
      </c>
      <c r="AE24" s="72">
        <v>0.112</v>
      </c>
      <c r="AF24" s="72">
        <f t="shared" si="19"/>
        <v>0.11991434689507494</v>
      </c>
      <c r="AG24" s="73" t="s">
        <v>75</v>
      </c>
      <c r="AH24" s="72">
        <f t="shared" si="20"/>
        <v>0.68292682926829262</v>
      </c>
      <c r="AI24" s="73" t="s">
        <v>75</v>
      </c>
      <c r="AJ24" s="73" t="s">
        <v>75</v>
      </c>
      <c r="AK24" s="73" t="s">
        <v>75</v>
      </c>
      <c r="AL24" s="73" t="s">
        <v>75</v>
      </c>
      <c r="AM24" s="73" t="s">
        <v>75</v>
      </c>
      <c r="AN24" s="73" t="s">
        <v>75</v>
      </c>
      <c r="AO24" s="73" t="s">
        <v>75</v>
      </c>
      <c r="AP24" s="72">
        <v>0.23400000000000001</v>
      </c>
      <c r="AQ24" s="72">
        <v>0.122</v>
      </c>
      <c r="AR24" s="72">
        <f t="shared" si="2"/>
        <v>0.10353982300884958</v>
      </c>
      <c r="AS24" s="72">
        <f t="shared" si="24"/>
        <v>1.918032786885246</v>
      </c>
      <c r="AT24" s="72">
        <f>AP24/K24</f>
        <v>0.25053533190578159</v>
      </c>
      <c r="AU24" s="72">
        <v>0.10100000000000001</v>
      </c>
      <c r="AV24" s="72">
        <v>0.151</v>
      </c>
      <c r="AW24" s="72">
        <f t="shared" ref="AW24" si="35">AU24/AV24</f>
        <v>0.66887417218543055</v>
      </c>
      <c r="AX24" s="82">
        <f t="shared" ref="AX24" si="36">AP24/AU24</f>
        <v>2.3168316831683167</v>
      </c>
      <c r="AY24" s="73" t="s">
        <v>75</v>
      </c>
      <c r="AZ24" s="134" t="s">
        <v>75</v>
      </c>
      <c r="BA24" s="73" t="s">
        <v>75</v>
      </c>
      <c r="BB24" s="73" t="s">
        <v>75</v>
      </c>
      <c r="BC24" s="74" t="s">
        <v>75</v>
      </c>
      <c r="BD24" s="5"/>
    </row>
    <row r="25" spans="2:56" ht="12.75" customHeight="1" x14ac:dyDescent="0.2">
      <c r="B25" s="75" t="s">
        <v>24</v>
      </c>
      <c r="C25" s="76" t="s">
        <v>147</v>
      </c>
      <c r="D25" s="77" t="s">
        <v>145</v>
      </c>
      <c r="E25" s="23" t="s">
        <v>180</v>
      </c>
      <c r="F25" s="78">
        <f>1.15+0.52</f>
        <v>1.67</v>
      </c>
      <c r="G25" s="80">
        <f>I25+J25+K25+L25+M25+N25+O25</f>
        <v>3.0840000000000001</v>
      </c>
      <c r="H25" s="80">
        <f>G25/F25</f>
        <v>1.8467065868263475</v>
      </c>
      <c r="I25" s="78">
        <v>0.1</v>
      </c>
      <c r="J25" s="78">
        <v>0.05</v>
      </c>
      <c r="K25" s="78">
        <v>0.749</v>
      </c>
      <c r="L25" s="78">
        <v>0.54</v>
      </c>
      <c r="M25" s="78">
        <v>0.56000000000000005</v>
      </c>
      <c r="N25" s="78">
        <v>0.15</v>
      </c>
      <c r="O25" s="78">
        <v>0.93500000000000005</v>
      </c>
      <c r="P25" s="78">
        <f>N:N+O:O</f>
        <v>1.085</v>
      </c>
      <c r="Q25" s="80">
        <f t="shared" si="7"/>
        <v>1.4485981308411215</v>
      </c>
      <c r="R25" s="80">
        <f t="shared" si="8"/>
        <v>0.74766355140186924</v>
      </c>
      <c r="S25" s="80">
        <f t="shared" si="9"/>
        <v>0.72096128170894536</v>
      </c>
      <c r="T25" s="80">
        <f t="shared" si="10"/>
        <v>6.2333333333333343</v>
      </c>
      <c r="U25" s="78">
        <v>0.28100000000000003</v>
      </c>
      <c r="V25" s="78">
        <f t="shared" si="13"/>
        <v>10.97508896797153</v>
      </c>
      <c r="W25" s="78">
        <v>0.54600000000000004</v>
      </c>
      <c r="X25" s="78">
        <v>0.10299999999999999</v>
      </c>
      <c r="Y25" s="78">
        <f t="shared" si="3"/>
        <v>5.3009708737864081</v>
      </c>
      <c r="Z25" s="78">
        <v>0.36199999999999999</v>
      </c>
      <c r="AA25" s="78">
        <v>0.48199999999999998</v>
      </c>
      <c r="AB25" s="78">
        <f t="shared" si="0"/>
        <v>0.28862275449101799</v>
      </c>
      <c r="AC25" s="78">
        <v>0.995</v>
      </c>
      <c r="AD25" s="78">
        <f t="shared" si="1"/>
        <v>0.59580838323353291</v>
      </c>
      <c r="AE25" s="78">
        <v>0.107</v>
      </c>
      <c r="AF25" s="78">
        <f t="shared" si="19"/>
        <v>0.14285714285714285</v>
      </c>
      <c r="AG25" s="78">
        <f t="shared" si="23"/>
        <v>9.8617511520737333E-2</v>
      </c>
      <c r="AH25" s="78">
        <f t="shared" si="20"/>
        <v>0.71333333333333337</v>
      </c>
      <c r="AI25" s="79" t="s">
        <v>75</v>
      </c>
      <c r="AJ25" s="79" t="s">
        <v>75</v>
      </c>
      <c r="AK25" s="79" t="s">
        <v>75</v>
      </c>
      <c r="AL25" s="79" t="s">
        <v>75</v>
      </c>
      <c r="AM25" s="79" t="s">
        <v>75</v>
      </c>
      <c r="AN25" s="79" t="s">
        <v>75</v>
      </c>
      <c r="AO25" s="79" t="s">
        <v>75</v>
      </c>
      <c r="AP25" s="78">
        <v>0.16700000000000001</v>
      </c>
      <c r="AQ25" s="78">
        <v>0.10199999999999999</v>
      </c>
      <c r="AR25" s="78">
        <f t="shared" si="2"/>
        <v>0.1</v>
      </c>
      <c r="AS25" s="78">
        <f t="shared" si="24"/>
        <v>1.6372549019607845</v>
      </c>
      <c r="AT25" s="78">
        <f t="shared" si="11"/>
        <v>0.22296395193591456</v>
      </c>
      <c r="AU25" s="78">
        <v>9.1999999999999998E-2</v>
      </c>
      <c r="AV25" s="78">
        <v>9.9000000000000005E-2</v>
      </c>
      <c r="AW25" s="78">
        <f t="shared" si="4"/>
        <v>0.92929292929292928</v>
      </c>
      <c r="AX25" s="80">
        <f t="shared" si="5"/>
        <v>1.8152173913043479</v>
      </c>
      <c r="AY25" s="87">
        <v>4</v>
      </c>
      <c r="AZ25" s="137">
        <v>10</v>
      </c>
      <c r="BA25" s="79" t="s">
        <v>75</v>
      </c>
      <c r="BB25" s="87">
        <v>3</v>
      </c>
      <c r="BC25" s="88">
        <v>5</v>
      </c>
      <c r="BD25" s="5"/>
    </row>
    <row r="26" spans="2:56" ht="12.75" customHeight="1" x14ac:dyDescent="0.2">
      <c r="B26" s="75"/>
      <c r="C26" s="76"/>
      <c r="D26" s="77"/>
      <c r="E26" s="23"/>
      <c r="F26" s="78">
        <f>1.15+0.52</f>
        <v>1.67</v>
      </c>
      <c r="G26" s="79" t="s">
        <v>75</v>
      </c>
      <c r="H26" s="79" t="s">
        <v>75</v>
      </c>
      <c r="I26" s="78">
        <v>9.7000000000000003E-2</v>
      </c>
      <c r="J26" s="78">
        <v>5.0999999999999997E-2</v>
      </c>
      <c r="K26" s="78">
        <v>0.77100000000000002</v>
      </c>
      <c r="L26" s="78">
        <v>0.54400000000000004</v>
      </c>
      <c r="M26" s="78">
        <v>0.55100000000000005</v>
      </c>
      <c r="N26" s="78">
        <v>0.14199999999999999</v>
      </c>
      <c r="O26" s="79" t="s">
        <v>75</v>
      </c>
      <c r="P26" s="79" t="s">
        <v>75</v>
      </c>
      <c r="Q26" s="79" t="s">
        <v>75</v>
      </c>
      <c r="R26" s="80">
        <f t="shared" si="8"/>
        <v>0.71465629053177693</v>
      </c>
      <c r="S26" s="80">
        <f t="shared" si="9"/>
        <v>0.70557717250324259</v>
      </c>
      <c r="T26" s="79" t="s">
        <v>75</v>
      </c>
      <c r="U26" s="78">
        <v>0.28100000000000003</v>
      </c>
      <c r="V26" s="79" t="s">
        <v>75</v>
      </c>
      <c r="W26" s="78">
        <v>0.54800000000000004</v>
      </c>
      <c r="X26" s="78">
        <v>0.11</v>
      </c>
      <c r="Y26" s="78">
        <f t="shared" si="3"/>
        <v>4.9818181818181824</v>
      </c>
      <c r="Z26" s="78">
        <v>0.36199999999999999</v>
      </c>
      <c r="AA26" s="78">
        <v>0.48599999999999999</v>
      </c>
      <c r="AB26" s="78">
        <f t="shared" si="0"/>
        <v>0.29101796407185632</v>
      </c>
      <c r="AC26" s="78">
        <v>0.95599999999999996</v>
      </c>
      <c r="AD26" s="78">
        <f t="shared" si="1"/>
        <v>0.57245508982035931</v>
      </c>
      <c r="AE26" s="78">
        <v>0.106</v>
      </c>
      <c r="AF26" s="78">
        <f t="shared" si="19"/>
        <v>0.13748378728923474</v>
      </c>
      <c r="AG26" s="79" t="s">
        <v>75</v>
      </c>
      <c r="AH26" s="78">
        <f t="shared" si="20"/>
        <v>0.74647887323943662</v>
      </c>
      <c r="AI26" s="79" t="s">
        <v>75</v>
      </c>
      <c r="AJ26" s="79" t="s">
        <v>75</v>
      </c>
      <c r="AK26" s="79" t="s">
        <v>75</v>
      </c>
      <c r="AL26" s="79" t="s">
        <v>75</v>
      </c>
      <c r="AM26" s="79" t="s">
        <v>75</v>
      </c>
      <c r="AN26" s="79" t="s">
        <v>75</v>
      </c>
      <c r="AO26" s="79" t="s">
        <v>75</v>
      </c>
      <c r="AP26" s="78">
        <v>0.18099999999999999</v>
      </c>
      <c r="AQ26" s="78">
        <v>7.8E-2</v>
      </c>
      <c r="AR26" s="78">
        <f t="shared" si="2"/>
        <v>0.10838323353293414</v>
      </c>
      <c r="AS26" s="78">
        <f t="shared" si="24"/>
        <v>2.3205128205128203</v>
      </c>
      <c r="AT26" s="78">
        <f t="shared" si="11"/>
        <v>0.23476005188067445</v>
      </c>
      <c r="AU26" s="78">
        <v>9.1999999999999998E-2</v>
      </c>
      <c r="AV26" s="78">
        <v>9.9000000000000005E-2</v>
      </c>
      <c r="AW26" s="78">
        <f t="shared" ref="AW26" si="37">AU26/AV26</f>
        <v>0.92929292929292928</v>
      </c>
      <c r="AX26" s="80">
        <f t="shared" ref="AX26" si="38">AP26/AU26</f>
        <v>1.9673913043478262</v>
      </c>
      <c r="AY26" s="79" t="s">
        <v>75</v>
      </c>
      <c r="AZ26" s="135" t="s">
        <v>75</v>
      </c>
      <c r="BA26" s="79" t="s">
        <v>75</v>
      </c>
      <c r="BB26" s="79" t="s">
        <v>75</v>
      </c>
      <c r="BC26" s="81" t="s">
        <v>75</v>
      </c>
      <c r="BD26" s="5"/>
    </row>
    <row r="27" spans="2:56" ht="12.75" customHeight="1" x14ac:dyDescent="0.2">
      <c r="B27" s="69" t="s">
        <v>24</v>
      </c>
      <c r="C27" s="70" t="s">
        <v>147</v>
      </c>
      <c r="D27" s="71" t="s">
        <v>145</v>
      </c>
      <c r="E27" s="11" t="s">
        <v>179</v>
      </c>
      <c r="F27" s="72">
        <f>1.37+0.89</f>
        <v>2.2600000000000002</v>
      </c>
      <c r="G27" s="73" t="s">
        <v>75</v>
      </c>
      <c r="H27" s="73" t="s">
        <v>75</v>
      </c>
      <c r="I27" s="72">
        <v>0.1</v>
      </c>
      <c r="J27" s="72">
        <v>0.06</v>
      </c>
      <c r="K27" s="72">
        <v>0.92</v>
      </c>
      <c r="L27" s="72">
        <v>0.65</v>
      </c>
      <c r="M27" s="72">
        <v>0.67</v>
      </c>
      <c r="N27" s="72">
        <v>0.15</v>
      </c>
      <c r="O27" s="73" t="s">
        <v>75</v>
      </c>
      <c r="P27" s="73" t="s">
        <v>75</v>
      </c>
      <c r="Q27" s="73" t="s">
        <v>75</v>
      </c>
      <c r="R27" s="82">
        <f t="shared" si="8"/>
        <v>0.72826086956521741</v>
      </c>
      <c r="S27" s="82">
        <f t="shared" si="9"/>
        <v>0.70652173913043481</v>
      </c>
      <c r="T27" s="73" t="s">
        <v>75</v>
      </c>
      <c r="U27" s="72">
        <v>0.34</v>
      </c>
      <c r="V27" s="73" t="s">
        <v>75</v>
      </c>
      <c r="W27" s="72">
        <v>0.72</v>
      </c>
      <c r="X27" s="72">
        <v>0.15</v>
      </c>
      <c r="Y27" s="72">
        <f t="shared" si="3"/>
        <v>4.8</v>
      </c>
      <c r="Z27" s="72">
        <v>0.38</v>
      </c>
      <c r="AA27" s="72">
        <v>0.6</v>
      </c>
      <c r="AB27" s="72">
        <f t="shared" si="0"/>
        <v>0.26548672566371678</v>
      </c>
      <c r="AC27" s="72">
        <v>1.26</v>
      </c>
      <c r="AD27" s="72">
        <f t="shared" si="1"/>
        <v>0.55752212389380529</v>
      </c>
      <c r="AE27" s="72">
        <v>0.12</v>
      </c>
      <c r="AF27" s="72">
        <f t="shared" si="19"/>
        <v>0.13043478260869565</v>
      </c>
      <c r="AG27" s="73" t="s">
        <v>75</v>
      </c>
      <c r="AH27" s="72">
        <f t="shared" si="20"/>
        <v>0.8</v>
      </c>
      <c r="AI27" s="72">
        <v>0.09</v>
      </c>
      <c r="AJ27" s="72">
        <v>0.08</v>
      </c>
      <c r="AK27" s="72">
        <f t="shared" si="21"/>
        <v>1.125</v>
      </c>
      <c r="AL27" s="72">
        <f t="shared" si="22"/>
        <v>0.75</v>
      </c>
      <c r="AM27" s="72">
        <f t="shared" si="16"/>
        <v>0.6</v>
      </c>
      <c r="AN27" s="72">
        <f t="shared" si="17"/>
        <v>9.7826086956521729E-2</v>
      </c>
      <c r="AO27" s="72">
        <f t="shared" si="18"/>
        <v>0.375</v>
      </c>
      <c r="AP27" s="72">
        <v>0.24</v>
      </c>
      <c r="AQ27" s="72">
        <v>0.12</v>
      </c>
      <c r="AR27" s="72">
        <f t="shared" si="2"/>
        <v>0.10619469026548671</v>
      </c>
      <c r="AS27" s="72">
        <f t="shared" si="24"/>
        <v>2</v>
      </c>
      <c r="AT27" s="72">
        <f t="shared" si="11"/>
        <v>0.2608695652173913</v>
      </c>
      <c r="AU27" s="72">
        <v>0.1</v>
      </c>
      <c r="AV27" s="72">
        <v>0.15</v>
      </c>
      <c r="AW27" s="72">
        <f t="shared" si="4"/>
        <v>0.66666666666666674</v>
      </c>
      <c r="AX27" s="82">
        <f t="shared" si="5"/>
        <v>2.4</v>
      </c>
      <c r="AY27" s="84">
        <v>6</v>
      </c>
      <c r="AZ27" s="136">
        <v>11</v>
      </c>
      <c r="BA27" s="84">
        <v>6</v>
      </c>
      <c r="BB27" s="84">
        <v>7</v>
      </c>
      <c r="BC27" s="85">
        <v>6</v>
      </c>
      <c r="BD27" s="5"/>
    </row>
    <row r="28" spans="2:56" ht="12.75" customHeight="1" x14ac:dyDescent="0.2">
      <c r="B28" s="69"/>
      <c r="C28" s="70"/>
      <c r="D28" s="71"/>
      <c r="E28" s="11"/>
      <c r="F28" s="72">
        <f>1.37+0.89</f>
        <v>2.2600000000000002</v>
      </c>
      <c r="G28" s="73" t="s">
        <v>75</v>
      </c>
      <c r="H28" s="73" t="s">
        <v>75</v>
      </c>
      <c r="I28" s="72">
        <v>0.1</v>
      </c>
      <c r="J28" s="72">
        <v>0.06</v>
      </c>
      <c r="K28" s="72">
        <v>0.93</v>
      </c>
      <c r="L28" s="72">
        <v>0.64</v>
      </c>
      <c r="M28" s="72">
        <v>0.66</v>
      </c>
      <c r="N28" s="72">
        <v>0.16</v>
      </c>
      <c r="O28" s="73" t="s">
        <v>75</v>
      </c>
      <c r="P28" s="73" t="s">
        <v>75</v>
      </c>
      <c r="Q28" s="73" t="s">
        <v>75</v>
      </c>
      <c r="R28" s="82">
        <f t="shared" si="8"/>
        <v>0.70967741935483875</v>
      </c>
      <c r="S28" s="82">
        <f t="shared" si="9"/>
        <v>0.68817204301075263</v>
      </c>
      <c r="T28" s="73" t="s">
        <v>75</v>
      </c>
      <c r="U28" s="72">
        <v>0.34</v>
      </c>
      <c r="V28" s="73" t="s">
        <v>75</v>
      </c>
      <c r="W28" s="72">
        <v>0.7</v>
      </c>
      <c r="X28" s="72">
        <v>0.13</v>
      </c>
      <c r="Y28" s="72">
        <f t="shared" si="3"/>
        <v>5.3846153846153841</v>
      </c>
      <c r="Z28" s="72">
        <v>0.37</v>
      </c>
      <c r="AA28" s="72">
        <v>0.6</v>
      </c>
      <c r="AB28" s="72">
        <f t="shared" si="0"/>
        <v>0.26548672566371678</v>
      </c>
      <c r="AC28" s="72">
        <v>1.27</v>
      </c>
      <c r="AD28" s="72">
        <f t="shared" si="1"/>
        <v>0.56194690265486724</v>
      </c>
      <c r="AE28" s="72">
        <v>0.12</v>
      </c>
      <c r="AF28" s="72">
        <f t="shared" si="19"/>
        <v>0.12903225806451613</v>
      </c>
      <c r="AG28" s="73" t="s">
        <v>75</v>
      </c>
      <c r="AH28" s="72">
        <f t="shared" si="20"/>
        <v>0.75</v>
      </c>
      <c r="AI28" s="72">
        <v>0.09</v>
      </c>
      <c r="AJ28" s="72">
        <v>0.08</v>
      </c>
      <c r="AK28" s="72">
        <f t="shared" si="21"/>
        <v>1.125</v>
      </c>
      <c r="AL28" s="72">
        <f t="shared" si="22"/>
        <v>0.75</v>
      </c>
      <c r="AM28" s="72">
        <f t="shared" si="16"/>
        <v>0.5625</v>
      </c>
      <c r="AN28" s="72">
        <f t="shared" si="17"/>
        <v>9.6774193548387094E-2</v>
      </c>
      <c r="AO28" s="72">
        <f t="shared" si="18"/>
        <v>0.375</v>
      </c>
      <c r="AP28" s="72">
        <v>0.24</v>
      </c>
      <c r="AQ28" s="72">
        <v>0.12</v>
      </c>
      <c r="AR28" s="72">
        <f t="shared" si="2"/>
        <v>0.10619469026548671</v>
      </c>
      <c r="AS28" s="72">
        <f t="shared" si="24"/>
        <v>2</v>
      </c>
      <c r="AT28" s="72">
        <f t="shared" si="11"/>
        <v>0.25806451612903225</v>
      </c>
      <c r="AU28" s="72">
        <v>0.1</v>
      </c>
      <c r="AV28" s="72">
        <v>0.15</v>
      </c>
      <c r="AW28" s="72">
        <f t="shared" ref="AW28" si="39">AU28/AV28</f>
        <v>0.66666666666666674</v>
      </c>
      <c r="AX28" s="82">
        <f t="shared" ref="AX28" si="40">AP28/AU28</f>
        <v>2.4</v>
      </c>
      <c r="AY28" s="73" t="s">
        <v>75</v>
      </c>
      <c r="AZ28" s="134">
        <v>16</v>
      </c>
      <c r="BA28" s="73" t="s">
        <v>75</v>
      </c>
      <c r="BB28" s="73" t="s">
        <v>75</v>
      </c>
      <c r="BC28" s="74" t="s">
        <v>75</v>
      </c>
      <c r="BD28" s="5"/>
    </row>
    <row r="29" spans="2:56" ht="12.75" customHeight="1" x14ac:dyDescent="0.2">
      <c r="B29" s="75" t="s">
        <v>24</v>
      </c>
      <c r="C29" s="76" t="s">
        <v>147</v>
      </c>
      <c r="D29" s="77" t="s">
        <v>145</v>
      </c>
      <c r="E29" s="23" t="s">
        <v>179</v>
      </c>
      <c r="F29" s="78">
        <f>1.09+1.04</f>
        <v>2.13</v>
      </c>
      <c r="G29" s="80">
        <f>I29+J29+K29+L29+M29+N29+O29</f>
        <v>3.49</v>
      </c>
      <c r="H29" s="80">
        <f>G29/F29</f>
        <v>1.6384976525821597</v>
      </c>
      <c r="I29" s="78">
        <v>0.11</v>
      </c>
      <c r="J29" s="78">
        <v>0.06</v>
      </c>
      <c r="K29" s="78">
        <v>1</v>
      </c>
      <c r="L29" s="78">
        <v>0.66</v>
      </c>
      <c r="M29" s="78">
        <v>0.64</v>
      </c>
      <c r="N29" s="78">
        <v>0.15</v>
      </c>
      <c r="O29" s="78">
        <f>0.47+0.18+0.22</f>
        <v>0.86999999999999988</v>
      </c>
      <c r="P29" s="78">
        <f>N:N+O:O</f>
        <v>1.0199999999999998</v>
      </c>
      <c r="Q29" s="80">
        <f t="shared" si="7"/>
        <v>1.0199999999999998</v>
      </c>
      <c r="R29" s="80">
        <f t="shared" si="8"/>
        <v>0.64</v>
      </c>
      <c r="S29" s="80">
        <f t="shared" si="9"/>
        <v>0.66</v>
      </c>
      <c r="T29" s="80">
        <f t="shared" si="10"/>
        <v>5.8</v>
      </c>
      <c r="U29" s="78">
        <v>0.31</v>
      </c>
      <c r="V29" s="78">
        <f t="shared" si="13"/>
        <v>11.258064516129034</v>
      </c>
      <c r="W29" s="78">
        <v>0.62</v>
      </c>
      <c r="X29" s="78">
        <v>0.11</v>
      </c>
      <c r="Y29" s="78">
        <f t="shared" si="3"/>
        <v>5.6363636363636367</v>
      </c>
      <c r="Z29" s="78">
        <v>0.4</v>
      </c>
      <c r="AA29" s="78">
        <v>0.56999999999999995</v>
      </c>
      <c r="AB29" s="78">
        <f t="shared" si="0"/>
        <v>0.26760563380281688</v>
      </c>
      <c r="AC29" s="78">
        <v>1.17</v>
      </c>
      <c r="AD29" s="78">
        <f t="shared" si="1"/>
        <v>0.54929577464788737</v>
      </c>
      <c r="AE29" s="78">
        <v>0.11</v>
      </c>
      <c r="AF29" s="78">
        <f t="shared" si="19"/>
        <v>0.11</v>
      </c>
      <c r="AG29" s="78">
        <f t="shared" si="23"/>
        <v>0.10784313725490198</v>
      </c>
      <c r="AH29" s="78">
        <f t="shared" si="20"/>
        <v>0.73333333333333339</v>
      </c>
      <c r="AI29" s="78">
        <v>0.09</v>
      </c>
      <c r="AJ29" s="78">
        <v>7.0000000000000007E-2</v>
      </c>
      <c r="AK29" s="78">
        <f t="shared" si="21"/>
        <v>1.2857142857142856</v>
      </c>
      <c r="AL29" s="78">
        <f t="shared" si="22"/>
        <v>0.81818181818181812</v>
      </c>
      <c r="AM29" s="78">
        <f t="shared" si="16"/>
        <v>0.6</v>
      </c>
      <c r="AN29" s="78">
        <f t="shared" si="17"/>
        <v>0.09</v>
      </c>
      <c r="AO29" s="78">
        <f t="shared" si="18"/>
        <v>0.44999999999999996</v>
      </c>
      <c r="AP29" s="78">
        <v>0.2</v>
      </c>
      <c r="AQ29" s="78">
        <v>0.12</v>
      </c>
      <c r="AR29" s="78">
        <f t="shared" si="2"/>
        <v>9.3896713615023483E-2</v>
      </c>
      <c r="AS29" s="78">
        <f t="shared" si="24"/>
        <v>1.6666666666666667</v>
      </c>
      <c r="AT29" s="78">
        <f t="shared" si="11"/>
        <v>0.2</v>
      </c>
      <c r="AU29" s="78">
        <v>0.09</v>
      </c>
      <c r="AV29" s="78">
        <v>1.4E-2</v>
      </c>
      <c r="AW29" s="78">
        <f t="shared" si="4"/>
        <v>6.4285714285714279</v>
      </c>
      <c r="AX29" s="80">
        <f t="shared" si="5"/>
        <v>2.2222222222222223</v>
      </c>
      <c r="AY29" s="87">
        <v>5</v>
      </c>
      <c r="AZ29" s="137">
        <v>11</v>
      </c>
      <c r="BA29" s="79" t="s">
        <v>75</v>
      </c>
      <c r="BB29" s="87">
        <v>6</v>
      </c>
      <c r="BC29" s="88">
        <v>6</v>
      </c>
      <c r="BD29" s="5"/>
    </row>
    <row r="30" spans="2:56" ht="12.75" customHeight="1" x14ac:dyDescent="0.2">
      <c r="B30" s="75"/>
      <c r="C30" s="76"/>
      <c r="D30" s="77"/>
      <c r="E30" s="23"/>
      <c r="F30" s="78">
        <f>1.09+1.04</f>
        <v>2.13</v>
      </c>
      <c r="G30" s="80">
        <f>I30+J30+K30+L30+M30+N30+O30</f>
        <v>3.8</v>
      </c>
      <c r="H30" s="80">
        <f>G30/F30</f>
        <v>1.784037558685446</v>
      </c>
      <c r="I30" s="78">
        <v>0.1</v>
      </c>
      <c r="J30" s="78">
        <v>0.05</v>
      </c>
      <c r="K30" s="78">
        <v>1.01</v>
      </c>
      <c r="L30" s="78">
        <v>0.65</v>
      </c>
      <c r="M30" s="78">
        <v>0.63</v>
      </c>
      <c r="N30" s="78">
        <v>0.15</v>
      </c>
      <c r="O30" s="78">
        <f>0.53+0.22+0.46</f>
        <v>1.21</v>
      </c>
      <c r="P30" s="78">
        <f>N:N+O:O</f>
        <v>1.3599999999999999</v>
      </c>
      <c r="Q30" s="80">
        <f t="shared" si="7"/>
        <v>1.3465346534653464</v>
      </c>
      <c r="R30" s="80">
        <f t="shared" si="8"/>
        <v>0.62376237623762376</v>
      </c>
      <c r="S30" s="80">
        <f t="shared" si="9"/>
        <v>0.64356435643564358</v>
      </c>
      <c r="T30" s="80">
        <f t="shared" si="10"/>
        <v>8.0666666666666664</v>
      </c>
      <c r="U30" s="78">
        <v>0.31</v>
      </c>
      <c r="V30" s="78">
        <f t="shared" si="13"/>
        <v>12.258064516129032</v>
      </c>
      <c r="W30" s="78">
        <v>0.62</v>
      </c>
      <c r="X30" s="78">
        <v>0.13</v>
      </c>
      <c r="Y30" s="78">
        <f t="shared" si="3"/>
        <v>4.7692307692307692</v>
      </c>
      <c r="Z30" s="79" t="s">
        <v>75</v>
      </c>
      <c r="AA30" s="78">
        <v>0.55000000000000004</v>
      </c>
      <c r="AB30" s="78">
        <f t="shared" si="0"/>
        <v>0.25821596244131456</v>
      </c>
      <c r="AC30" s="78">
        <v>1.1599999999999999</v>
      </c>
      <c r="AD30" s="78">
        <f t="shared" si="1"/>
        <v>0.54460093896713613</v>
      </c>
      <c r="AE30" s="78">
        <v>0.11</v>
      </c>
      <c r="AF30" s="78">
        <f t="shared" si="19"/>
        <v>0.10891089108910891</v>
      </c>
      <c r="AG30" s="78">
        <f t="shared" si="23"/>
        <v>8.0882352941176475E-2</v>
      </c>
      <c r="AH30" s="78">
        <f t="shared" si="20"/>
        <v>0.73333333333333339</v>
      </c>
      <c r="AI30" s="78">
        <v>0.09</v>
      </c>
      <c r="AJ30" s="78">
        <v>7.0000000000000007E-2</v>
      </c>
      <c r="AK30" s="78">
        <f t="shared" si="21"/>
        <v>1.2857142857142856</v>
      </c>
      <c r="AL30" s="78">
        <f t="shared" si="22"/>
        <v>0.81818181818181812</v>
      </c>
      <c r="AM30" s="78">
        <f t="shared" si="16"/>
        <v>0.6</v>
      </c>
      <c r="AN30" s="78">
        <f t="shared" si="17"/>
        <v>8.9108910891089105E-2</v>
      </c>
      <c r="AO30" s="78">
        <f t="shared" si="18"/>
        <v>0.40909090909090906</v>
      </c>
      <c r="AP30" s="78">
        <v>0.22</v>
      </c>
      <c r="AQ30" s="78">
        <v>0.1</v>
      </c>
      <c r="AR30" s="78">
        <f t="shared" si="2"/>
        <v>0.10328638497652583</v>
      </c>
      <c r="AS30" s="78">
        <f t="shared" si="24"/>
        <v>2.1999999999999997</v>
      </c>
      <c r="AT30" s="78">
        <f t="shared" si="11"/>
        <v>0.21782178217821782</v>
      </c>
      <c r="AU30" s="78">
        <v>0.09</v>
      </c>
      <c r="AV30" s="78">
        <v>1.4E-2</v>
      </c>
      <c r="AW30" s="78">
        <f t="shared" ref="AW30" si="41">AU30/AV30</f>
        <v>6.4285714285714279</v>
      </c>
      <c r="AX30" s="80">
        <f t="shared" ref="AX30" si="42">AP30/AU30</f>
        <v>2.4444444444444446</v>
      </c>
      <c r="AY30" s="79" t="s">
        <v>75</v>
      </c>
      <c r="AZ30" s="135">
        <v>13</v>
      </c>
      <c r="BA30" s="79" t="s">
        <v>75</v>
      </c>
      <c r="BB30" s="79" t="s">
        <v>75</v>
      </c>
      <c r="BC30" s="81" t="s">
        <v>75</v>
      </c>
      <c r="BD30" s="5"/>
    </row>
    <row r="31" spans="2:56" ht="12.75" customHeight="1" x14ac:dyDescent="0.2">
      <c r="B31" s="83">
        <v>21735</v>
      </c>
      <c r="C31" s="70" t="s">
        <v>147</v>
      </c>
      <c r="D31" s="71" t="s">
        <v>146</v>
      </c>
      <c r="E31" s="11" t="s">
        <v>179</v>
      </c>
      <c r="F31" s="72">
        <f>1.14+0.58</f>
        <v>1.7199999999999998</v>
      </c>
      <c r="G31" s="73" t="s">
        <v>75</v>
      </c>
      <c r="H31" s="73" t="s">
        <v>75</v>
      </c>
      <c r="I31" s="72">
        <v>0.09</v>
      </c>
      <c r="J31" s="72">
        <v>0.05</v>
      </c>
      <c r="K31" s="72">
        <v>0.78</v>
      </c>
      <c r="L31" s="72">
        <v>0.53</v>
      </c>
      <c r="M31" s="72">
        <v>0.56000000000000005</v>
      </c>
      <c r="N31" s="72">
        <v>0.14000000000000001</v>
      </c>
      <c r="O31" s="73" t="s">
        <v>75</v>
      </c>
      <c r="P31" s="73" t="s">
        <v>75</v>
      </c>
      <c r="Q31" s="73" t="s">
        <v>75</v>
      </c>
      <c r="R31" s="82">
        <f t="shared" si="8"/>
        <v>0.71794871794871795</v>
      </c>
      <c r="S31" s="82">
        <f t="shared" si="9"/>
        <v>0.67948717948717952</v>
      </c>
      <c r="T31" s="73" t="s">
        <v>75</v>
      </c>
      <c r="U31" s="72">
        <v>0.31</v>
      </c>
      <c r="V31" s="73" t="s">
        <v>75</v>
      </c>
      <c r="W31" s="72">
        <v>0.56000000000000005</v>
      </c>
      <c r="X31" s="72">
        <v>0.1</v>
      </c>
      <c r="Y31" s="72">
        <f t="shared" si="3"/>
        <v>5.6000000000000005</v>
      </c>
      <c r="Z31" s="72">
        <v>0.33</v>
      </c>
      <c r="AA31" s="72">
        <v>0.44</v>
      </c>
      <c r="AB31" s="72">
        <f t="shared" si="0"/>
        <v>0.25581395348837216</v>
      </c>
      <c r="AC31" s="72">
        <v>0.96</v>
      </c>
      <c r="AD31" s="72">
        <f t="shared" si="1"/>
        <v>0.55813953488372103</v>
      </c>
      <c r="AE31" s="72">
        <v>0.09</v>
      </c>
      <c r="AF31" s="72">
        <f t="shared" si="19"/>
        <v>0.11538461538461538</v>
      </c>
      <c r="AG31" s="73" t="s">
        <v>75</v>
      </c>
      <c r="AH31" s="72">
        <f t="shared" si="20"/>
        <v>0.64285714285714279</v>
      </c>
      <c r="AI31" s="72">
        <v>0.09</v>
      </c>
      <c r="AJ31" s="72">
        <v>0.06</v>
      </c>
      <c r="AK31" s="72">
        <f t="shared" si="21"/>
        <v>1.5</v>
      </c>
      <c r="AL31" s="72">
        <f t="shared" si="22"/>
        <v>1</v>
      </c>
      <c r="AM31" s="72">
        <f t="shared" si="16"/>
        <v>0.64285714285714279</v>
      </c>
      <c r="AN31" s="72">
        <f t="shared" si="17"/>
        <v>0.11538461538461538</v>
      </c>
      <c r="AO31" s="72">
        <f t="shared" si="18"/>
        <v>0.52941176470588225</v>
      </c>
      <c r="AP31" s="72">
        <v>0.17</v>
      </c>
      <c r="AQ31" s="72">
        <v>0.9</v>
      </c>
      <c r="AR31" s="72">
        <f t="shared" si="2"/>
        <v>9.8837209302325604E-2</v>
      </c>
      <c r="AS31" s="72">
        <f t="shared" si="24"/>
        <v>0.18888888888888888</v>
      </c>
      <c r="AT31" s="72">
        <f>AP31/K31</f>
        <v>0.21794871794871795</v>
      </c>
      <c r="AU31" s="72">
        <v>0.1</v>
      </c>
      <c r="AV31" s="73" t="s">
        <v>75</v>
      </c>
      <c r="AW31" s="73" t="s">
        <v>75</v>
      </c>
      <c r="AX31" s="82">
        <f t="shared" si="5"/>
        <v>1.7</v>
      </c>
      <c r="AY31" s="84">
        <v>5</v>
      </c>
      <c r="AZ31" s="136">
        <v>9</v>
      </c>
      <c r="BA31" s="73" t="s">
        <v>75</v>
      </c>
      <c r="BB31" s="84">
        <v>6</v>
      </c>
      <c r="BC31" s="85">
        <v>6</v>
      </c>
      <c r="BD31" s="5"/>
    </row>
    <row r="32" spans="2:56" ht="12.75" customHeight="1" x14ac:dyDescent="0.2">
      <c r="B32" s="69"/>
      <c r="C32" s="70"/>
      <c r="D32" s="71"/>
      <c r="E32" s="11"/>
      <c r="F32" s="72">
        <f>1.14+0.58</f>
        <v>1.7199999999999998</v>
      </c>
      <c r="G32" s="82">
        <f>I32+J32+K32+L32+M32+N32+O32</f>
        <v>3.02</v>
      </c>
      <c r="H32" s="82">
        <f>G32/F32</f>
        <v>1.7558139534883723</v>
      </c>
      <c r="I32" s="72">
        <v>0.09</v>
      </c>
      <c r="J32" s="72">
        <v>0.05</v>
      </c>
      <c r="K32" s="72">
        <v>0.78</v>
      </c>
      <c r="L32" s="72">
        <v>0.56000000000000005</v>
      </c>
      <c r="M32" s="72">
        <v>0.54</v>
      </c>
      <c r="N32" s="72">
        <v>0.13</v>
      </c>
      <c r="O32" s="72">
        <v>0.87</v>
      </c>
      <c r="P32" s="72">
        <f>N:N+O:O</f>
        <v>1</v>
      </c>
      <c r="Q32" s="82">
        <f t="shared" si="7"/>
        <v>1.2820512820512819</v>
      </c>
      <c r="R32" s="82">
        <f t="shared" si="8"/>
        <v>0.69230769230769229</v>
      </c>
      <c r="S32" s="82">
        <f t="shared" si="9"/>
        <v>0.71794871794871795</v>
      </c>
      <c r="T32" s="82">
        <f t="shared" si="10"/>
        <v>6.6923076923076916</v>
      </c>
      <c r="U32" s="72">
        <v>0.31</v>
      </c>
      <c r="V32" s="72">
        <f t="shared" si="13"/>
        <v>9.741935483870968</v>
      </c>
      <c r="W32" s="72">
        <v>0.54</v>
      </c>
      <c r="X32" s="72">
        <v>0.11</v>
      </c>
      <c r="Y32" s="72">
        <f t="shared" si="3"/>
        <v>4.9090909090909092</v>
      </c>
      <c r="Z32" s="73" t="s">
        <v>75</v>
      </c>
      <c r="AA32" s="72">
        <v>0.43</v>
      </c>
      <c r="AB32" s="72">
        <f t="shared" si="0"/>
        <v>0.25000000000000006</v>
      </c>
      <c r="AC32" s="72">
        <v>0.98</v>
      </c>
      <c r="AD32" s="72">
        <f t="shared" si="1"/>
        <v>0.56976744186046524</v>
      </c>
      <c r="AE32" s="72">
        <v>0.09</v>
      </c>
      <c r="AF32" s="72">
        <f t="shared" si="19"/>
        <v>0.11538461538461538</v>
      </c>
      <c r="AG32" s="72">
        <f t="shared" si="23"/>
        <v>0.09</v>
      </c>
      <c r="AH32" s="72">
        <f t="shared" si="20"/>
        <v>0.69230769230769229</v>
      </c>
      <c r="AI32" s="72">
        <v>0.09</v>
      </c>
      <c r="AJ32" s="72">
        <v>0.06</v>
      </c>
      <c r="AK32" s="72">
        <f t="shared" si="21"/>
        <v>1.5</v>
      </c>
      <c r="AL32" s="72">
        <f t="shared" si="22"/>
        <v>1</v>
      </c>
      <c r="AM32" s="72">
        <f t="shared" si="16"/>
        <v>0.69230769230769229</v>
      </c>
      <c r="AN32" s="72">
        <f t="shared" si="17"/>
        <v>0.11538461538461538</v>
      </c>
      <c r="AO32" s="72">
        <f t="shared" si="18"/>
        <v>0.52941176470588225</v>
      </c>
      <c r="AP32" s="72">
        <v>0.17</v>
      </c>
      <c r="AQ32" s="72">
        <v>0.1</v>
      </c>
      <c r="AR32" s="72">
        <f t="shared" si="2"/>
        <v>9.8837209302325604E-2</v>
      </c>
      <c r="AS32" s="72">
        <f t="shared" si="24"/>
        <v>1.7</v>
      </c>
      <c r="AT32" s="72">
        <f>AP32/K32</f>
        <v>0.21794871794871795</v>
      </c>
      <c r="AU32" s="72">
        <v>0.1</v>
      </c>
      <c r="AV32" s="73" t="s">
        <v>75</v>
      </c>
      <c r="AW32" s="73" t="s">
        <v>75</v>
      </c>
      <c r="AX32" s="82">
        <f t="shared" ref="AX32" si="43">AP32/AU32</f>
        <v>1.7</v>
      </c>
      <c r="AY32" s="73" t="s">
        <v>75</v>
      </c>
      <c r="AZ32" s="134">
        <v>11</v>
      </c>
      <c r="BA32" s="73" t="s">
        <v>75</v>
      </c>
      <c r="BB32" s="73" t="s">
        <v>75</v>
      </c>
      <c r="BC32" s="74" t="s">
        <v>75</v>
      </c>
      <c r="BD32" s="5"/>
    </row>
    <row r="33" spans="2:56" ht="12.75" customHeight="1" x14ac:dyDescent="0.2">
      <c r="B33" s="86">
        <v>21735</v>
      </c>
      <c r="C33" s="76" t="s">
        <v>147</v>
      </c>
      <c r="D33" s="77" t="s">
        <v>146</v>
      </c>
      <c r="E33" s="23" t="s">
        <v>179</v>
      </c>
      <c r="F33" s="78">
        <f>1.11+0.46</f>
        <v>1.57</v>
      </c>
      <c r="G33" s="80">
        <f>I33+J33+K33+L33+M33+N33+O33</f>
        <v>3.25</v>
      </c>
      <c r="H33" s="80">
        <f>G33/F33</f>
        <v>2.0700636942675157</v>
      </c>
      <c r="I33" s="78">
        <v>0.09</v>
      </c>
      <c r="J33" s="78">
        <v>0.09</v>
      </c>
      <c r="K33" s="78">
        <v>0.75</v>
      </c>
      <c r="L33" s="78">
        <v>0.59</v>
      </c>
      <c r="M33" s="78">
        <v>0.53</v>
      </c>
      <c r="N33" s="78">
        <v>0.14000000000000001</v>
      </c>
      <c r="O33" s="78">
        <v>1.06</v>
      </c>
      <c r="P33" s="78">
        <f>N:N+O:O</f>
        <v>1.2000000000000002</v>
      </c>
      <c r="Q33" s="80">
        <f t="shared" si="7"/>
        <v>1.6000000000000003</v>
      </c>
      <c r="R33" s="80">
        <f t="shared" si="8"/>
        <v>0.70666666666666667</v>
      </c>
      <c r="S33" s="80">
        <f t="shared" si="9"/>
        <v>0.78666666666666663</v>
      </c>
      <c r="T33" s="80">
        <f t="shared" si="10"/>
        <v>7.5714285714285712</v>
      </c>
      <c r="U33" s="78">
        <v>0.3</v>
      </c>
      <c r="V33" s="78">
        <f t="shared" si="13"/>
        <v>10.833333333333334</v>
      </c>
      <c r="W33" s="79" t="s">
        <v>75</v>
      </c>
      <c r="X33" s="79" t="s">
        <v>75</v>
      </c>
      <c r="Y33" s="79" t="s">
        <v>75</v>
      </c>
      <c r="Z33" s="78">
        <v>0.34</v>
      </c>
      <c r="AA33" s="78">
        <v>0.43</v>
      </c>
      <c r="AB33" s="78">
        <f t="shared" si="0"/>
        <v>0.27388535031847133</v>
      </c>
      <c r="AC33" s="78">
        <v>0.96</v>
      </c>
      <c r="AD33" s="78">
        <f t="shared" si="1"/>
        <v>0.61146496815286622</v>
      </c>
      <c r="AE33" s="78">
        <v>0.09</v>
      </c>
      <c r="AF33" s="78">
        <f t="shared" si="19"/>
        <v>0.12</v>
      </c>
      <c r="AG33" s="78">
        <f t="shared" si="23"/>
        <v>7.4999999999999983E-2</v>
      </c>
      <c r="AH33" s="78">
        <f t="shared" si="20"/>
        <v>0.64285714285714279</v>
      </c>
      <c r="AI33" s="78">
        <v>0.09</v>
      </c>
      <c r="AJ33" s="78">
        <v>0.05</v>
      </c>
      <c r="AK33" s="78">
        <f t="shared" si="21"/>
        <v>1.7999999999999998</v>
      </c>
      <c r="AL33" s="78">
        <f t="shared" si="22"/>
        <v>1</v>
      </c>
      <c r="AM33" s="78">
        <f t="shared" si="16"/>
        <v>0.64285714285714279</v>
      </c>
      <c r="AN33" s="78">
        <f t="shared" si="17"/>
        <v>0.12</v>
      </c>
      <c r="AO33" s="78">
        <f t="shared" si="18"/>
        <v>0.5625</v>
      </c>
      <c r="AP33" s="78">
        <v>0.16</v>
      </c>
      <c r="AQ33" s="78">
        <v>0.09</v>
      </c>
      <c r="AR33" s="78">
        <f t="shared" si="2"/>
        <v>0.1019108280254777</v>
      </c>
      <c r="AS33" s="78">
        <f t="shared" si="24"/>
        <v>1.7777777777777779</v>
      </c>
      <c r="AT33" s="78">
        <f t="shared" si="11"/>
        <v>0.21333333333333335</v>
      </c>
      <c r="AU33" s="78">
        <v>0.09</v>
      </c>
      <c r="AV33" s="78">
        <v>0.09</v>
      </c>
      <c r="AW33" s="78">
        <f t="shared" si="4"/>
        <v>1</v>
      </c>
      <c r="AX33" s="80">
        <f t="shared" si="5"/>
        <v>1.7777777777777779</v>
      </c>
      <c r="AY33" s="87">
        <v>5</v>
      </c>
      <c r="AZ33" s="137">
        <v>11</v>
      </c>
      <c r="BA33" s="79" t="s">
        <v>75</v>
      </c>
      <c r="BB33" s="87">
        <v>8</v>
      </c>
      <c r="BC33" s="88">
        <v>7</v>
      </c>
      <c r="BD33" s="5"/>
    </row>
    <row r="34" spans="2:56" ht="12.75" customHeight="1" x14ac:dyDescent="0.2">
      <c r="B34" s="89"/>
      <c r="C34" s="90"/>
      <c r="D34" s="91"/>
      <c r="E34" s="91"/>
      <c r="F34" s="92">
        <f>1.11+0.46</f>
        <v>1.57</v>
      </c>
      <c r="G34" s="93" t="s">
        <v>75</v>
      </c>
      <c r="H34" s="93" t="s">
        <v>75</v>
      </c>
      <c r="I34" s="92">
        <v>0.05</v>
      </c>
      <c r="J34" s="92">
        <v>0.05</v>
      </c>
      <c r="K34" s="92">
        <v>0.76</v>
      </c>
      <c r="L34" s="92">
        <v>0.59</v>
      </c>
      <c r="M34" s="92">
        <v>0.54</v>
      </c>
      <c r="N34" s="92">
        <v>0.15</v>
      </c>
      <c r="O34" s="93" t="s">
        <v>75</v>
      </c>
      <c r="P34" s="93" t="s">
        <v>75</v>
      </c>
      <c r="Q34" s="93" t="s">
        <v>75</v>
      </c>
      <c r="R34" s="94">
        <f t="shared" si="8"/>
        <v>0.71052631578947367</v>
      </c>
      <c r="S34" s="94">
        <f t="shared" si="9"/>
        <v>0.77631578947368418</v>
      </c>
      <c r="T34" s="93" t="s">
        <v>75</v>
      </c>
      <c r="U34" s="92">
        <v>0.3</v>
      </c>
      <c r="V34" s="93" t="s">
        <v>75</v>
      </c>
      <c r="W34" s="93" t="s">
        <v>75</v>
      </c>
      <c r="X34" s="92">
        <f>MAX(X5:X32)</f>
        <v>0.15</v>
      </c>
      <c r="Y34" s="93" t="s">
        <v>75</v>
      </c>
      <c r="Z34" s="93" t="s">
        <v>75</v>
      </c>
      <c r="AA34" s="92">
        <v>0.43</v>
      </c>
      <c r="AB34" s="92">
        <f t="shared" si="0"/>
        <v>0.27388535031847133</v>
      </c>
      <c r="AC34" s="92">
        <v>0.98</v>
      </c>
      <c r="AD34" s="92">
        <f t="shared" si="1"/>
        <v>0.62420382165605093</v>
      </c>
      <c r="AE34" s="92">
        <v>0.09</v>
      </c>
      <c r="AF34" s="92">
        <f t="shared" si="19"/>
        <v>0.11842105263157894</v>
      </c>
      <c r="AG34" s="93" t="s">
        <v>75</v>
      </c>
      <c r="AH34" s="92">
        <f t="shared" si="20"/>
        <v>0.6</v>
      </c>
      <c r="AI34" s="92">
        <v>0.09</v>
      </c>
      <c r="AJ34" s="92">
        <v>0.05</v>
      </c>
      <c r="AK34" s="92">
        <f t="shared" si="21"/>
        <v>1.7999999999999998</v>
      </c>
      <c r="AL34" s="92">
        <f t="shared" si="22"/>
        <v>1</v>
      </c>
      <c r="AM34" s="92">
        <f t="shared" si="16"/>
        <v>0.6</v>
      </c>
      <c r="AN34" s="92">
        <f t="shared" si="17"/>
        <v>0.11842105263157894</v>
      </c>
      <c r="AO34" s="92">
        <f t="shared" si="18"/>
        <v>0.52941176470588225</v>
      </c>
      <c r="AP34" s="92">
        <v>0.17</v>
      </c>
      <c r="AQ34" s="92">
        <v>0.09</v>
      </c>
      <c r="AR34" s="92">
        <f t="shared" si="2"/>
        <v>0.10828025477707007</v>
      </c>
      <c r="AS34" s="92">
        <f t="shared" si="24"/>
        <v>1.8888888888888891</v>
      </c>
      <c r="AT34" s="92">
        <f t="shared" si="11"/>
        <v>0.22368421052631579</v>
      </c>
      <c r="AU34" s="92">
        <v>0.09</v>
      </c>
      <c r="AV34" s="92">
        <v>0.09</v>
      </c>
      <c r="AW34" s="92">
        <f t="shared" ref="AW34" si="44">AU34/AV34</f>
        <v>1</v>
      </c>
      <c r="AX34" s="94">
        <f t="shared" ref="AX34" si="45">AP34/AU34</f>
        <v>1.8888888888888891</v>
      </c>
      <c r="AY34" s="93" t="s">
        <v>75</v>
      </c>
      <c r="AZ34" s="138">
        <v>12</v>
      </c>
      <c r="BA34" s="93" t="s">
        <v>75</v>
      </c>
      <c r="BB34" s="93" t="s">
        <v>75</v>
      </c>
      <c r="BC34" s="95" t="s">
        <v>75</v>
      </c>
      <c r="BD34" s="5"/>
    </row>
    <row r="35" spans="2:56" ht="12.75" customHeight="1" x14ac:dyDescent="0.2">
      <c r="D35" s="58"/>
      <c r="E35" s="58" t="s">
        <v>22</v>
      </c>
      <c r="F35" s="8">
        <f>MIN(F3:F34)</f>
        <v>1.57</v>
      </c>
      <c r="G35" s="8">
        <f t="shared" ref="G35:BC35" si="46">MIN(G3:G34)</f>
        <v>3.02</v>
      </c>
      <c r="H35" s="8">
        <f t="shared" si="46"/>
        <v>1.6384976525821597</v>
      </c>
      <c r="I35" s="8">
        <f t="shared" si="46"/>
        <v>0.05</v>
      </c>
      <c r="J35" s="8">
        <f t="shared" si="46"/>
        <v>0.05</v>
      </c>
      <c r="K35" s="8">
        <f t="shared" si="46"/>
        <v>0.749</v>
      </c>
      <c r="L35" s="8">
        <f t="shared" si="46"/>
        <v>0.53</v>
      </c>
      <c r="M35" s="8">
        <f t="shared" si="46"/>
        <v>0.53</v>
      </c>
      <c r="N35" s="8">
        <f t="shared" si="46"/>
        <v>0.13</v>
      </c>
      <c r="O35" s="8">
        <f t="shared" si="46"/>
        <v>0.86999999999999988</v>
      </c>
      <c r="P35" s="8">
        <f t="shared" si="46"/>
        <v>1</v>
      </c>
      <c r="Q35" s="8">
        <f t="shared" si="46"/>
        <v>1.0199999999999998</v>
      </c>
      <c r="R35" s="8">
        <f t="shared" si="46"/>
        <v>0.62376237623762376</v>
      </c>
      <c r="S35" s="8">
        <f t="shared" si="46"/>
        <v>0.64356435643564358</v>
      </c>
      <c r="T35" s="8">
        <f t="shared" si="46"/>
        <v>5.5562500000000004</v>
      </c>
      <c r="U35" s="8">
        <f t="shared" si="46"/>
        <v>0.28100000000000003</v>
      </c>
      <c r="V35" s="8">
        <f t="shared" ref="V35" si="47">MIN(V3:V34)</f>
        <v>9.3005181347150252</v>
      </c>
      <c r="W35" s="8">
        <f t="shared" si="46"/>
        <v>0.54</v>
      </c>
      <c r="X35" s="8">
        <f t="shared" si="46"/>
        <v>0.1</v>
      </c>
      <c r="Y35" s="8">
        <f t="shared" si="46"/>
        <v>4.6197183098591559</v>
      </c>
      <c r="Z35" s="8">
        <f t="shared" si="46"/>
        <v>0.33</v>
      </c>
      <c r="AA35" s="8">
        <f t="shared" si="46"/>
        <v>0.43</v>
      </c>
      <c r="AB35" s="8">
        <f t="shared" si="46"/>
        <v>0.25000000000000006</v>
      </c>
      <c r="AC35" s="8">
        <f t="shared" si="46"/>
        <v>0.95599999999999996</v>
      </c>
      <c r="AD35" s="8">
        <f t="shared" si="46"/>
        <v>0.496</v>
      </c>
      <c r="AE35" s="8">
        <f t="shared" si="46"/>
        <v>0.09</v>
      </c>
      <c r="AF35" s="8">
        <f t="shared" si="46"/>
        <v>0.10615079365079365</v>
      </c>
      <c r="AG35" s="8">
        <f t="shared" si="46"/>
        <v>7.4999999999999983E-2</v>
      </c>
      <c r="AH35" s="8">
        <f t="shared" si="46"/>
        <v>0.6</v>
      </c>
      <c r="AI35" s="8">
        <f t="shared" si="46"/>
        <v>0.09</v>
      </c>
      <c r="AJ35" s="8">
        <f t="shared" si="46"/>
        <v>0.05</v>
      </c>
      <c r="AK35" s="8">
        <f t="shared" si="46"/>
        <v>1.125</v>
      </c>
      <c r="AL35" s="8">
        <f t="shared" si="46"/>
        <v>0.75</v>
      </c>
      <c r="AM35" s="8">
        <f t="shared" si="46"/>
        <v>0.5625</v>
      </c>
      <c r="AN35" s="8">
        <f t="shared" si="46"/>
        <v>8.9108910891089105E-2</v>
      </c>
      <c r="AO35" s="8">
        <f t="shared" si="46"/>
        <v>0.375</v>
      </c>
      <c r="AP35" s="8">
        <f t="shared" si="46"/>
        <v>0.16</v>
      </c>
      <c r="AQ35" s="8">
        <f t="shared" si="46"/>
        <v>7.0000000000000007E-2</v>
      </c>
      <c r="AR35" s="8">
        <f t="shared" si="46"/>
        <v>8.3599999999999994E-2</v>
      </c>
      <c r="AS35" s="8">
        <f t="shared" si="46"/>
        <v>0.18888888888888888</v>
      </c>
      <c r="AT35" s="8">
        <f t="shared" si="46"/>
        <v>0.19742063492063494</v>
      </c>
      <c r="AU35" s="8">
        <f t="shared" si="46"/>
        <v>8.5999999999999993E-2</v>
      </c>
      <c r="AV35" s="8">
        <f t="shared" si="46"/>
        <v>1.4E-2</v>
      </c>
      <c r="AW35" s="8">
        <f t="shared" si="46"/>
        <v>0.66666666666666674</v>
      </c>
      <c r="AX35" s="8">
        <f t="shared" si="46"/>
        <v>1.3273809523809523</v>
      </c>
      <c r="AY35" s="5">
        <f t="shared" si="46"/>
        <v>3</v>
      </c>
      <c r="AZ35" s="5">
        <f t="shared" ref="AZ35" si="48">MIN(AZ3:AZ34)</f>
        <v>7</v>
      </c>
      <c r="BA35" s="5">
        <f t="shared" si="46"/>
        <v>4</v>
      </c>
      <c r="BB35" s="5">
        <f t="shared" si="46"/>
        <v>3</v>
      </c>
      <c r="BC35" s="5">
        <f t="shared" si="46"/>
        <v>5</v>
      </c>
      <c r="BD35" s="5"/>
    </row>
    <row r="36" spans="2:56" ht="12.75" customHeight="1" x14ac:dyDescent="0.2">
      <c r="D36" s="58"/>
      <c r="E36" s="58" t="s">
        <v>23</v>
      </c>
      <c r="F36" s="8">
        <f>MAX(F3:F34)</f>
        <v>2.5</v>
      </c>
      <c r="G36" s="8">
        <f t="shared" ref="G36:BC36" si="49">MAX(G3:G34)</f>
        <v>4.1099999999999994</v>
      </c>
      <c r="H36" s="8">
        <f t="shared" si="49"/>
        <v>2.0700636942675157</v>
      </c>
      <c r="I36" s="8">
        <f t="shared" si="49"/>
        <v>0.11</v>
      </c>
      <c r="J36" s="8">
        <f t="shared" si="49"/>
        <v>0.6</v>
      </c>
      <c r="K36" s="8">
        <f t="shared" si="49"/>
        <v>1.01</v>
      </c>
      <c r="L36" s="8">
        <f t="shared" si="49"/>
        <v>0.73</v>
      </c>
      <c r="M36" s="8">
        <f t="shared" si="49"/>
        <v>0.7</v>
      </c>
      <c r="N36" s="8">
        <f t="shared" si="49"/>
        <v>0.17899999999999999</v>
      </c>
      <c r="O36" s="8">
        <f t="shared" si="49"/>
        <v>1.21</v>
      </c>
      <c r="P36" s="8">
        <f t="shared" si="49"/>
        <v>1.3599999999999999</v>
      </c>
      <c r="Q36" s="8">
        <f t="shared" si="49"/>
        <v>1.6000000000000003</v>
      </c>
      <c r="R36" s="8">
        <f t="shared" si="49"/>
        <v>0.75268817204301064</v>
      </c>
      <c r="S36" s="8">
        <f t="shared" si="49"/>
        <v>0.82392776523702027</v>
      </c>
      <c r="T36" s="8">
        <f t="shared" si="49"/>
        <v>8.0666666666666664</v>
      </c>
      <c r="U36" s="8">
        <f t="shared" si="49"/>
        <v>0.38600000000000001</v>
      </c>
      <c r="V36" s="8">
        <f t="shared" ref="V36" si="50">MAX(V3:V34)</f>
        <v>13.25806451612903</v>
      </c>
      <c r="W36" s="8">
        <f t="shared" si="49"/>
        <v>0.72</v>
      </c>
      <c r="X36" s="8">
        <f t="shared" si="49"/>
        <v>0.15</v>
      </c>
      <c r="Y36" s="8">
        <f t="shared" si="49"/>
        <v>6.5339805825242729</v>
      </c>
      <c r="Z36" s="8">
        <f t="shared" si="49"/>
        <v>0.48099999999999998</v>
      </c>
      <c r="AA36" s="8">
        <f t="shared" si="49"/>
        <v>0.67400000000000004</v>
      </c>
      <c r="AB36" s="8">
        <f t="shared" si="49"/>
        <v>0.34953064605190504</v>
      </c>
      <c r="AC36" s="8">
        <f t="shared" si="49"/>
        <v>1.284</v>
      </c>
      <c r="AD36" s="8">
        <f t="shared" si="49"/>
        <v>0.66096079514080619</v>
      </c>
      <c r="AE36" s="8">
        <f t="shared" si="49"/>
        <v>0.13600000000000001</v>
      </c>
      <c r="AF36" s="8">
        <f t="shared" si="49"/>
        <v>0.14285714285714285</v>
      </c>
      <c r="AG36" s="8">
        <f t="shared" si="49"/>
        <v>0.1219047619047619</v>
      </c>
      <c r="AH36" s="8">
        <f t="shared" si="49"/>
        <v>0.88571428571428568</v>
      </c>
      <c r="AI36" s="8">
        <f t="shared" si="49"/>
        <v>9.9000000000000005E-2</v>
      </c>
      <c r="AJ36" s="8">
        <f t="shared" si="49"/>
        <v>0.08</v>
      </c>
      <c r="AK36" s="8">
        <f t="shared" si="49"/>
        <v>1.7999999999999998</v>
      </c>
      <c r="AL36" s="8">
        <f t="shared" si="49"/>
        <v>1</v>
      </c>
      <c r="AM36" s="8">
        <f t="shared" si="49"/>
        <v>0.70714285714285707</v>
      </c>
      <c r="AN36" s="8">
        <f t="shared" si="49"/>
        <v>0.12</v>
      </c>
      <c r="AO36" s="8">
        <f t="shared" si="49"/>
        <v>0.5625</v>
      </c>
      <c r="AP36" s="8">
        <f t="shared" si="49"/>
        <v>0.25800000000000001</v>
      </c>
      <c r="AQ36" s="8">
        <f t="shared" si="49"/>
        <v>0.9</v>
      </c>
      <c r="AR36" s="8">
        <f t="shared" si="49"/>
        <v>0.13638873550524572</v>
      </c>
      <c r="AS36" s="8">
        <f t="shared" si="49"/>
        <v>2.9571428571428569</v>
      </c>
      <c r="AT36" s="8">
        <f t="shared" si="49"/>
        <v>0.27990135635018493</v>
      </c>
      <c r="AU36" s="8">
        <f t="shared" si="49"/>
        <v>0.16900000000000001</v>
      </c>
      <c r="AV36" s="8">
        <f t="shared" si="49"/>
        <v>0.153</v>
      </c>
      <c r="AW36" s="8">
        <f t="shared" si="49"/>
        <v>6.4285714285714279</v>
      </c>
      <c r="AX36" s="8">
        <f t="shared" si="49"/>
        <v>2.6279069767441863</v>
      </c>
      <c r="AY36" s="5">
        <f t="shared" si="49"/>
        <v>6</v>
      </c>
      <c r="AZ36" s="5">
        <f t="shared" ref="AZ36" si="51">MAX(AZ3:AZ34)</f>
        <v>16</v>
      </c>
      <c r="BA36" s="5">
        <f t="shared" si="49"/>
        <v>6</v>
      </c>
      <c r="BB36" s="5">
        <f t="shared" si="49"/>
        <v>8</v>
      </c>
      <c r="BC36" s="5">
        <f t="shared" si="49"/>
        <v>8</v>
      </c>
      <c r="BD36" s="5"/>
    </row>
    <row r="40" spans="2:56" x14ac:dyDescent="0.2">
      <c r="E40" s="46"/>
    </row>
    <row r="41" spans="2:56" x14ac:dyDescent="0.2">
      <c r="E41" s="46"/>
    </row>
    <row r="42" spans="2:56" x14ac:dyDescent="0.2">
      <c r="E42" s="46"/>
    </row>
    <row r="43" spans="2:56" x14ac:dyDescent="0.2">
      <c r="E43" s="46"/>
    </row>
    <row r="44" spans="2:56" x14ac:dyDescent="0.2">
      <c r="E44" s="46"/>
    </row>
    <row r="45" spans="2:56" x14ac:dyDescent="0.2">
      <c r="E45" s="46"/>
    </row>
    <row r="46" spans="2:56" x14ac:dyDescent="0.2">
      <c r="E46" s="46"/>
    </row>
    <row r="47" spans="2:56" x14ac:dyDescent="0.2">
      <c r="E47" s="46"/>
    </row>
    <row r="48" spans="2:56" x14ac:dyDescent="0.2">
      <c r="E48" s="46"/>
    </row>
    <row r="49" spans="5:5" x14ac:dyDescent="0.2">
      <c r="E49" s="46"/>
    </row>
    <row r="50" spans="5:5" x14ac:dyDescent="0.2">
      <c r="E50" s="46"/>
    </row>
    <row r="51" spans="5:5" x14ac:dyDescent="0.2">
      <c r="E51" s="46"/>
    </row>
    <row r="52" spans="5:5" x14ac:dyDescent="0.2">
      <c r="E52" s="46"/>
    </row>
    <row r="53" spans="5:5" x14ac:dyDescent="0.2">
      <c r="E53" s="46"/>
    </row>
    <row r="54" spans="5:5" x14ac:dyDescent="0.2">
      <c r="E54" s="46"/>
    </row>
    <row r="55" spans="5:5" x14ac:dyDescent="0.2">
      <c r="E55" s="46"/>
    </row>
    <row r="56" spans="5:5" x14ac:dyDescent="0.2">
      <c r="E56" s="46"/>
    </row>
    <row r="57" spans="5:5" x14ac:dyDescent="0.2">
      <c r="E57" s="46"/>
    </row>
    <row r="58" spans="5:5" x14ac:dyDescent="0.2">
      <c r="E58" s="46"/>
    </row>
    <row r="59" spans="5:5" x14ac:dyDescent="0.2">
      <c r="E59" s="46"/>
    </row>
    <row r="60" spans="5:5" x14ac:dyDescent="0.2">
      <c r="E60" s="46"/>
    </row>
    <row r="61" spans="5:5" x14ac:dyDescent="0.2">
      <c r="E61" s="46"/>
    </row>
    <row r="62" spans="5:5" x14ac:dyDescent="0.2">
      <c r="E62" s="46"/>
    </row>
    <row r="63" spans="5:5" x14ac:dyDescent="0.2">
      <c r="E63" s="46"/>
    </row>
    <row r="64" spans="5:5" x14ac:dyDescent="0.2">
      <c r="E64" s="46"/>
    </row>
    <row r="65" spans="5:5" x14ac:dyDescent="0.2">
      <c r="E65" s="46"/>
    </row>
    <row r="66" spans="5:5" x14ac:dyDescent="0.2">
      <c r="E66" s="46"/>
    </row>
    <row r="67" spans="5:5" x14ac:dyDescent="0.2">
      <c r="E67" s="46"/>
    </row>
    <row r="68" spans="5:5" x14ac:dyDescent="0.2">
      <c r="E68" s="46"/>
    </row>
    <row r="69" spans="5:5" x14ac:dyDescent="0.2">
      <c r="E69" s="46"/>
    </row>
    <row r="70" spans="5:5" x14ac:dyDescent="0.2">
      <c r="E70" s="46"/>
    </row>
    <row r="71" spans="5:5" x14ac:dyDescent="0.2">
      <c r="E71" s="46"/>
    </row>
    <row r="72" spans="5:5" x14ac:dyDescent="0.2">
      <c r="E72" s="46"/>
    </row>
    <row r="73" spans="5:5" x14ac:dyDescent="0.2">
      <c r="E73" s="46"/>
    </row>
    <row r="74" spans="5:5" x14ac:dyDescent="0.2">
      <c r="E74" s="46"/>
    </row>
    <row r="75" spans="5:5" x14ac:dyDescent="0.2">
      <c r="E75" s="46"/>
    </row>
    <row r="76" spans="5:5" x14ac:dyDescent="0.2">
      <c r="E76" s="46"/>
    </row>
    <row r="77" spans="5:5" x14ac:dyDescent="0.2">
      <c r="E77" s="46"/>
    </row>
    <row r="78" spans="5:5" x14ac:dyDescent="0.2">
      <c r="E78" s="46"/>
    </row>
    <row r="79" spans="5:5" x14ac:dyDescent="0.2">
      <c r="E79" s="46"/>
    </row>
    <row r="80" spans="5:5" x14ac:dyDescent="0.2">
      <c r="E80" s="46"/>
    </row>
    <row r="81" spans="5:5" x14ac:dyDescent="0.2">
      <c r="E81" s="46"/>
    </row>
    <row r="82" spans="5:5" x14ac:dyDescent="0.2">
      <c r="E82" s="46"/>
    </row>
    <row r="83" spans="5:5" x14ac:dyDescent="0.2">
      <c r="E83" s="46"/>
    </row>
    <row r="84" spans="5:5" x14ac:dyDescent="0.2">
      <c r="E84" s="46"/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78"/>
  <sheetViews>
    <sheetView zoomScaleNormal="100" workbookViewId="0"/>
  </sheetViews>
  <sheetFormatPr defaultColWidth="9.140625" defaultRowHeight="15" x14ac:dyDescent="0.2"/>
  <cols>
    <col min="1" max="1" width="1.7109375" style="6" customWidth="1"/>
    <col min="2" max="4" width="18.7109375" style="6" customWidth="1"/>
    <col min="5" max="5" width="36.7109375" style="1" customWidth="1"/>
    <col min="6" max="52" width="8.7109375" style="6" customWidth="1"/>
    <col min="53" max="55" width="10.7109375" style="6" customWidth="1"/>
    <col min="56" max="16384" width="9.140625" style="6"/>
  </cols>
  <sheetData>
    <row r="1" spans="1:55" s="5" customFormat="1" ht="12" customHeight="1" x14ac:dyDescent="0.2">
      <c r="A1" s="1"/>
      <c r="E1" s="1"/>
      <c r="G1" s="98"/>
    </row>
    <row r="2" spans="1:55" s="106" customFormat="1" ht="59.1" customHeight="1" x14ac:dyDescent="0.25">
      <c r="A2" s="46"/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1:55" ht="12.75" customHeight="1" x14ac:dyDescent="0.2">
      <c r="A3" s="5"/>
      <c r="B3" s="61">
        <v>22170</v>
      </c>
      <c r="C3" s="107" t="s">
        <v>158</v>
      </c>
      <c r="D3" s="108" t="s">
        <v>142</v>
      </c>
      <c r="E3" s="161" t="s">
        <v>179</v>
      </c>
      <c r="F3" s="64">
        <v>1.2869999999999999</v>
      </c>
      <c r="G3" s="146" t="s">
        <v>75</v>
      </c>
      <c r="H3" s="146" t="s">
        <v>75</v>
      </c>
      <c r="I3" s="64">
        <v>7.5999999999999998E-2</v>
      </c>
      <c r="J3" s="64">
        <v>4.3999999999999997E-2</v>
      </c>
      <c r="K3" s="64">
        <v>0.56299999999999994</v>
      </c>
      <c r="L3" s="64">
        <v>0.378</v>
      </c>
      <c r="M3" s="64">
        <v>0.43</v>
      </c>
      <c r="N3" s="64">
        <v>0.105</v>
      </c>
      <c r="O3" s="146" t="s">
        <v>75</v>
      </c>
      <c r="P3" s="146" t="s">
        <v>75</v>
      </c>
      <c r="Q3" s="146" t="s">
        <v>75</v>
      </c>
      <c r="R3" s="65">
        <f t="shared" ref="R3:R8" si="0">M3/K3</f>
        <v>0.76376554174067501</v>
      </c>
      <c r="S3" s="65">
        <f t="shared" ref="S3:S8" si="1">L3/K3</f>
        <v>0.67140319715808172</v>
      </c>
      <c r="T3" s="146" t="s">
        <v>75</v>
      </c>
      <c r="U3" s="64">
        <v>0.20799999999999999</v>
      </c>
      <c r="V3" s="146" t="s">
        <v>75</v>
      </c>
      <c r="W3" s="64">
        <v>0.36099999999999999</v>
      </c>
      <c r="X3" s="64">
        <v>4.8000000000000001E-2</v>
      </c>
      <c r="Y3" s="64">
        <f>W3/X3</f>
        <v>7.520833333333333</v>
      </c>
      <c r="Z3" s="64">
        <v>0.255</v>
      </c>
      <c r="AA3" s="64">
        <v>0.32900000000000001</v>
      </c>
      <c r="AB3" s="64">
        <f t="shared" ref="AB3:AB8" si="2">AA3/F3</f>
        <v>0.25563325563325567</v>
      </c>
      <c r="AC3" s="64">
        <v>0.70899999999999996</v>
      </c>
      <c r="AD3" s="64">
        <f t="shared" ref="AD3:AD8" si="3">AC3/F3</f>
        <v>0.55089355089355085</v>
      </c>
      <c r="AE3" s="64">
        <v>8.3000000000000004E-2</v>
      </c>
      <c r="AF3" s="64">
        <f t="shared" ref="AF3:AF9" si="4">AE3/K3</f>
        <v>0.1474245115452931</v>
      </c>
      <c r="AG3" s="146" t="s">
        <v>75</v>
      </c>
      <c r="AH3" s="64">
        <f>AE3/N3</f>
        <v>0.79047619047619055</v>
      </c>
      <c r="AI3" s="64">
        <v>0.09</v>
      </c>
      <c r="AJ3" s="146" t="s">
        <v>75</v>
      </c>
      <c r="AK3" s="146" t="s">
        <v>75</v>
      </c>
      <c r="AL3" s="64">
        <f t="shared" ref="AL3:AL8" si="5">AI3/AE3</f>
        <v>1.0843373493975903</v>
      </c>
      <c r="AM3" s="64">
        <f>AI3/N3</f>
        <v>0.8571428571428571</v>
      </c>
      <c r="AN3" s="64">
        <f t="shared" ref="AN3:AN9" si="6">AI3/K3</f>
        <v>0.15985790408525755</v>
      </c>
      <c r="AO3" s="64">
        <f t="shared" ref="AO3:AO8" si="7">AI3/AP3</f>
        <v>0.72</v>
      </c>
      <c r="AP3" s="64">
        <v>0.125</v>
      </c>
      <c r="AQ3" s="64">
        <v>5.3999999999999999E-2</v>
      </c>
      <c r="AR3" s="64">
        <f t="shared" ref="AR3:AR8" si="8">AP3/F3</f>
        <v>9.7125097125097135E-2</v>
      </c>
      <c r="AS3" s="64">
        <f t="shared" ref="AS3:AS8" si="9">AP3/AQ3</f>
        <v>2.3148148148148149</v>
      </c>
      <c r="AT3" s="64">
        <f t="shared" ref="AT3:AT8" si="10">AP3/K3</f>
        <v>0.22202486678507996</v>
      </c>
      <c r="AU3" s="64">
        <v>5.3999999999999999E-2</v>
      </c>
      <c r="AV3" s="64">
        <v>7.0000000000000007E-2</v>
      </c>
      <c r="AW3" s="64">
        <f>AU3/AV3</f>
        <v>0.77142857142857135</v>
      </c>
      <c r="AX3" s="65">
        <f>AP3/AU3</f>
        <v>2.3148148148148149</v>
      </c>
      <c r="AY3" s="146" t="s">
        <v>75</v>
      </c>
      <c r="AZ3" s="133">
        <v>5</v>
      </c>
      <c r="BA3" s="146" t="s">
        <v>75</v>
      </c>
      <c r="BB3" s="146" t="s">
        <v>75</v>
      </c>
      <c r="BC3" s="147" t="s">
        <v>75</v>
      </c>
    </row>
    <row r="4" spans="1:55" ht="12.75" customHeight="1" x14ac:dyDescent="0.2">
      <c r="A4" s="5"/>
      <c r="B4" s="69"/>
      <c r="C4" s="109"/>
      <c r="D4" s="109"/>
      <c r="E4" s="11"/>
      <c r="F4" s="72">
        <v>1.2869999999999999</v>
      </c>
      <c r="G4" s="110" t="s">
        <v>75</v>
      </c>
      <c r="H4" s="110" t="s">
        <v>75</v>
      </c>
      <c r="I4" s="72">
        <v>7.5999999999999998E-2</v>
      </c>
      <c r="J4" s="72">
        <v>4.7E-2</v>
      </c>
      <c r="K4" s="72">
        <v>0.55100000000000005</v>
      </c>
      <c r="L4" s="72">
        <v>0.36199999999999999</v>
      </c>
      <c r="M4" s="72">
        <v>0.433</v>
      </c>
      <c r="N4" s="110" t="s">
        <v>75</v>
      </c>
      <c r="O4" s="110" t="s">
        <v>75</v>
      </c>
      <c r="P4" s="110" t="s">
        <v>75</v>
      </c>
      <c r="Q4" s="110" t="s">
        <v>75</v>
      </c>
      <c r="R4" s="82">
        <f t="shared" si="0"/>
        <v>0.78584392014519044</v>
      </c>
      <c r="S4" s="82">
        <f t="shared" si="1"/>
        <v>0.6569872958257712</v>
      </c>
      <c r="T4" s="110" t="s">
        <v>75</v>
      </c>
      <c r="U4" s="72">
        <v>0.20799999999999999</v>
      </c>
      <c r="V4" s="110" t="s">
        <v>75</v>
      </c>
      <c r="W4" s="110" t="s">
        <v>75</v>
      </c>
      <c r="X4" s="110" t="s">
        <v>75</v>
      </c>
      <c r="Y4" s="110" t="s">
        <v>75</v>
      </c>
      <c r="Z4" s="72">
        <v>0.22700000000000001</v>
      </c>
      <c r="AA4" s="72">
        <v>0.307</v>
      </c>
      <c r="AB4" s="72">
        <f t="shared" si="2"/>
        <v>0.23853923853923856</v>
      </c>
      <c r="AC4" s="72">
        <v>0.70699999999999996</v>
      </c>
      <c r="AD4" s="72">
        <f t="shared" si="3"/>
        <v>0.54933954933954932</v>
      </c>
      <c r="AE4" s="72">
        <v>7.8E-2</v>
      </c>
      <c r="AF4" s="72">
        <f t="shared" si="4"/>
        <v>0.14156079854809436</v>
      </c>
      <c r="AG4" s="110" t="s">
        <v>75</v>
      </c>
      <c r="AH4" s="110" t="s">
        <v>75</v>
      </c>
      <c r="AI4" s="72">
        <v>0.09</v>
      </c>
      <c r="AJ4" s="110" t="s">
        <v>75</v>
      </c>
      <c r="AK4" s="110" t="s">
        <v>75</v>
      </c>
      <c r="AL4" s="72">
        <f t="shared" si="5"/>
        <v>1.1538461538461537</v>
      </c>
      <c r="AM4" s="110" t="s">
        <v>75</v>
      </c>
      <c r="AN4" s="72">
        <f t="shared" si="6"/>
        <v>0.16333938294010888</v>
      </c>
      <c r="AO4" s="72">
        <f t="shared" si="7"/>
        <v>0.76271186440677963</v>
      </c>
      <c r="AP4" s="72">
        <v>0.11799999999999999</v>
      </c>
      <c r="AQ4" s="72">
        <v>9.4E-2</v>
      </c>
      <c r="AR4" s="72">
        <f t="shared" si="8"/>
        <v>9.1686091686091681E-2</v>
      </c>
      <c r="AS4" s="72">
        <f t="shared" si="9"/>
        <v>1.2553191489361701</v>
      </c>
      <c r="AT4" s="72">
        <f t="shared" si="10"/>
        <v>0.21415607985480942</v>
      </c>
      <c r="AU4" s="72">
        <v>5.3999999999999999E-2</v>
      </c>
      <c r="AV4" s="72">
        <v>7.0000000000000007E-2</v>
      </c>
      <c r="AW4" s="72">
        <f t="shared" ref="AW4" si="11">AU4/AV4</f>
        <v>0.77142857142857135</v>
      </c>
      <c r="AX4" s="82">
        <f t="shared" ref="AX4" si="12">AP4/AU4</f>
        <v>2.1851851851851851</v>
      </c>
      <c r="AY4" s="110" t="s">
        <v>75</v>
      </c>
      <c r="AZ4" s="139" t="s">
        <v>75</v>
      </c>
      <c r="BA4" s="110" t="s">
        <v>75</v>
      </c>
      <c r="BB4" s="110" t="s">
        <v>75</v>
      </c>
      <c r="BC4" s="111" t="s">
        <v>75</v>
      </c>
    </row>
    <row r="5" spans="1:55" ht="12.75" customHeight="1" x14ac:dyDescent="0.2">
      <c r="A5" s="5"/>
      <c r="B5" s="86">
        <v>22170</v>
      </c>
      <c r="C5" s="112" t="s">
        <v>158</v>
      </c>
      <c r="D5" s="113" t="s">
        <v>142</v>
      </c>
      <c r="E5" s="17" t="s">
        <v>179</v>
      </c>
      <c r="F5" s="78">
        <v>1.371</v>
      </c>
      <c r="G5" s="80">
        <f>I5+J5+K5+L5+M5+N5+O5</f>
        <v>3.9270000000000005</v>
      </c>
      <c r="H5" s="80">
        <f>G5/F5</f>
        <v>2.8643326039387311</v>
      </c>
      <c r="I5" s="78">
        <v>7.6999999999999999E-2</v>
      </c>
      <c r="J5" s="78">
        <v>0.04</v>
      </c>
      <c r="K5" s="78">
        <v>0.72</v>
      </c>
      <c r="L5" s="78">
        <v>0.501</v>
      </c>
      <c r="M5" s="78">
        <v>0.54500000000000004</v>
      </c>
      <c r="N5" s="78">
        <v>0.13100000000000001</v>
      </c>
      <c r="O5" s="78">
        <v>1.913</v>
      </c>
      <c r="P5" s="78">
        <f>N5+O5</f>
        <v>2.044</v>
      </c>
      <c r="Q5" s="80">
        <f>(N5+O5)/K5</f>
        <v>2.838888888888889</v>
      </c>
      <c r="R5" s="80">
        <f t="shared" si="0"/>
        <v>0.75694444444444453</v>
      </c>
      <c r="S5" s="80">
        <f t="shared" si="1"/>
        <v>0.69583333333333341</v>
      </c>
      <c r="T5" s="80">
        <f>O5/N5</f>
        <v>14.603053435114504</v>
      </c>
      <c r="U5" s="114" t="s">
        <v>75</v>
      </c>
      <c r="V5" s="114" t="s">
        <v>75</v>
      </c>
      <c r="W5" s="78">
        <v>0.47699999999999998</v>
      </c>
      <c r="X5" s="78">
        <v>6.2E-2</v>
      </c>
      <c r="Y5" s="78">
        <f>W5/X5</f>
        <v>7.693548387096774</v>
      </c>
      <c r="Z5" s="78">
        <v>0.317</v>
      </c>
      <c r="AA5" s="78">
        <v>0.41599999999999998</v>
      </c>
      <c r="AB5" s="78">
        <f t="shared" si="2"/>
        <v>0.30342815463165573</v>
      </c>
      <c r="AC5" s="78">
        <v>0.93500000000000005</v>
      </c>
      <c r="AD5" s="78">
        <f t="shared" si="3"/>
        <v>0.68198395331874551</v>
      </c>
      <c r="AE5" s="78">
        <v>9.1999999999999998E-2</v>
      </c>
      <c r="AF5" s="78">
        <f t="shared" si="4"/>
        <v>0.12777777777777777</v>
      </c>
      <c r="AG5" s="78">
        <f>AE5/P5</f>
        <v>4.5009784735812131E-2</v>
      </c>
      <c r="AH5" s="78">
        <f>AE5/N5</f>
        <v>0.70229007633587781</v>
      </c>
      <c r="AI5" s="78">
        <v>9.8000000000000004E-2</v>
      </c>
      <c r="AJ5" s="114" t="s">
        <v>75</v>
      </c>
      <c r="AK5" s="114" t="s">
        <v>75</v>
      </c>
      <c r="AL5" s="78">
        <f t="shared" si="5"/>
        <v>1.0652173913043479</v>
      </c>
      <c r="AM5" s="78">
        <f>AI5/N5</f>
        <v>0.74809160305343514</v>
      </c>
      <c r="AN5" s="78">
        <f t="shared" si="6"/>
        <v>0.13611111111111113</v>
      </c>
      <c r="AO5" s="78">
        <f t="shared" si="7"/>
        <v>0.52127659574468088</v>
      </c>
      <c r="AP5" s="78">
        <v>0.188</v>
      </c>
      <c r="AQ5" s="78">
        <v>0.113</v>
      </c>
      <c r="AR5" s="78">
        <f t="shared" si="8"/>
        <v>0.13712618526622902</v>
      </c>
      <c r="AS5" s="78">
        <f t="shared" si="9"/>
        <v>1.663716814159292</v>
      </c>
      <c r="AT5" s="78">
        <f t="shared" si="10"/>
        <v>0.26111111111111113</v>
      </c>
      <c r="AU5" s="78">
        <v>7.0000000000000007E-2</v>
      </c>
      <c r="AV5" s="78">
        <v>9.9000000000000005E-2</v>
      </c>
      <c r="AW5" s="78">
        <f>AU5/AV5</f>
        <v>0.70707070707070707</v>
      </c>
      <c r="AX5" s="80">
        <f>AP5/AU5</f>
        <v>2.6857142857142855</v>
      </c>
      <c r="AY5" s="114" t="s">
        <v>75</v>
      </c>
      <c r="AZ5" s="140" t="s">
        <v>75</v>
      </c>
      <c r="BA5" s="114" t="s">
        <v>75</v>
      </c>
      <c r="BB5" s="114" t="s">
        <v>75</v>
      </c>
      <c r="BC5" s="115" t="s">
        <v>75</v>
      </c>
    </row>
    <row r="6" spans="1:55" ht="12.75" customHeight="1" x14ac:dyDescent="0.2">
      <c r="A6" s="5"/>
      <c r="B6" s="75"/>
      <c r="C6" s="113"/>
      <c r="D6" s="113"/>
      <c r="E6" s="17"/>
      <c r="F6" s="78">
        <v>1.371</v>
      </c>
      <c r="G6" s="114" t="s">
        <v>75</v>
      </c>
      <c r="H6" s="114" t="s">
        <v>75</v>
      </c>
      <c r="I6" s="78">
        <v>9.6000000000000002E-2</v>
      </c>
      <c r="J6" s="78">
        <v>4.4999999999999998E-2</v>
      </c>
      <c r="K6" s="78">
        <v>0.70699999999999996</v>
      </c>
      <c r="L6" s="78">
        <v>0.497</v>
      </c>
      <c r="M6" s="78">
        <v>0.57099999999999995</v>
      </c>
      <c r="N6" s="78">
        <v>0.129</v>
      </c>
      <c r="O6" s="114" t="s">
        <v>75</v>
      </c>
      <c r="P6" s="114" t="s">
        <v>75</v>
      </c>
      <c r="Q6" s="114" t="s">
        <v>75</v>
      </c>
      <c r="R6" s="80">
        <f t="shared" si="0"/>
        <v>0.80763790664780766</v>
      </c>
      <c r="S6" s="80">
        <f t="shared" si="1"/>
        <v>0.70297029702970304</v>
      </c>
      <c r="T6" s="114" t="s">
        <v>75</v>
      </c>
      <c r="U6" s="114" t="s">
        <v>75</v>
      </c>
      <c r="V6" s="114" t="s">
        <v>75</v>
      </c>
      <c r="W6" s="78">
        <v>0.47299999999999998</v>
      </c>
      <c r="X6" s="78">
        <v>6.5000000000000002E-2</v>
      </c>
      <c r="Y6" s="78">
        <f>W6/X6</f>
        <v>7.2769230769230759</v>
      </c>
      <c r="Z6" s="78">
        <v>0.29199999999999998</v>
      </c>
      <c r="AA6" s="78">
        <v>0.40699999999999997</v>
      </c>
      <c r="AB6" s="78">
        <f t="shared" si="2"/>
        <v>0.29686360320933625</v>
      </c>
      <c r="AC6" s="78">
        <v>0.93300000000000005</v>
      </c>
      <c r="AD6" s="78">
        <f t="shared" si="3"/>
        <v>0.68052516411378561</v>
      </c>
      <c r="AE6" s="78">
        <v>9.5000000000000001E-2</v>
      </c>
      <c r="AF6" s="78">
        <f t="shared" si="4"/>
        <v>0.13437057991513437</v>
      </c>
      <c r="AG6" s="114" t="s">
        <v>75</v>
      </c>
      <c r="AH6" s="78">
        <f>AE6/N6</f>
        <v>0.73643410852713176</v>
      </c>
      <c r="AI6" s="78">
        <v>9.8000000000000004E-2</v>
      </c>
      <c r="AJ6" s="114" t="s">
        <v>75</v>
      </c>
      <c r="AK6" s="114" t="s">
        <v>75</v>
      </c>
      <c r="AL6" s="78">
        <f t="shared" si="5"/>
        <v>1.0315789473684212</v>
      </c>
      <c r="AM6" s="78">
        <f>AI6/N6</f>
        <v>0.75968992248062017</v>
      </c>
      <c r="AN6" s="78">
        <f t="shared" si="6"/>
        <v>0.13861386138613863</v>
      </c>
      <c r="AO6" s="78">
        <f t="shared" si="7"/>
        <v>0.52972972972972976</v>
      </c>
      <c r="AP6" s="78">
        <v>0.185</v>
      </c>
      <c r="AQ6" s="78">
        <v>0.107</v>
      </c>
      <c r="AR6" s="78">
        <f t="shared" si="8"/>
        <v>0.1349380014587892</v>
      </c>
      <c r="AS6" s="78">
        <f t="shared" si="9"/>
        <v>1.7289719626168225</v>
      </c>
      <c r="AT6" s="78">
        <f t="shared" si="10"/>
        <v>0.26166902404526166</v>
      </c>
      <c r="AU6" s="78">
        <v>7.0000000000000007E-2</v>
      </c>
      <c r="AV6" s="78">
        <v>9.9000000000000005E-2</v>
      </c>
      <c r="AW6" s="78">
        <f t="shared" ref="AW6" si="13">AU6/AV6</f>
        <v>0.70707070707070707</v>
      </c>
      <c r="AX6" s="80">
        <f t="shared" ref="AX6" si="14">AP6/AU6</f>
        <v>2.6428571428571428</v>
      </c>
      <c r="AY6" s="114" t="s">
        <v>75</v>
      </c>
      <c r="AZ6" s="140" t="s">
        <v>75</v>
      </c>
      <c r="BA6" s="114" t="s">
        <v>75</v>
      </c>
      <c r="BB6" s="114" t="s">
        <v>75</v>
      </c>
      <c r="BC6" s="115" t="s">
        <v>75</v>
      </c>
    </row>
    <row r="7" spans="1:55" ht="12.75" customHeight="1" x14ac:dyDescent="0.2">
      <c r="A7" s="5"/>
      <c r="B7" s="83">
        <v>22170</v>
      </c>
      <c r="C7" s="116" t="s">
        <v>158</v>
      </c>
      <c r="D7" s="109" t="s">
        <v>142</v>
      </c>
      <c r="E7" s="11" t="s">
        <v>179</v>
      </c>
      <c r="F7" s="72">
        <v>1.2430000000000001</v>
      </c>
      <c r="G7" s="110" t="s">
        <v>75</v>
      </c>
      <c r="H7" s="110" t="s">
        <v>75</v>
      </c>
      <c r="I7" s="72">
        <v>8.2000000000000003E-2</v>
      </c>
      <c r="J7" s="72">
        <v>0.03</v>
      </c>
      <c r="K7" s="72">
        <v>0.58299999999999996</v>
      </c>
      <c r="L7" s="72">
        <v>0.38</v>
      </c>
      <c r="M7" s="72">
        <v>0.45600000000000002</v>
      </c>
      <c r="N7" s="110" t="s">
        <v>75</v>
      </c>
      <c r="O7" s="110" t="s">
        <v>75</v>
      </c>
      <c r="P7" s="110" t="s">
        <v>75</v>
      </c>
      <c r="Q7" s="110" t="s">
        <v>75</v>
      </c>
      <c r="R7" s="82">
        <f t="shared" si="0"/>
        <v>0.78216123499142376</v>
      </c>
      <c r="S7" s="82">
        <f t="shared" si="1"/>
        <v>0.65180102915951976</v>
      </c>
      <c r="T7" s="110" t="s">
        <v>75</v>
      </c>
      <c r="U7" s="110" t="s">
        <v>75</v>
      </c>
      <c r="V7" s="110" t="s">
        <v>75</v>
      </c>
      <c r="W7" s="72">
        <v>0.373</v>
      </c>
      <c r="X7" s="72">
        <v>6.5000000000000002E-2</v>
      </c>
      <c r="Y7" s="72">
        <f>W7/X7</f>
        <v>5.7384615384615385</v>
      </c>
      <c r="Z7" s="72">
        <v>0.25</v>
      </c>
      <c r="AA7" s="72">
        <v>0.32300000000000001</v>
      </c>
      <c r="AB7" s="72">
        <f t="shared" si="2"/>
        <v>0.25985518905872884</v>
      </c>
      <c r="AC7" s="72">
        <v>0.77400000000000002</v>
      </c>
      <c r="AD7" s="72">
        <f t="shared" si="3"/>
        <v>0.6226870474658085</v>
      </c>
      <c r="AE7" s="72">
        <v>8.3000000000000004E-2</v>
      </c>
      <c r="AF7" s="72">
        <f t="shared" si="4"/>
        <v>0.14236706689536879</v>
      </c>
      <c r="AG7" s="110" t="s">
        <v>75</v>
      </c>
      <c r="AH7" s="110" t="s">
        <v>75</v>
      </c>
      <c r="AI7" s="72">
        <v>9.0999999999999998E-2</v>
      </c>
      <c r="AJ7" s="110" t="s">
        <v>75</v>
      </c>
      <c r="AK7" s="110" t="s">
        <v>75</v>
      </c>
      <c r="AL7" s="72">
        <f t="shared" si="5"/>
        <v>1.0963855421686746</v>
      </c>
      <c r="AM7" s="110" t="s">
        <v>75</v>
      </c>
      <c r="AN7" s="72">
        <f t="shared" si="6"/>
        <v>0.15608919382504288</v>
      </c>
      <c r="AO7" s="72">
        <f t="shared" si="7"/>
        <v>0.7</v>
      </c>
      <c r="AP7" s="72">
        <v>0.13</v>
      </c>
      <c r="AQ7" s="72">
        <v>9.2999999999999999E-2</v>
      </c>
      <c r="AR7" s="72">
        <f t="shared" si="8"/>
        <v>0.10458567980691874</v>
      </c>
      <c r="AS7" s="72">
        <f t="shared" si="9"/>
        <v>1.3978494623655915</v>
      </c>
      <c r="AT7" s="72">
        <f t="shared" si="10"/>
        <v>0.22298456260720415</v>
      </c>
      <c r="AU7" s="72">
        <v>6.3E-2</v>
      </c>
      <c r="AV7" s="72">
        <v>8.3000000000000004E-2</v>
      </c>
      <c r="AW7" s="72">
        <f>AU7/AV7</f>
        <v>0.75903614457831325</v>
      </c>
      <c r="AX7" s="82">
        <f>AP7/AU7</f>
        <v>2.0634920634920637</v>
      </c>
      <c r="AY7" s="110" t="s">
        <v>75</v>
      </c>
      <c r="AZ7" s="139" t="s">
        <v>75</v>
      </c>
      <c r="BA7" s="110" t="s">
        <v>75</v>
      </c>
      <c r="BB7" s="110" t="s">
        <v>75</v>
      </c>
      <c r="BC7" s="111" t="s">
        <v>75</v>
      </c>
    </row>
    <row r="8" spans="1:55" ht="12.75" customHeight="1" x14ac:dyDescent="0.2">
      <c r="A8" s="5"/>
      <c r="B8" s="69"/>
      <c r="C8" s="109"/>
      <c r="D8" s="109"/>
      <c r="E8" s="162"/>
      <c r="F8" s="72">
        <v>1.2430000000000001</v>
      </c>
      <c r="G8" s="110" t="s">
        <v>75</v>
      </c>
      <c r="H8" s="110" t="s">
        <v>75</v>
      </c>
      <c r="I8" s="72">
        <v>7.8E-2</v>
      </c>
      <c r="J8" s="72">
        <v>3.4000000000000002E-2</v>
      </c>
      <c r="K8" s="72">
        <v>0.56999999999999995</v>
      </c>
      <c r="L8" s="72">
        <v>0.39400000000000002</v>
      </c>
      <c r="M8" s="72">
        <v>0.45800000000000002</v>
      </c>
      <c r="N8" s="110" t="s">
        <v>75</v>
      </c>
      <c r="O8" s="110" t="s">
        <v>75</v>
      </c>
      <c r="P8" s="110" t="s">
        <v>75</v>
      </c>
      <c r="Q8" s="110" t="s">
        <v>75</v>
      </c>
      <c r="R8" s="82">
        <f t="shared" si="0"/>
        <v>0.80350877192982462</v>
      </c>
      <c r="S8" s="82">
        <f t="shared" si="1"/>
        <v>0.69122807017543864</v>
      </c>
      <c r="T8" s="110" t="s">
        <v>75</v>
      </c>
      <c r="U8" s="110" t="s">
        <v>75</v>
      </c>
      <c r="V8" s="110" t="s">
        <v>75</v>
      </c>
      <c r="W8" s="72">
        <v>0.36699999999999999</v>
      </c>
      <c r="X8" s="72">
        <v>6.9000000000000006E-2</v>
      </c>
      <c r="Y8" s="72">
        <f>W8/X8</f>
        <v>5.3188405797101446</v>
      </c>
      <c r="Z8" s="72">
        <v>0.255</v>
      </c>
      <c r="AA8" s="72">
        <v>0.34</v>
      </c>
      <c r="AB8" s="72">
        <f t="shared" si="2"/>
        <v>0.2735317779565567</v>
      </c>
      <c r="AC8" s="72">
        <v>0.77600000000000002</v>
      </c>
      <c r="AD8" s="72">
        <f t="shared" si="3"/>
        <v>0.62429605792437648</v>
      </c>
      <c r="AE8" s="72">
        <v>8.4000000000000005E-2</v>
      </c>
      <c r="AF8" s="72">
        <f t="shared" si="4"/>
        <v>0.14736842105263159</v>
      </c>
      <c r="AG8" s="110" t="s">
        <v>75</v>
      </c>
      <c r="AH8" s="110" t="s">
        <v>75</v>
      </c>
      <c r="AI8" s="72">
        <v>9.0999999999999998E-2</v>
      </c>
      <c r="AJ8" s="110" t="s">
        <v>75</v>
      </c>
      <c r="AK8" s="110" t="s">
        <v>75</v>
      </c>
      <c r="AL8" s="72">
        <f t="shared" si="5"/>
        <v>1.0833333333333333</v>
      </c>
      <c r="AM8" s="110" t="s">
        <v>75</v>
      </c>
      <c r="AN8" s="72">
        <f t="shared" si="6"/>
        <v>0.15964912280701754</v>
      </c>
      <c r="AO8" s="72">
        <f t="shared" si="7"/>
        <v>0.60264900662251653</v>
      </c>
      <c r="AP8" s="72">
        <v>0.151</v>
      </c>
      <c r="AQ8" s="72">
        <v>9.9000000000000005E-2</v>
      </c>
      <c r="AR8" s="72">
        <f t="shared" si="8"/>
        <v>0.12148028962188252</v>
      </c>
      <c r="AS8" s="72">
        <f t="shared" si="9"/>
        <v>1.5252525252525251</v>
      </c>
      <c r="AT8" s="72">
        <f t="shared" si="10"/>
        <v>0.26491228070175438</v>
      </c>
      <c r="AU8" s="72">
        <v>6.3E-2</v>
      </c>
      <c r="AV8" s="72">
        <v>8.3000000000000004E-2</v>
      </c>
      <c r="AW8" s="72">
        <f>AU8/AV8</f>
        <v>0.75903614457831325</v>
      </c>
      <c r="AX8" s="82">
        <f>AP8/AU8</f>
        <v>2.3968253968253967</v>
      </c>
      <c r="AY8" s="110" t="s">
        <v>75</v>
      </c>
      <c r="AZ8" s="139" t="s">
        <v>75</v>
      </c>
      <c r="BA8" s="110" t="s">
        <v>75</v>
      </c>
      <c r="BB8" s="110" t="s">
        <v>75</v>
      </c>
      <c r="BC8" s="111" t="s">
        <v>75</v>
      </c>
    </row>
    <row r="9" spans="1:55" ht="12.75" customHeight="1" x14ac:dyDescent="0.2">
      <c r="A9" s="5"/>
      <c r="B9" s="86">
        <v>22170</v>
      </c>
      <c r="C9" s="112" t="s">
        <v>158</v>
      </c>
      <c r="D9" s="113" t="s">
        <v>159</v>
      </c>
      <c r="E9" s="17" t="s">
        <v>179</v>
      </c>
      <c r="F9" s="78">
        <v>1.448</v>
      </c>
      <c r="G9" s="80">
        <f>I9+J9+K9+L9+M9+N9+O9</f>
        <v>3.4950000000000001</v>
      </c>
      <c r="H9" s="80">
        <f>G9/F9</f>
        <v>2.4136740331491713</v>
      </c>
      <c r="I9" s="78">
        <v>8.6999999999999994E-2</v>
      </c>
      <c r="J9" s="78">
        <v>4.3999999999999997E-2</v>
      </c>
      <c r="K9" s="78">
        <v>0.73199999999999998</v>
      </c>
      <c r="L9" s="78">
        <v>0.48399999999999999</v>
      </c>
      <c r="M9" s="78">
        <v>0.53700000000000003</v>
      </c>
      <c r="N9" s="78">
        <v>0.14000000000000001</v>
      </c>
      <c r="O9" s="78">
        <v>1.4710000000000001</v>
      </c>
      <c r="P9" s="78">
        <f>N9+O9</f>
        <v>1.6110000000000002</v>
      </c>
      <c r="Q9" s="80">
        <f>(N9+O9)/K9</f>
        <v>2.2008196721311477</v>
      </c>
      <c r="R9" s="80">
        <f t="shared" ref="R9:R14" si="15">M9/K9</f>
        <v>0.73360655737704927</v>
      </c>
      <c r="S9" s="80">
        <f t="shared" ref="S9:S14" si="16">L9/K9</f>
        <v>0.66120218579234968</v>
      </c>
      <c r="T9" s="80">
        <f>O9/N9</f>
        <v>10.507142857142856</v>
      </c>
      <c r="U9" s="78">
        <v>0.26400000000000001</v>
      </c>
      <c r="V9" s="78">
        <f t="shared" ref="V9:V28" si="17">G9/U9</f>
        <v>13.238636363636363</v>
      </c>
      <c r="W9" s="78">
        <v>0.45100000000000001</v>
      </c>
      <c r="X9" s="78">
        <v>7.0000000000000007E-2</v>
      </c>
      <c r="Y9" s="78">
        <f>W9/X9</f>
        <v>6.4428571428571422</v>
      </c>
      <c r="Z9" s="78">
        <v>0.26500000000000001</v>
      </c>
      <c r="AA9" s="78">
        <v>0.40400000000000003</v>
      </c>
      <c r="AB9" s="78">
        <f t="shared" ref="AB9:AB14" si="18">AA9/F9</f>
        <v>0.27900552486187846</v>
      </c>
      <c r="AC9" s="78">
        <v>0.93600000000000005</v>
      </c>
      <c r="AD9" s="78">
        <f t="shared" ref="AD9:AD14" si="19">AC9/F9</f>
        <v>0.64640883977900554</v>
      </c>
      <c r="AE9" s="78">
        <v>8.2000000000000003E-2</v>
      </c>
      <c r="AF9" s="78">
        <f t="shared" si="4"/>
        <v>0.11202185792349728</v>
      </c>
      <c r="AG9" s="78">
        <f>AE9/P9</f>
        <v>5.0900062073246426E-2</v>
      </c>
      <c r="AH9" s="78">
        <f t="shared" ref="AH9:AH14" si="20">AE9/N9</f>
        <v>0.58571428571428563</v>
      </c>
      <c r="AI9" s="78">
        <v>9.7000000000000003E-2</v>
      </c>
      <c r="AJ9" s="78">
        <v>6.7000000000000004E-2</v>
      </c>
      <c r="AK9" s="78">
        <f t="shared" ref="AK9:AK14" si="21">AI9/AJ9</f>
        <v>1.4477611940298507</v>
      </c>
      <c r="AL9" s="78">
        <f t="shared" ref="AL9:AL14" si="22">AI9/AE9</f>
        <v>1.1829268292682926</v>
      </c>
      <c r="AM9" s="78">
        <f t="shared" ref="AM9:AM14" si="23">AI9/N9</f>
        <v>0.69285714285714284</v>
      </c>
      <c r="AN9" s="78">
        <f t="shared" si="6"/>
        <v>0.1325136612021858</v>
      </c>
      <c r="AO9" s="78">
        <f t="shared" ref="AO9:AO14" si="24">AI9/AP9</f>
        <v>0.55747126436781613</v>
      </c>
      <c r="AP9" s="78">
        <v>0.17399999999999999</v>
      </c>
      <c r="AQ9" s="78">
        <v>0.111</v>
      </c>
      <c r="AR9" s="78">
        <f t="shared" ref="AR9:AR14" si="25">AP9/F9</f>
        <v>0.12016574585635359</v>
      </c>
      <c r="AS9" s="78">
        <f t="shared" ref="AS9:AS14" si="26">AP9/AQ9</f>
        <v>1.5675675675675675</v>
      </c>
      <c r="AT9" s="78">
        <f t="shared" ref="AT9:AT14" si="27">AP9/K9</f>
        <v>0.23770491803278687</v>
      </c>
      <c r="AU9" s="78">
        <v>5.3999999999999999E-2</v>
      </c>
      <c r="AV9" s="78">
        <v>7.3999999999999996E-2</v>
      </c>
      <c r="AW9" s="78">
        <f t="shared" ref="AW9:AW14" si="28">AU9/AV9</f>
        <v>0.72972972972972971</v>
      </c>
      <c r="AX9" s="80">
        <f t="shared" ref="AX9:AX14" si="29">AP9/AU9</f>
        <v>3.2222222222222219</v>
      </c>
      <c r="AY9" s="87">
        <v>5</v>
      </c>
      <c r="AZ9" s="137">
        <v>3</v>
      </c>
      <c r="BA9" s="87">
        <v>8</v>
      </c>
      <c r="BB9" s="87">
        <v>6</v>
      </c>
      <c r="BC9" s="88">
        <v>6</v>
      </c>
    </row>
    <row r="10" spans="1:55" ht="12.75" customHeight="1" x14ac:dyDescent="0.2">
      <c r="A10" s="5"/>
      <c r="B10" s="75"/>
      <c r="C10" s="113"/>
      <c r="D10" s="113"/>
      <c r="E10" s="17"/>
      <c r="F10" s="78">
        <v>1.448</v>
      </c>
      <c r="G10" s="80">
        <f>I10+J10+K10+L10+M10+N10+O10</f>
        <v>3.7639999999999998</v>
      </c>
      <c r="H10" s="80">
        <f>G10/F10</f>
        <v>2.5994475138121547</v>
      </c>
      <c r="I10" s="78">
        <v>8.7999999999999995E-2</v>
      </c>
      <c r="J10" s="78">
        <v>4.2000000000000003E-2</v>
      </c>
      <c r="K10" s="78">
        <v>0.70399999999999996</v>
      </c>
      <c r="L10" s="78">
        <v>0.49099999999999999</v>
      </c>
      <c r="M10" s="78">
        <v>0.55200000000000005</v>
      </c>
      <c r="N10" s="78">
        <v>0.14000000000000001</v>
      </c>
      <c r="O10" s="78">
        <f>0.883+0.864</f>
        <v>1.7469999999999999</v>
      </c>
      <c r="P10" s="78">
        <f>N10+O10</f>
        <v>1.887</v>
      </c>
      <c r="Q10" s="80">
        <f>(N10+O10)/K10</f>
        <v>2.6803977272727275</v>
      </c>
      <c r="R10" s="80">
        <f t="shared" si="15"/>
        <v>0.78409090909090917</v>
      </c>
      <c r="S10" s="80">
        <f t="shared" si="16"/>
        <v>0.69744318181818188</v>
      </c>
      <c r="T10" s="80">
        <f>O10/N10</f>
        <v>12.478571428571426</v>
      </c>
      <c r="U10" s="78">
        <v>0.26400000000000001</v>
      </c>
      <c r="V10" s="78">
        <f t="shared" si="17"/>
        <v>14.257575757575756</v>
      </c>
      <c r="W10" s="78">
        <v>0.432</v>
      </c>
      <c r="X10" s="78">
        <v>7.0999999999999994E-2</v>
      </c>
      <c r="Y10" s="78">
        <f t="shared" ref="Y10:Y28" si="30">W10/X10</f>
        <v>6.0845070422535219</v>
      </c>
      <c r="Z10" s="114" t="s">
        <v>75</v>
      </c>
      <c r="AA10" s="78">
        <v>0.41599999999999998</v>
      </c>
      <c r="AB10" s="78">
        <f t="shared" si="18"/>
        <v>0.287292817679558</v>
      </c>
      <c r="AC10" s="78">
        <v>0.93500000000000005</v>
      </c>
      <c r="AD10" s="78">
        <f t="shared" si="19"/>
        <v>0.64571823204419898</v>
      </c>
      <c r="AE10" s="78">
        <v>8.1000000000000003E-2</v>
      </c>
      <c r="AF10" s="78">
        <f t="shared" ref="AF10:AF27" si="31">AE10/K10</f>
        <v>0.11505681818181819</v>
      </c>
      <c r="AG10" s="78">
        <f t="shared" ref="AG10:AG27" si="32">AE10/P10</f>
        <v>4.2925278219395867E-2</v>
      </c>
      <c r="AH10" s="78">
        <f t="shared" si="20"/>
        <v>0.57857142857142851</v>
      </c>
      <c r="AI10" s="78">
        <v>9.7000000000000003E-2</v>
      </c>
      <c r="AJ10" s="78">
        <v>6.7000000000000004E-2</v>
      </c>
      <c r="AK10" s="78">
        <f t="shared" si="21"/>
        <v>1.4477611940298507</v>
      </c>
      <c r="AL10" s="78">
        <f t="shared" si="22"/>
        <v>1.1975308641975309</v>
      </c>
      <c r="AM10" s="78">
        <f t="shared" si="23"/>
        <v>0.69285714285714284</v>
      </c>
      <c r="AN10" s="78">
        <f t="shared" ref="AN10:AN26" si="33">AI10/K10</f>
        <v>0.13778409090909091</v>
      </c>
      <c r="AO10" s="78">
        <f t="shared" si="24"/>
        <v>0.54802259887005655</v>
      </c>
      <c r="AP10" s="78">
        <v>0.17699999999999999</v>
      </c>
      <c r="AQ10" s="78">
        <v>0.112</v>
      </c>
      <c r="AR10" s="78">
        <f t="shared" si="25"/>
        <v>0.12223756906077347</v>
      </c>
      <c r="AS10" s="78">
        <f t="shared" si="26"/>
        <v>1.5803571428571428</v>
      </c>
      <c r="AT10" s="78">
        <f t="shared" si="27"/>
        <v>0.25142045454545453</v>
      </c>
      <c r="AU10" s="78">
        <v>5.3999999999999999E-2</v>
      </c>
      <c r="AV10" s="78">
        <v>7.3999999999999996E-2</v>
      </c>
      <c r="AW10" s="78">
        <f t="shared" si="28"/>
        <v>0.72972972972972971</v>
      </c>
      <c r="AX10" s="80">
        <f t="shared" si="29"/>
        <v>3.2777777777777777</v>
      </c>
      <c r="AY10" s="114" t="s">
        <v>75</v>
      </c>
      <c r="AZ10" s="140">
        <v>4</v>
      </c>
      <c r="BA10" s="114" t="s">
        <v>75</v>
      </c>
      <c r="BB10" s="114" t="s">
        <v>75</v>
      </c>
      <c r="BC10" s="115" t="s">
        <v>75</v>
      </c>
    </row>
    <row r="11" spans="1:55" ht="12.75" customHeight="1" x14ac:dyDescent="0.2">
      <c r="A11" s="5"/>
      <c r="B11" s="83">
        <v>22170</v>
      </c>
      <c r="C11" s="116" t="s">
        <v>158</v>
      </c>
      <c r="D11" s="109" t="s">
        <v>159</v>
      </c>
      <c r="E11" s="11" t="s">
        <v>179</v>
      </c>
      <c r="F11" s="72">
        <v>1.1539999999999999</v>
      </c>
      <c r="G11" s="82">
        <f>I11+J11+K11+L11+M11+N11+O11</f>
        <v>3.8140000000000001</v>
      </c>
      <c r="H11" s="82">
        <f>G11/F11</f>
        <v>3.3050259965337956</v>
      </c>
      <c r="I11" s="72">
        <v>7.9000000000000001E-2</v>
      </c>
      <c r="J11" s="72">
        <v>4.1000000000000002E-2</v>
      </c>
      <c r="K11" s="72">
        <v>0.67900000000000005</v>
      </c>
      <c r="L11" s="72">
        <v>0.44800000000000001</v>
      </c>
      <c r="M11" s="72">
        <v>0.499</v>
      </c>
      <c r="N11" s="72">
        <v>0.13300000000000001</v>
      </c>
      <c r="O11" s="72">
        <v>1.9350000000000001</v>
      </c>
      <c r="P11" s="72">
        <f>N11+O11</f>
        <v>2.0680000000000001</v>
      </c>
      <c r="Q11" s="82">
        <f>(N11+O11)/K11</f>
        <v>3.0456553755522826</v>
      </c>
      <c r="R11" s="82">
        <f t="shared" si="15"/>
        <v>0.73490427098674516</v>
      </c>
      <c r="S11" s="82">
        <f t="shared" si="16"/>
        <v>0.65979381443298968</v>
      </c>
      <c r="T11" s="82">
        <f>O11/N11</f>
        <v>14.548872180451127</v>
      </c>
      <c r="U11" s="72">
        <v>0.22700000000000001</v>
      </c>
      <c r="V11" s="72">
        <f t="shared" si="17"/>
        <v>16.801762114537446</v>
      </c>
      <c r="W11" s="72">
        <v>0.442</v>
      </c>
      <c r="X11" s="72">
        <v>7.6999999999999999E-2</v>
      </c>
      <c r="Y11" s="72">
        <f t="shared" si="30"/>
        <v>5.7402597402597406</v>
      </c>
      <c r="Z11" s="72">
        <v>0.30199999999999999</v>
      </c>
      <c r="AA11" s="72">
        <v>0.379</v>
      </c>
      <c r="AB11" s="72">
        <f t="shared" si="18"/>
        <v>0.32842287694974004</v>
      </c>
      <c r="AC11" s="72">
        <v>0.83199999999999996</v>
      </c>
      <c r="AD11" s="72">
        <f t="shared" si="19"/>
        <v>0.72097053726169846</v>
      </c>
      <c r="AE11" s="72">
        <v>7.6999999999999999E-2</v>
      </c>
      <c r="AF11" s="72">
        <f t="shared" si="31"/>
        <v>0.11340206185567009</v>
      </c>
      <c r="AG11" s="72">
        <f t="shared" si="32"/>
        <v>3.7234042553191488E-2</v>
      </c>
      <c r="AH11" s="72">
        <f t="shared" si="20"/>
        <v>0.57894736842105254</v>
      </c>
      <c r="AI11" s="72">
        <v>9.2999999999999999E-2</v>
      </c>
      <c r="AJ11" s="72">
        <v>0.06</v>
      </c>
      <c r="AK11" s="72">
        <f t="shared" si="21"/>
        <v>1.55</v>
      </c>
      <c r="AL11" s="72">
        <f t="shared" si="22"/>
        <v>1.2077922077922079</v>
      </c>
      <c r="AM11" s="72">
        <f t="shared" si="23"/>
        <v>0.69924812030075179</v>
      </c>
      <c r="AN11" s="72">
        <f t="shared" si="33"/>
        <v>0.13696612665684829</v>
      </c>
      <c r="AO11" s="72">
        <f t="shared" si="24"/>
        <v>0.5502958579881656</v>
      </c>
      <c r="AP11" s="72">
        <v>0.16900000000000001</v>
      </c>
      <c r="AQ11" s="72">
        <v>0.115</v>
      </c>
      <c r="AR11" s="72">
        <f t="shared" si="25"/>
        <v>0.14644714038128251</v>
      </c>
      <c r="AS11" s="72">
        <f t="shared" si="26"/>
        <v>1.4695652173913043</v>
      </c>
      <c r="AT11" s="72">
        <f t="shared" si="27"/>
        <v>0.24889543446244478</v>
      </c>
      <c r="AU11" s="72">
        <v>4.2000000000000003E-2</v>
      </c>
      <c r="AV11" s="72">
        <v>6.8000000000000005E-2</v>
      </c>
      <c r="AW11" s="72">
        <f t="shared" si="28"/>
        <v>0.61764705882352944</v>
      </c>
      <c r="AX11" s="82">
        <f t="shared" si="29"/>
        <v>4.0238095238095237</v>
      </c>
      <c r="AY11" s="84">
        <v>5</v>
      </c>
      <c r="AZ11" s="136">
        <v>3</v>
      </c>
      <c r="BA11" s="84">
        <v>8</v>
      </c>
      <c r="BB11" s="84">
        <v>6</v>
      </c>
      <c r="BC11" s="85">
        <v>6</v>
      </c>
    </row>
    <row r="12" spans="1:55" ht="12.75" customHeight="1" x14ac:dyDescent="0.2">
      <c r="A12" s="5"/>
      <c r="B12" s="69"/>
      <c r="C12" s="109"/>
      <c r="D12" s="109"/>
      <c r="E12" s="11"/>
      <c r="F12" s="72">
        <v>1.1539999999999999</v>
      </c>
      <c r="G12" s="82">
        <f>I12+J12+K12+L12+M12+N12+O12</f>
        <v>3.87</v>
      </c>
      <c r="H12" s="82">
        <f>G12/F12</f>
        <v>3.3535528596187176</v>
      </c>
      <c r="I12" s="72">
        <v>0.08</v>
      </c>
      <c r="J12" s="72">
        <v>4.2000000000000003E-2</v>
      </c>
      <c r="K12" s="72">
        <v>0.67900000000000005</v>
      </c>
      <c r="L12" s="72">
        <v>0.46100000000000002</v>
      </c>
      <c r="M12" s="72">
        <v>0.498</v>
      </c>
      <c r="N12" s="72">
        <v>0.122</v>
      </c>
      <c r="O12" s="72">
        <f>0.238+1.75</f>
        <v>1.988</v>
      </c>
      <c r="P12" s="72">
        <f>N12+O12</f>
        <v>2.11</v>
      </c>
      <c r="Q12" s="82">
        <f>(N12+O12)/K12</f>
        <v>3.1075110456553752</v>
      </c>
      <c r="R12" s="82">
        <f t="shared" si="15"/>
        <v>0.73343151693667152</v>
      </c>
      <c r="S12" s="82">
        <f t="shared" si="16"/>
        <v>0.67893961708394701</v>
      </c>
      <c r="T12" s="82">
        <f>O12/N12</f>
        <v>16.295081967213115</v>
      </c>
      <c r="U12" s="72">
        <v>0.22700000000000001</v>
      </c>
      <c r="V12" s="72">
        <f t="shared" si="17"/>
        <v>17.048458149779737</v>
      </c>
      <c r="W12" s="72">
        <v>0.436</v>
      </c>
      <c r="X12" s="72">
        <v>7.5999999999999998E-2</v>
      </c>
      <c r="Y12" s="72">
        <f t="shared" si="30"/>
        <v>5.7368421052631584</v>
      </c>
      <c r="Z12" s="110" t="s">
        <v>75</v>
      </c>
      <c r="AA12" s="72">
        <v>0.38300000000000001</v>
      </c>
      <c r="AB12" s="72">
        <f t="shared" si="18"/>
        <v>0.33188908145580592</v>
      </c>
      <c r="AC12" s="72">
        <v>0.85799999999999998</v>
      </c>
      <c r="AD12" s="72">
        <f t="shared" si="19"/>
        <v>0.74350086655112657</v>
      </c>
      <c r="AE12" s="72">
        <v>7.5999999999999998E-2</v>
      </c>
      <c r="AF12" s="72">
        <f t="shared" si="31"/>
        <v>0.11192930780559646</v>
      </c>
      <c r="AG12" s="72">
        <f t="shared" si="32"/>
        <v>3.6018957345971568E-2</v>
      </c>
      <c r="AH12" s="72">
        <f t="shared" si="20"/>
        <v>0.62295081967213117</v>
      </c>
      <c r="AI12" s="72">
        <v>9.2999999999999999E-2</v>
      </c>
      <c r="AJ12" s="72">
        <v>0.06</v>
      </c>
      <c r="AK12" s="72">
        <f t="shared" si="21"/>
        <v>1.55</v>
      </c>
      <c r="AL12" s="72">
        <f t="shared" si="22"/>
        <v>1.2236842105263157</v>
      </c>
      <c r="AM12" s="72">
        <f t="shared" si="23"/>
        <v>0.76229508196721307</v>
      </c>
      <c r="AN12" s="72">
        <f t="shared" si="33"/>
        <v>0.13696612665684829</v>
      </c>
      <c r="AO12" s="72">
        <f t="shared" si="24"/>
        <v>0.63698630136986301</v>
      </c>
      <c r="AP12" s="72">
        <v>0.14599999999999999</v>
      </c>
      <c r="AQ12" s="72">
        <v>0.11</v>
      </c>
      <c r="AR12" s="72">
        <f t="shared" si="25"/>
        <v>0.12651646447140383</v>
      </c>
      <c r="AS12" s="72">
        <f t="shared" si="26"/>
        <v>1.3272727272727272</v>
      </c>
      <c r="AT12" s="72">
        <f t="shared" si="27"/>
        <v>0.21502209131075106</v>
      </c>
      <c r="AU12" s="72">
        <v>4.2000000000000003E-2</v>
      </c>
      <c r="AV12" s="72">
        <v>6.8000000000000005E-2</v>
      </c>
      <c r="AW12" s="72">
        <f t="shared" si="28"/>
        <v>0.61764705882352944</v>
      </c>
      <c r="AX12" s="82">
        <f t="shared" si="29"/>
        <v>3.4761904761904758</v>
      </c>
      <c r="AY12" s="110" t="s">
        <v>75</v>
      </c>
      <c r="AZ12" s="139" t="s">
        <v>75</v>
      </c>
      <c r="BA12" s="110" t="s">
        <v>75</v>
      </c>
      <c r="BB12" s="110" t="s">
        <v>75</v>
      </c>
      <c r="BC12" s="111" t="s">
        <v>75</v>
      </c>
    </row>
    <row r="13" spans="1:55" ht="12.75" customHeight="1" x14ac:dyDescent="0.2">
      <c r="A13" s="5"/>
      <c r="B13" s="86">
        <v>22170</v>
      </c>
      <c r="C13" s="112" t="s">
        <v>158</v>
      </c>
      <c r="D13" s="113" t="s">
        <v>159</v>
      </c>
      <c r="E13" s="17" t="s">
        <v>179</v>
      </c>
      <c r="F13" s="78">
        <v>1.18</v>
      </c>
      <c r="G13" s="114" t="s">
        <v>75</v>
      </c>
      <c r="H13" s="114" t="s">
        <v>75</v>
      </c>
      <c r="I13" s="78">
        <v>8.3000000000000004E-2</v>
      </c>
      <c r="J13" s="78">
        <v>4.3999999999999997E-2</v>
      </c>
      <c r="K13" s="78">
        <v>0.60099999999999998</v>
      </c>
      <c r="L13" s="78">
        <v>0.38800000000000001</v>
      </c>
      <c r="M13" s="78">
        <v>0.45900000000000002</v>
      </c>
      <c r="N13" s="78">
        <v>0.124</v>
      </c>
      <c r="O13" s="114" t="s">
        <v>75</v>
      </c>
      <c r="P13" s="114" t="s">
        <v>75</v>
      </c>
      <c r="Q13" s="114" t="s">
        <v>75</v>
      </c>
      <c r="R13" s="80">
        <f t="shared" si="15"/>
        <v>0.76372712146422639</v>
      </c>
      <c r="S13" s="80">
        <f t="shared" si="16"/>
        <v>0.64559068219633953</v>
      </c>
      <c r="T13" s="114" t="s">
        <v>75</v>
      </c>
      <c r="U13" s="78">
        <v>0.252</v>
      </c>
      <c r="V13" s="114" t="s">
        <v>75</v>
      </c>
      <c r="W13" s="78">
        <v>0.36699999999999999</v>
      </c>
      <c r="X13" s="78">
        <v>6.5000000000000002E-2</v>
      </c>
      <c r="Y13" s="78">
        <f t="shared" si="30"/>
        <v>5.6461538461538456</v>
      </c>
      <c r="Z13" s="78">
        <v>0.255</v>
      </c>
      <c r="AA13" s="78">
        <v>0.35299999999999998</v>
      </c>
      <c r="AB13" s="78">
        <f t="shared" si="18"/>
        <v>0.29915254237288136</v>
      </c>
      <c r="AC13" s="78">
        <v>0.79200000000000004</v>
      </c>
      <c r="AD13" s="78">
        <f t="shared" si="19"/>
        <v>0.67118644067796618</v>
      </c>
      <c r="AE13" s="78">
        <v>8.4000000000000005E-2</v>
      </c>
      <c r="AF13" s="78">
        <f t="shared" si="31"/>
        <v>0.13976705490848587</v>
      </c>
      <c r="AG13" s="114" t="s">
        <v>75</v>
      </c>
      <c r="AH13" s="78">
        <f t="shared" si="20"/>
        <v>0.67741935483870974</v>
      </c>
      <c r="AI13" s="78">
        <v>9.4E-2</v>
      </c>
      <c r="AJ13" s="78">
        <v>5.8000000000000003E-2</v>
      </c>
      <c r="AK13" s="78">
        <f t="shared" si="21"/>
        <v>1.6206896551724137</v>
      </c>
      <c r="AL13" s="78">
        <f t="shared" si="22"/>
        <v>1.1190476190476191</v>
      </c>
      <c r="AM13" s="78">
        <f t="shared" si="23"/>
        <v>0.75806451612903225</v>
      </c>
      <c r="AN13" s="78">
        <f t="shared" si="33"/>
        <v>0.15640599001663893</v>
      </c>
      <c r="AO13" s="78">
        <f t="shared" si="24"/>
        <v>0.61038961038961037</v>
      </c>
      <c r="AP13" s="78">
        <v>0.154</v>
      </c>
      <c r="AQ13" s="78">
        <v>8.3000000000000004E-2</v>
      </c>
      <c r="AR13" s="78">
        <f t="shared" si="25"/>
        <v>0.13050847457627118</v>
      </c>
      <c r="AS13" s="78">
        <f t="shared" si="26"/>
        <v>1.8554216867469879</v>
      </c>
      <c r="AT13" s="78">
        <f t="shared" si="27"/>
        <v>0.2562396006655574</v>
      </c>
      <c r="AU13" s="78">
        <v>6.8000000000000005E-2</v>
      </c>
      <c r="AV13" s="78">
        <v>7.6999999999999999E-2</v>
      </c>
      <c r="AW13" s="78">
        <f t="shared" si="28"/>
        <v>0.88311688311688319</v>
      </c>
      <c r="AX13" s="80">
        <f t="shared" si="29"/>
        <v>2.2647058823529411</v>
      </c>
      <c r="AY13" s="87">
        <v>4</v>
      </c>
      <c r="AZ13" s="137">
        <v>3</v>
      </c>
      <c r="BA13" s="87">
        <v>9</v>
      </c>
      <c r="BB13" s="114" t="s">
        <v>75</v>
      </c>
      <c r="BC13" s="115" t="s">
        <v>75</v>
      </c>
    </row>
    <row r="14" spans="1:55" ht="12.75" customHeight="1" x14ac:dyDescent="0.2">
      <c r="A14" s="5"/>
      <c r="B14" s="75"/>
      <c r="C14" s="113"/>
      <c r="D14" s="113"/>
      <c r="E14" s="17"/>
      <c r="F14" s="78">
        <v>1.18</v>
      </c>
      <c r="G14" s="114" t="s">
        <v>75</v>
      </c>
      <c r="H14" s="114" t="s">
        <v>75</v>
      </c>
      <c r="I14" s="78">
        <v>0.08</v>
      </c>
      <c r="J14" s="78">
        <v>4.2000000000000003E-2</v>
      </c>
      <c r="K14" s="78">
        <v>0.60699999999999998</v>
      </c>
      <c r="L14" s="78">
        <v>0.6</v>
      </c>
      <c r="M14" s="78">
        <v>0.40600000000000003</v>
      </c>
      <c r="N14" s="78">
        <v>0.122</v>
      </c>
      <c r="O14" s="114" t="s">
        <v>75</v>
      </c>
      <c r="P14" s="114" t="s">
        <v>75</v>
      </c>
      <c r="Q14" s="114" t="s">
        <v>75</v>
      </c>
      <c r="R14" s="80">
        <f t="shared" si="15"/>
        <v>0.66886326194398693</v>
      </c>
      <c r="S14" s="80">
        <f t="shared" si="16"/>
        <v>0.98846787479406917</v>
      </c>
      <c r="T14" s="114" t="s">
        <v>75</v>
      </c>
      <c r="U14" s="78">
        <v>0.252</v>
      </c>
      <c r="V14" s="114" t="s">
        <v>75</v>
      </c>
      <c r="W14" s="114" t="s">
        <v>75</v>
      </c>
      <c r="X14" s="114" t="s">
        <v>75</v>
      </c>
      <c r="Y14" s="114" t="s">
        <v>75</v>
      </c>
      <c r="Z14" s="114" t="s">
        <v>75</v>
      </c>
      <c r="AA14" s="78">
        <v>0.34</v>
      </c>
      <c r="AB14" s="78">
        <f t="shared" si="18"/>
        <v>0.28813559322033899</v>
      </c>
      <c r="AC14" s="78">
        <v>0.79700000000000004</v>
      </c>
      <c r="AD14" s="78">
        <f t="shared" si="19"/>
        <v>0.67542372881355939</v>
      </c>
      <c r="AE14" s="78">
        <v>0.08</v>
      </c>
      <c r="AF14" s="78">
        <f t="shared" si="31"/>
        <v>0.13179571663920922</v>
      </c>
      <c r="AG14" s="114" t="s">
        <v>75</v>
      </c>
      <c r="AH14" s="78">
        <f t="shared" si="20"/>
        <v>0.65573770491803285</v>
      </c>
      <c r="AI14" s="78">
        <v>9.4E-2</v>
      </c>
      <c r="AJ14" s="78">
        <v>5.8000000000000003E-2</v>
      </c>
      <c r="AK14" s="78">
        <f t="shared" si="21"/>
        <v>1.6206896551724137</v>
      </c>
      <c r="AL14" s="78">
        <f t="shared" si="22"/>
        <v>1.175</v>
      </c>
      <c r="AM14" s="78">
        <f t="shared" si="23"/>
        <v>0.77049180327868849</v>
      </c>
      <c r="AN14" s="78">
        <f t="shared" si="33"/>
        <v>0.15485996705107086</v>
      </c>
      <c r="AO14" s="78">
        <f t="shared" si="24"/>
        <v>0.66666666666666674</v>
      </c>
      <c r="AP14" s="78">
        <v>0.14099999999999999</v>
      </c>
      <c r="AQ14" s="78">
        <v>9.6000000000000002E-2</v>
      </c>
      <c r="AR14" s="78">
        <f t="shared" si="25"/>
        <v>0.1194915254237288</v>
      </c>
      <c r="AS14" s="78">
        <f t="shared" si="26"/>
        <v>1.4687499999999998</v>
      </c>
      <c r="AT14" s="78">
        <f t="shared" si="27"/>
        <v>0.23228995057660626</v>
      </c>
      <c r="AU14" s="78">
        <v>6.8000000000000005E-2</v>
      </c>
      <c r="AV14" s="78">
        <v>7.6999999999999999E-2</v>
      </c>
      <c r="AW14" s="78">
        <f t="shared" si="28"/>
        <v>0.88311688311688319</v>
      </c>
      <c r="AX14" s="80">
        <f t="shared" si="29"/>
        <v>2.0735294117647056</v>
      </c>
      <c r="AY14" s="114" t="s">
        <v>75</v>
      </c>
      <c r="AZ14" s="140" t="s">
        <v>75</v>
      </c>
      <c r="BA14" s="114" t="s">
        <v>75</v>
      </c>
      <c r="BB14" s="114" t="s">
        <v>75</v>
      </c>
      <c r="BC14" s="115" t="s">
        <v>75</v>
      </c>
    </row>
    <row r="15" spans="1:55" ht="12.75" customHeight="1" x14ac:dyDescent="0.2">
      <c r="A15" s="5"/>
      <c r="B15" s="83">
        <v>22170</v>
      </c>
      <c r="C15" s="116" t="s">
        <v>158</v>
      </c>
      <c r="D15" s="117" t="s">
        <v>157</v>
      </c>
      <c r="E15" s="11" t="s">
        <v>179</v>
      </c>
      <c r="F15" s="72">
        <v>1.629</v>
      </c>
      <c r="G15" s="82">
        <f>I15+J15+K15+L15+M15+N15+O15</f>
        <v>3.3170000000000002</v>
      </c>
      <c r="H15" s="82">
        <f>G15/F15</f>
        <v>2.0362185389809699</v>
      </c>
      <c r="I15" s="72">
        <v>8.5000000000000006E-2</v>
      </c>
      <c r="J15" s="72">
        <v>4.8000000000000001E-2</v>
      </c>
      <c r="K15" s="72">
        <v>0.745</v>
      </c>
      <c r="L15" s="72">
        <v>0.53700000000000003</v>
      </c>
      <c r="M15" s="72">
        <v>0.55700000000000005</v>
      </c>
      <c r="N15" s="72">
        <v>0.13400000000000001</v>
      </c>
      <c r="O15" s="72">
        <v>1.2110000000000001</v>
      </c>
      <c r="P15" s="72">
        <f t="shared" ref="P15:P28" si="34">N15+O15</f>
        <v>1.3450000000000002</v>
      </c>
      <c r="Q15" s="82">
        <f t="shared" ref="Q15:Q28" si="35">(N15+O15)/K15</f>
        <v>1.8053691275167787</v>
      </c>
      <c r="R15" s="82">
        <f t="shared" ref="R15:R28" si="36">M15/K15</f>
        <v>0.74765100671140949</v>
      </c>
      <c r="S15" s="82">
        <f t="shared" ref="S15:S28" si="37">L15/K15</f>
        <v>0.7208053691275168</v>
      </c>
      <c r="T15" s="82">
        <f t="shared" ref="T15:T28" si="38">O15/N15</f>
        <v>9.0373134328358216</v>
      </c>
      <c r="U15" s="72">
        <v>0.26</v>
      </c>
      <c r="V15" s="72">
        <f t="shared" si="17"/>
        <v>12.757692307692308</v>
      </c>
      <c r="W15" s="72">
        <v>0.54200000000000004</v>
      </c>
      <c r="X15" s="72">
        <v>8.3000000000000004E-2</v>
      </c>
      <c r="Y15" s="72">
        <f t="shared" si="30"/>
        <v>6.5301204819277112</v>
      </c>
      <c r="Z15" s="72">
        <v>0.33700000000000002</v>
      </c>
      <c r="AA15" s="72">
        <v>0.45100000000000001</v>
      </c>
      <c r="AB15" s="72">
        <f t="shared" ref="AB15" si="39">AA15/F15</f>
        <v>0.27685696746470229</v>
      </c>
      <c r="AC15" s="72">
        <v>0.98299999999999998</v>
      </c>
      <c r="AD15" s="72">
        <f t="shared" ref="AD15" si="40">AC15/F15</f>
        <v>0.6034376918354819</v>
      </c>
      <c r="AE15" s="72">
        <v>8.8999999999999996E-2</v>
      </c>
      <c r="AF15" s="72">
        <f t="shared" si="31"/>
        <v>0.11946308724832214</v>
      </c>
      <c r="AG15" s="72">
        <f t="shared" si="32"/>
        <v>6.6171003717472102E-2</v>
      </c>
      <c r="AH15" s="72">
        <f>AE15/N15</f>
        <v>0.66417910447761186</v>
      </c>
      <c r="AI15" s="72">
        <v>9.8000000000000004E-2</v>
      </c>
      <c r="AJ15" s="72">
        <v>6.0999999999999999E-2</v>
      </c>
      <c r="AK15" s="72">
        <f t="shared" ref="AK15:AK26" si="41">AI15/AJ15</f>
        <v>1.6065573770491803</v>
      </c>
      <c r="AL15" s="72">
        <f t="shared" ref="AL15" si="42">AI15/AE15</f>
        <v>1.101123595505618</v>
      </c>
      <c r="AM15" s="110" t="s">
        <v>75</v>
      </c>
      <c r="AN15" s="72">
        <f t="shared" si="33"/>
        <v>0.13154362416107382</v>
      </c>
      <c r="AO15" s="72">
        <f t="shared" ref="AO15:AO26" si="43">AI15/AP15</f>
        <v>0.51578947368421058</v>
      </c>
      <c r="AP15" s="72">
        <v>0.19</v>
      </c>
      <c r="AQ15" s="72">
        <v>0.14499999999999999</v>
      </c>
      <c r="AR15" s="72">
        <f t="shared" ref="AR15:AR16" si="44">AP15/F15</f>
        <v>0.11663597298956416</v>
      </c>
      <c r="AS15" s="72">
        <f t="shared" ref="AS15:AS28" si="45">AP15/AQ15</f>
        <v>1.3103448275862071</v>
      </c>
      <c r="AT15" s="72">
        <f t="shared" ref="AT15:AT28" si="46">AP15/K15</f>
        <v>0.25503355704697989</v>
      </c>
      <c r="AU15" s="72">
        <v>7.8E-2</v>
      </c>
      <c r="AV15" s="72">
        <v>0.127</v>
      </c>
      <c r="AW15" s="72">
        <f t="shared" ref="AW15:AW25" si="47">AU15/AV15</f>
        <v>0.61417322834645671</v>
      </c>
      <c r="AX15" s="82">
        <f t="shared" ref="AX15:AX27" si="48">AP15/AU15</f>
        <v>2.4358974358974361</v>
      </c>
      <c r="AY15" s="84">
        <v>5</v>
      </c>
      <c r="AZ15" s="136">
        <v>3</v>
      </c>
      <c r="BA15" s="84">
        <v>6</v>
      </c>
      <c r="BB15" s="84">
        <v>6</v>
      </c>
      <c r="BC15" s="85">
        <v>5</v>
      </c>
    </row>
    <row r="16" spans="1:55" ht="12.75" customHeight="1" x14ac:dyDescent="0.2">
      <c r="A16" s="5"/>
      <c r="B16" s="69"/>
      <c r="C16" s="109"/>
      <c r="D16" s="109"/>
      <c r="E16" s="11"/>
      <c r="F16" s="72">
        <v>1.629</v>
      </c>
      <c r="G16" s="82">
        <f>I16+J16+K16+L16+M16+N16+O16</f>
        <v>4.0890000000000004</v>
      </c>
      <c r="H16" s="82">
        <f>G16/F16</f>
        <v>2.5101289134438307</v>
      </c>
      <c r="I16" s="72">
        <v>8.6999999999999994E-2</v>
      </c>
      <c r="J16" s="72">
        <v>4.7E-2</v>
      </c>
      <c r="K16" s="72">
        <v>0.755</v>
      </c>
      <c r="L16" s="72">
        <v>0.55000000000000004</v>
      </c>
      <c r="M16" s="72">
        <v>0.57299999999999995</v>
      </c>
      <c r="N16" s="72">
        <v>0.12</v>
      </c>
      <c r="O16" s="72">
        <f>0.688+1.269</f>
        <v>1.9569999999999999</v>
      </c>
      <c r="P16" s="72">
        <f t="shared" si="34"/>
        <v>2.077</v>
      </c>
      <c r="Q16" s="82">
        <f t="shared" si="35"/>
        <v>2.7509933774834439</v>
      </c>
      <c r="R16" s="82">
        <f t="shared" si="36"/>
        <v>0.75894039735099328</v>
      </c>
      <c r="S16" s="82">
        <f t="shared" si="37"/>
        <v>0.72847682119205304</v>
      </c>
      <c r="T16" s="82">
        <f t="shared" si="38"/>
        <v>16.308333333333334</v>
      </c>
      <c r="U16" s="72">
        <v>0.26</v>
      </c>
      <c r="V16" s="72">
        <f t="shared" si="17"/>
        <v>15.726923076923079</v>
      </c>
      <c r="W16" s="72">
        <v>0.49099999999999999</v>
      </c>
      <c r="X16" s="72">
        <v>8.1000000000000003E-2</v>
      </c>
      <c r="Y16" s="72">
        <f t="shared" si="30"/>
        <v>6.0617283950617278</v>
      </c>
      <c r="Z16" s="110" t="s">
        <v>75</v>
      </c>
      <c r="AA16" s="110" t="s">
        <v>75</v>
      </c>
      <c r="AB16" s="110" t="s">
        <v>75</v>
      </c>
      <c r="AC16" s="110" t="s">
        <v>75</v>
      </c>
      <c r="AD16" s="110" t="s">
        <v>75</v>
      </c>
      <c r="AE16" s="110" t="s">
        <v>75</v>
      </c>
      <c r="AF16" s="110" t="s">
        <v>75</v>
      </c>
      <c r="AG16" s="110" t="s">
        <v>75</v>
      </c>
      <c r="AH16" s="110" t="s">
        <v>75</v>
      </c>
      <c r="AI16" s="72">
        <v>9.8000000000000004E-2</v>
      </c>
      <c r="AJ16" s="72">
        <v>6.0999999999999999E-2</v>
      </c>
      <c r="AK16" s="72">
        <f t="shared" si="41"/>
        <v>1.6065573770491803</v>
      </c>
      <c r="AL16" s="110" t="s">
        <v>75</v>
      </c>
      <c r="AM16" s="72">
        <f>AI16/N16</f>
        <v>0.81666666666666676</v>
      </c>
      <c r="AN16" s="72">
        <f t="shared" si="33"/>
        <v>0.12980132450331125</v>
      </c>
      <c r="AO16" s="72">
        <f t="shared" si="43"/>
        <v>0.53846153846153855</v>
      </c>
      <c r="AP16" s="72">
        <v>0.182</v>
      </c>
      <c r="AQ16" s="72">
        <v>0.13200000000000001</v>
      </c>
      <c r="AR16" s="72">
        <f t="shared" si="44"/>
        <v>0.11172498465316144</v>
      </c>
      <c r="AS16" s="72">
        <f t="shared" si="45"/>
        <v>1.3787878787878787</v>
      </c>
      <c r="AT16" s="72">
        <f t="shared" si="46"/>
        <v>0.24105960264900661</v>
      </c>
      <c r="AU16" s="72">
        <v>7.8E-2</v>
      </c>
      <c r="AV16" s="72">
        <v>0.127</v>
      </c>
      <c r="AW16" s="72">
        <f t="shared" ref="AW16" si="49">AU16/AV16</f>
        <v>0.61417322834645671</v>
      </c>
      <c r="AX16" s="82">
        <f t="shared" ref="AX16" si="50">AP16/AU16</f>
        <v>2.3333333333333335</v>
      </c>
      <c r="AY16" s="110" t="s">
        <v>75</v>
      </c>
      <c r="AZ16" s="139" t="s">
        <v>75</v>
      </c>
      <c r="BA16" s="110" t="s">
        <v>75</v>
      </c>
      <c r="BB16" s="110" t="s">
        <v>75</v>
      </c>
      <c r="BC16" s="111" t="s">
        <v>75</v>
      </c>
    </row>
    <row r="17" spans="1:55" ht="12.75" customHeight="1" x14ac:dyDescent="0.2">
      <c r="A17" s="5"/>
      <c r="B17" s="86">
        <v>22170</v>
      </c>
      <c r="C17" s="112" t="s">
        <v>158</v>
      </c>
      <c r="D17" s="118" t="s">
        <v>157</v>
      </c>
      <c r="E17" s="17" t="s">
        <v>179</v>
      </c>
      <c r="F17" s="114" t="s">
        <v>75</v>
      </c>
      <c r="G17" s="114" t="s">
        <v>75</v>
      </c>
      <c r="H17" s="114" t="s">
        <v>75</v>
      </c>
      <c r="I17" s="78">
        <v>7.9000000000000001E-2</v>
      </c>
      <c r="J17" s="78">
        <v>4.2000000000000003E-2</v>
      </c>
      <c r="K17" s="78">
        <v>0.66600000000000004</v>
      </c>
      <c r="L17" s="78">
        <v>0.44700000000000001</v>
      </c>
      <c r="M17" s="114" t="s">
        <v>75</v>
      </c>
      <c r="N17" s="114" t="s">
        <v>75</v>
      </c>
      <c r="O17" s="114" t="s">
        <v>75</v>
      </c>
      <c r="P17" s="114" t="s">
        <v>75</v>
      </c>
      <c r="Q17" s="114" t="s">
        <v>75</v>
      </c>
      <c r="R17" s="114" t="s">
        <v>75</v>
      </c>
      <c r="S17" s="80">
        <f t="shared" si="37"/>
        <v>0.6711711711711712</v>
      </c>
      <c r="T17" s="114" t="s">
        <v>75</v>
      </c>
      <c r="U17" s="78">
        <v>0.26900000000000002</v>
      </c>
      <c r="V17" s="114" t="s">
        <v>75</v>
      </c>
      <c r="W17" s="78">
        <v>0.48099999999999998</v>
      </c>
      <c r="X17" s="78">
        <v>7.8E-2</v>
      </c>
      <c r="Y17" s="78">
        <f t="shared" si="30"/>
        <v>6.1666666666666661</v>
      </c>
      <c r="Z17" s="78">
        <v>0.32800000000000001</v>
      </c>
      <c r="AA17" s="78">
        <v>0.436</v>
      </c>
      <c r="AB17" s="114" t="s">
        <v>75</v>
      </c>
      <c r="AC17" s="78">
        <v>0.9</v>
      </c>
      <c r="AD17" s="114" t="s">
        <v>75</v>
      </c>
      <c r="AE17" s="78">
        <v>8.7999999999999995E-2</v>
      </c>
      <c r="AF17" s="78">
        <f t="shared" si="31"/>
        <v>0.13213213213213212</v>
      </c>
      <c r="AG17" s="114" t="s">
        <v>75</v>
      </c>
      <c r="AH17" s="114" t="s">
        <v>75</v>
      </c>
      <c r="AI17" s="78">
        <v>9.9000000000000005E-2</v>
      </c>
      <c r="AJ17" s="78">
        <v>6.3E-2</v>
      </c>
      <c r="AK17" s="78">
        <f t="shared" si="41"/>
        <v>1.5714285714285714</v>
      </c>
      <c r="AL17" s="78">
        <f>AI17/AE17</f>
        <v>1.1250000000000002</v>
      </c>
      <c r="AM17" s="114" t="s">
        <v>75</v>
      </c>
      <c r="AN17" s="78">
        <f t="shared" si="33"/>
        <v>0.14864864864864866</v>
      </c>
      <c r="AO17" s="78">
        <f t="shared" si="43"/>
        <v>0.5561797752808989</v>
      </c>
      <c r="AP17" s="78">
        <v>0.17799999999999999</v>
      </c>
      <c r="AQ17" s="78">
        <v>0.115</v>
      </c>
      <c r="AR17" s="114" t="s">
        <v>75</v>
      </c>
      <c r="AS17" s="78">
        <f t="shared" si="45"/>
        <v>1.5478260869565217</v>
      </c>
      <c r="AT17" s="78">
        <f t="shared" si="46"/>
        <v>0.26726726726726724</v>
      </c>
      <c r="AU17" s="78">
        <v>7.0000000000000007E-2</v>
      </c>
      <c r="AV17" s="78">
        <v>0.121</v>
      </c>
      <c r="AW17" s="78">
        <f t="shared" si="47"/>
        <v>0.57851239669421495</v>
      </c>
      <c r="AX17" s="80">
        <f t="shared" si="48"/>
        <v>2.5428571428571427</v>
      </c>
      <c r="AY17" s="87">
        <v>5</v>
      </c>
      <c r="AZ17" s="137">
        <v>2</v>
      </c>
      <c r="BA17" s="87">
        <v>8</v>
      </c>
      <c r="BB17" s="87">
        <v>7</v>
      </c>
      <c r="BC17" s="88">
        <v>5</v>
      </c>
    </row>
    <row r="18" spans="1:55" ht="12.75" customHeight="1" x14ac:dyDescent="0.2">
      <c r="A18" s="5"/>
      <c r="B18" s="75"/>
      <c r="C18" s="113"/>
      <c r="D18" s="113"/>
      <c r="E18" s="17"/>
      <c r="F18" s="114" t="s">
        <v>75</v>
      </c>
      <c r="G18" s="114" t="s">
        <v>75</v>
      </c>
      <c r="H18" s="114" t="s">
        <v>75</v>
      </c>
      <c r="I18" s="78">
        <v>7.6999999999999999E-2</v>
      </c>
      <c r="J18" s="78">
        <v>4.2000000000000003E-2</v>
      </c>
      <c r="K18" s="78">
        <v>0.70899999999999996</v>
      </c>
      <c r="L18" s="78">
        <v>0.51500000000000001</v>
      </c>
      <c r="M18" s="78">
        <v>0.55000000000000004</v>
      </c>
      <c r="N18" s="114" t="s">
        <v>75</v>
      </c>
      <c r="O18" s="114" t="s">
        <v>75</v>
      </c>
      <c r="P18" s="114" t="s">
        <v>75</v>
      </c>
      <c r="Q18" s="114" t="s">
        <v>75</v>
      </c>
      <c r="R18" s="80">
        <f t="shared" si="36"/>
        <v>0.77574047954866021</v>
      </c>
      <c r="S18" s="80">
        <f t="shared" si="37"/>
        <v>0.72637517630465454</v>
      </c>
      <c r="T18" s="114" t="s">
        <v>75</v>
      </c>
      <c r="U18" s="78">
        <v>0.26900000000000002</v>
      </c>
      <c r="V18" s="114" t="s">
        <v>75</v>
      </c>
      <c r="W18" s="78">
        <v>0.45200000000000001</v>
      </c>
      <c r="X18" s="78">
        <v>0.08</v>
      </c>
      <c r="Y18" s="78">
        <f t="shared" si="30"/>
        <v>5.65</v>
      </c>
      <c r="Z18" s="78">
        <v>0.316</v>
      </c>
      <c r="AA18" s="78">
        <v>0.43099999999999999</v>
      </c>
      <c r="AB18" s="114" t="s">
        <v>75</v>
      </c>
      <c r="AC18" s="78">
        <v>0.93400000000000005</v>
      </c>
      <c r="AD18" s="114" t="s">
        <v>75</v>
      </c>
      <c r="AE18" s="78">
        <v>8.5999999999999993E-2</v>
      </c>
      <c r="AF18" s="78">
        <f t="shared" si="31"/>
        <v>0.12129760225669957</v>
      </c>
      <c r="AG18" s="114" t="s">
        <v>75</v>
      </c>
      <c r="AH18" s="114" t="s">
        <v>75</v>
      </c>
      <c r="AI18" s="78">
        <v>9.9000000000000005E-2</v>
      </c>
      <c r="AJ18" s="78">
        <v>6.3E-2</v>
      </c>
      <c r="AK18" s="78">
        <f t="shared" si="41"/>
        <v>1.5714285714285714</v>
      </c>
      <c r="AL18" s="78">
        <f>AI18/AE18</f>
        <v>1.1511627906976745</v>
      </c>
      <c r="AM18" s="114" t="s">
        <v>75</v>
      </c>
      <c r="AN18" s="78">
        <f t="shared" si="33"/>
        <v>0.13963328631875882</v>
      </c>
      <c r="AO18" s="78">
        <f t="shared" si="43"/>
        <v>0.58235294117647063</v>
      </c>
      <c r="AP18" s="78">
        <v>0.17</v>
      </c>
      <c r="AQ18" s="78">
        <v>0.129</v>
      </c>
      <c r="AR18" s="114" t="s">
        <v>75</v>
      </c>
      <c r="AS18" s="78">
        <f t="shared" si="45"/>
        <v>1.3178294573643412</v>
      </c>
      <c r="AT18" s="78">
        <f t="shared" si="46"/>
        <v>0.23977433004231313</v>
      </c>
      <c r="AU18" s="78">
        <v>7.0000000000000007E-2</v>
      </c>
      <c r="AV18" s="78">
        <v>0.121</v>
      </c>
      <c r="AW18" s="78">
        <f t="shared" ref="AW18" si="51">AU18/AV18</f>
        <v>0.57851239669421495</v>
      </c>
      <c r="AX18" s="80">
        <f t="shared" ref="AX18" si="52">AP18/AU18</f>
        <v>2.4285714285714284</v>
      </c>
      <c r="AY18" s="114" t="s">
        <v>75</v>
      </c>
      <c r="AZ18" s="140">
        <v>3</v>
      </c>
      <c r="BA18" s="114" t="s">
        <v>75</v>
      </c>
      <c r="BB18" s="114" t="s">
        <v>75</v>
      </c>
      <c r="BC18" s="115" t="s">
        <v>75</v>
      </c>
    </row>
    <row r="19" spans="1:55" ht="12.75" customHeight="1" x14ac:dyDescent="0.2">
      <c r="A19" s="5"/>
      <c r="B19" s="83">
        <v>22170</v>
      </c>
      <c r="C19" s="116" t="s">
        <v>158</v>
      </c>
      <c r="D19" s="117" t="s">
        <v>157</v>
      </c>
      <c r="E19" s="11" t="s">
        <v>179</v>
      </c>
      <c r="F19" s="110" t="s">
        <v>75</v>
      </c>
      <c r="G19" s="110" t="s">
        <v>75</v>
      </c>
      <c r="H19" s="110" t="s">
        <v>75</v>
      </c>
      <c r="I19" s="72">
        <v>7.5999999999999998E-2</v>
      </c>
      <c r="J19" s="72">
        <v>3.5000000000000003E-2</v>
      </c>
      <c r="K19" s="72">
        <v>0.59899999999999998</v>
      </c>
      <c r="L19" s="110" t="s">
        <v>75</v>
      </c>
      <c r="M19" s="110" t="s">
        <v>75</v>
      </c>
      <c r="N19" s="110" t="s">
        <v>75</v>
      </c>
      <c r="O19" s="110" t="s">
        <v>75</v>
      </c>
      <c r="P19" s="110" t="s">
        <v>75</v>
      </c>
      <c r="Q19" s="110" t="s">
        <v>75</v>
      </c>
      <c r="R19" s="110" t="s">
        <v>75</v>
      </c>
      <c r="S19" s="110" t="s">
        <v>75</v>
      </c>
      <c r="T19" s="110" t="s">
        <v>75</v>
      </c>
      <c r="U19" s="72">
        <v>0.25</v>
      </c>
      <c r="V19" s="110" t="s">
        <v>75</v>
      </c>
      <c r="W19" s="72">
        <v>0.39700000000000002</v>
      </c>
      <c r="X19" s="110" t="s">
        <v>75</v>
      </c>
      <c r="Y19" s="110" t="s">
        <v>75</v>
      </c>
      <c r="Z19" s="110" t="s">
        <v>75</v>
      </c>
      <c r="AA19" s="110" t="s">
        <v>75</v>
      </c>
      <c r="AB19" s="110" t="s">
        <v>75</v>
      </c>
      <c r="AC19" s="110" t="s">
        <v>75</v>
      </c>
      <c r="AD19" s="110" t="s">
        <v>75</v>
      </c>
      <c r="AE19" s="110" t="s">
        <v>75</v>
      </c>
      <c r="AF19" s="110" t="s">
        <v>75</v>
      </c>
      <c r="AG19" s="110" t="s">
        <v>75</v>
      </c>
      <c r="AH19" s="110" t="s">
        <v>75</v>
      </c>
      <c r="AI19" s="110" t="s">
        <v>75</v>
      </c>
      <c r="AJ19" s="110" t="s">
        <v>75</v>
      </c>
      <c r="AK19" s="110" t="s">
        <v>75</v>
      </c>
      <c r="AL19" s="110" t="s">
        <v>75</v>
      </c>
      <c r="AM19" s="110" t="s">
        <v>75</v>
      </c>
      <c r="AN19" s="110" t="s">
        <v>75</v>
      </c>
      <c r="AO19" s="110" t="s">
        <v>75</v>
      </c>
      <c r="AP19" s="72">
        <v>0.14799999999999999</v>
      </c>
      <c r="AQ19" s="72">
        <v>0.109</v>
      </c>
      <c r="AR19" s="110" t="s">
        <v>75</v>
      </c>
      <c r="AS19" s="72">
        <f t="shared" si="45"/>
        <v>1.3577981651376145</v>
      </c>
      <c r="AT19" s="72">
        <f t="shared" si="46"/>
        <v>0.24707846410684473</v>
      </c>
      <c r="AU19" s="72">
        <v>7.0000000000000007E-2</v>
      </c>
      <c r="AV19" s="72">
        <v>0.11700000000000001</v>
      </c>
      <c r="AW19" s="72">
        <f t="shared" si="47"/>
        <v>0.59829059829059827</v>
      </c>
      <c r="AX19" s="82">
        <f t="shared" si="48"/>
        <v>2.1142857142857139</v>
      </c>
      <c r="AY19" s="84">
        <v>5</v>
      </c>
      <c r="AZ19" s="136">
        <v>3</v>
      </c>
      <c r="BA19" s="110" t="s">
        <v>75</v>
      </c>
      <c r="BB19" s="84">
        <v>4</v>
      </c>
      <c r="BC19" s="85">
        <v>6</v>
      </c>
    </row>
    <row r="20" spans="1:55" ht="12.75" customHeight="1" x14ac:dyDescent="0.2">
      <c r="A20" s="5"/>
      <c r="B20" s="69"/>
      <c r="C20" s="109"/>
      <c r="D20" s="109"/>
      <c r="E20" s="11"/>
      <c r="F20" s="72">
        <v>1.157</v>
      </c>
      <c r="G20" s="110" t="s">
        <v>75</v>
      </c>
      <c r="H20" s="110" t="s">
        <v>75</v>
      </c>
      <c r="I20" s="72">
        <v>7.4999999999999997E-2</v>
      </c>
      <c r="J20" s="72">
        <v>3.5000000000000003E-2</v>
      </c>
      <c r="K20" s="72">
        <v>0.59</v>
      </c>
      <c r="L20" s="72">
        <v>0.41799999999999998</v>
      </c>
      <c r="M20" s="72">
        <v>0.48699999999999999</v>
      </c>
      <c r="N20" s="110" t="s">
        <v>75</v>
      </c>
      <c r="O20" s="110" t="s">
        <v>75</v>
      </c>
      <c r="P20" s="110" t="s">
        <v>75</v>
      </c>
      <c r="Q20" s="110" t="s">
        <v>75</v>
      </c>
      <c r="R20" s="82">
        <f t="shared" si="36"/>
        <v>0.8254237288135593</v>
      </c>
      <c r="S20" s="82">
        <f t="shared" si="37"/>
        <v>0.70847457627118648</v>
      </c>
      <c r="T20" s="110" t="s">
        <v>75</v>
      </c>
      <c r="U20" s="72">
        <v>0.25</v>
      </c>
      <c r="V20" s="110" t="s">
        <v>75</v>
      </c>
      <c r="W20" s="110" t="s">
        <v>75</v>
      </c>
      <c r="X20" s="110" t="s">
        <v>75</v>
      </c>
      <c r="Y20" s="110" t="s">
        <v>75</v>
      </c>
      <c r="Z20" s="110" t="s">
        <v>75</v>
      </c>
      <c r="AA20" s="110" t="s">
        <v>75</v>
      </c>
      <c r="AB20" s="110" t="s">
        <v>75</v>
      </c>
      <c r="AC20" s="110" t="s">
        <v>75</v>
      </c>
      <c r="AD20" s="110" t="s">
        <v>75</v>
      </c>
      <c r="AE20" s="110" t="s">
        <v>75</v>
      </c>
      <c r="AF20" s="110" t="s">
        <v>75</v>
      </c>
      <c r="AG20" s="110" t="s">
        <v>75</v>
      </c>
      <c r="AH20" s="110" t="s">
        <v>75</v>
      </c>
      <c r="AI20" s="110" t="s">
        <v>75</v>
      </c>
      <c r="AJ20" s="110" t="s">
        <v>75</v>
      </c>
      <c r="AK20" s="110" t="s">
        <v>75</v>
      </c>
      <c r="AL20" s="110" t="s">
        <v>75</v>
      </c>
      <c r="AM20" s="110" t="s">
        <v>75</v>
      </c>
      <c r="AN20" s="110" t="s">
        <v>75</v>
      </c>
      <c r="AO20" s="110" t="s">
        <v>75</v>
      </c>
      <c r="AP20" s="72">
        <v>0.14699999999999999</v>
      </c>
      <c r="AQ20" s="72">
        <v>0.114</v>
      </c>
      <c r="AR20" s="72">
        <f t="shared" ref="AR20:AR28" si="53">AP20/F20</f>
        <v>0.12705272255834052</v>
      </c>
      <c r="AS20" s="72">
        <f t="shared" si="45"/>
        <v>1.2894736842105261</v>
      </c>
      <c r="AT20" s="72">
        <f t="shared" si="46"/>
        <v>0.24915254237288134</v>
      </c>
      <c r="AU20" s="72">
        <v>7.0000000000000007E-2</v>
      </c>
      <c r="AV20" s="72">
        <v>0.11700000000000001</v>
      </c>
      <c r="AW20" s="72">
        <f t="shared" ref="AW20" si="54">AU20/AV20</f>
        <v>0.59829059829059827</v>
      </c>
      <c r="AX20" s="82">
        <f t="shared" ref="AX20" si="55">AP20/AU20</f>
        <v>2.0999999999999996</v>
      </c>
      <c r="AY20" s="110" t="s">
        <v>75</v>
      </c>
      <c r="AZ20" s="139" t="s">
        <v>75</v>
      </c>
      <c r="BA20" s="110" t="s">
        <v>75</v>
      </c>
      <c r="BB20" s="110" t="s">
        <v>75</v>
      </c>
      <c r="BC20" s="111" t="s">
        <v>75</v>
      </c>
    </row>
    <row r="21" spans="1:55" ht="12.75" customHeight="1" x14ac:dyDescent="0.2">
      <c r="A21" s="5"/>
      <c r="B21" s="86">
        <v>22170</v>
      </c>
      <c r="C21" s="112" t="s">
        <v>158</v>
      </c>
      <c r="D21" s="113" t="s">
        <v>154</v>
      </c>
      <c r="E21" s="158" t="s">
        <v>177</v>
      </c>
      <c r="F21" s="80">
        <v>1.45</v>
      </c>
      <c r="G21" s="80">
        <f>I21+J21+K21+L21+M21+N21+O21</f>
        <v>3.9980000000000002</v>
      </c>
      <c r="H21" s="80">
        <f>G21/F21</f>
        <v>2.757241379310345</v>
      </c>
      <c r="I21" s="80">
        <v>8.3000000000000004E-2</v>
      </c>
      <c r="J21" s="80">
        <v>4.4999999999999998E-2</v>
      </c>
      <c r="K21" s="80">
        <v>0.76</v>
      </c>
      <c r="L21" s="80">
        <v>0.53</v>
      </c>
      <c r="M21" s="80">
        <v>0.53</v>
      </c>
      <c r="N21" s="80">
        <v>0.13</v>
      </c>
      <c r="O21" s="80">
        <f>0.4+0.62+0.58+0.32</f>
        <v>1.9200000000000002</v>
      </c>
      <c r="P21" s="78">
        <f t="shared" si="34"/>
        <v>2.0500000000000003</v>
      </c>
      <c r="Q21" s="80">
        <f t="shared" si="35"/>
        <v>2.6973684210526319</v>
      </c>
      <c r="R21" s="80">
        <f t="shared" si="36"/>
        <v>0.69736842105263164</v>
      </c>
      <c r="S21" s="80">
        <f t="shared" si="37"/>
        <v>0.69736842105263164</v>
      </c>
      <c r="T21" s="80">
        <f t="shared" si="38"/>
        <v>14.76923076923077</v>
      </c>
      <c r="U21" s="80">
        <v>0.2</v>
      </c>
      <c r="V21" s="80">
        <f t="shared" si="17"/>
        <v>19.989999999999998</v>
      </c>
      <c r="W21" s="80">
        <v>0.48</v>
      </c>
      <c r="X21" s="80">
        <v>8.4000000000000005E-2</v>
      </c>
      <c r="Y21" s="78">
        <f t="shared" si="30"/>
        <v>5.7142857142857135</v>
      </c>
      <c r="Z21" s="80">
        <v>0.35</v>
      </c>
      <c r="AA21" s="80">
        <v>0.48</v>
      </c>
      <c r="AB21" s="78">
        <f t="shared" ref="AB21:AB28" si="56">AA21/F21</f>
        <v>0.33103448275862069</v>
      </c>
      <c r="AC21" s="80">
        <v>0.99</v>
      </c>
      <c r="AD21" s="78">
        <f t="shared" ref="AD21:AD28" si="57">AC21/F21</f>
        <v>0.6827586206896552</v>
      </c>
      <c r="AE21" s="78">
        <v>9.0999999999999998E-2</v>
      </c>
      <c r="AF21" s="78">
        <f t="shared" si="31"/>
        <v>0.11973684210526316</v>
      </c>
      <c r="AG21" s="78">
        <f t="shared" si="32"/>
        <v>4.4390243902439015E-2</v>
      </c>
      <c r="AH21" s="78">
        <f t="shared" ref="AH21:AH27" si="58">AE21/N21</f>
        <v>0.7</v>
      </c>
      <c r="AI21" s="78">
        <v>9.1999999999999998E-2</v>
      </c>
      <c r="AJ21" s="78">
        <v>6.4000000000000001E-2</v>
      </c>
      <c r="AK21" s="78">
        <f t="shared" si="41"/>
        <v>1.4375</v>
      </c>
      <c r="AL21" s="78">
        <f t="shared" ref="AL21:AL26" si="59">AI21/AE21</f>
        <v>1.0109890109890109</v>
      </c>
      <c r="AM21" s="78">
        <f t="shared" ref="AM21:AM26" si="60">AI21/N21</f>
        <v>0.70769230769230762</v>
      </c>
      <c r="AN21" s="78">
        <f t="shared" si="33"/>
        <v>0.12105263157894737</v>
      </c>
      <c r="AO21" s="78">
        <f t="shared" si="43"/>
        <v>0.51111111111111107</v>
      </c>
      <c r="AP21" s="78">
        <v>0.18</v>
      </c>
      <c r="AQ21" s="78">
        <v>0.11899999999999999</v>
      </c>
      <c r="AR21" s="78">
        <f t="shared" si="53"/>
        <v>0.12413793103448276</v>
      </c>
      <c r="AS21" s="78">
        <f t="shared" si="45"/>
        <v>1.5126050420168067</v>
      </c>
      <c r="AT21" s="78">
        <f t="shared" si="46"/>
        <v>0.23684210526315788</v>
      </c>
      <c r="AU21" s="78">
        <v>8.1000000000000003E-2</v>
      </c>
      <c r="AV21" s="78">
        <v>0.114</v>
      </c>
      <c r="AW21" s="78">
        <f t="shared" si="47"/>
        <v>0.71052631578947367</v>
      </c>
      <c r="AX21" s="80">
        <f t="shared" si="48"/>
        <v>2.2222222222222219</v>
      </c>
      <c r="AY21" s="87">
        <v>4</v>
      </c>
      <c r="AZ21" s="141">
        <v>5</v>
      </c>
      <c r="BA21" s="87">
        <v>9</v>
      </c>
      <c r="BB21" s="87">
        <v>4</v>
      </c>
      <c r="BC21" s="88">
        <v>7</v>
      </c>
    </row>
    <row r="22" spans="1:55" ht="12.75" customHeight="1" x14ac:dyDescent="0.2">
      <c r="A22" s="5"/>
      <c r="B22" s="75"/>
      <c r="C22" s="113"/>
      <c r="D22" s="113"/>
      <c r="E22" s="17"/>
      <c r="F22" s="80">
        <v>1.45</v>
      </c>
      <c r="G22" s="80">
        <f>I22+J22+K22+L22+M22+N22+O22</f>
        <v>3.9460000000000002</v>
      </c>
      <c r="H22" s="80">
        <f>G22/F22</f>
        <v>2.7213793103448278</v>
      </c>
      <c r="I22" s="80">
        <v>8.4000000000000005E-2</v>
      </c>
      <c r="J22" s="80">
        <v>4.1000000000000002E-2</v>
      </c>
      <c r="K22" s="80">
        <v>0.75</v>
      </c>
      <c r="L22" s="80">
        <v>0.49</v>
      </c>
      <c r="M22" s="80">
        <v>0.55000000000000004</v>
      </c>
      <c r="N22" s="80">
        <v>0.12</v>
      </c>
      <c r="O22" s="80">
        <f>0.685+0.589+0.274+0.363</f>
        <v>1.911</v>
      </c>
      <c r="P22" s="78">
        <f t="shared" si="34"/>
        <v>2.0310000000000001</v>
      </c>
      <c r="Q22" s="80">
        <f t="shared" si="35"/>
        <v>2.7080000000000002</v>
      </c>
      <c r="R22" s="80">
        <f t="shared" si="36"/>
        <v>0.73333333333333339</v>
      </c>
      <c r="S22" s="80">
        <f t="shared" si="37"/>
        <v>0.65333333333333332</v>
      </c>
      <c r="T22" s="80">
        <f t="shared" si="38"/>
        <v>15.925000000000001</v>
      </c>
      <c r="U22" s="80">
        <v>0.2</v>
      </c>
      <c r="V22" s="80">
        <f t="shared" si="17"/>
        <v>19.73</v>
      </c>
      <c r="W22" s="114" t="s">
        <v>75</v>
      </c>
      <c r="X22" s="114" t="s">
        <v>75</v>
      </c>
      <c r="Y22" s="114" t="s">
        <v>75</v>
      </c>
      <c r="Z22" s="114" t="s">
        <v>75</v>
      </c>
      <c r="AA22" s="80">
        <v>0.44</v>
      </c>
      <c r="AB22" s="78">
        <f t="shared" si="56"/>
        <v>0.30344827586206896</v>
      </c>
      <c r="AC22" s="80">
        <v>0.99</v>
      </c>
      <c r="AD22" s="78">
        <f t="shared" si="57"/>
        <v>0.6827586206896552</v>
      </c>
      <c r="AE22" s="80">
        <v>8.3000000000000004E-2</v>
      </c>
      <c r="AF22" s="78">
        <f t="shared" si="31"/>
        <v>0.11066666666666668</v>
      </c>
      <c r="AG22" s="78">
        <f t="shared" si="32"/>
        <v>4.0866568193008372E-2</v>
      </c>
      <c r="AH22" s="78">
        <f t="shared" si="58"/>
        <v>0.69166666666666676</v>
      </c>
      <c r="AI22" s="78">
        <v>9.1999999999999998E-2</v>
      </c>
      <c r="AJ22" s="78">
        <v>6.4000000000000001E-2</v>
      </c>
      <c r="AK22" s="78">
        <f t="shared" si="41"/>
        <v>1.4375</v>
      </c>
      <c r="AL22" s="78">
        <f t="shared" si="59"/>
        <v>1.1084337349397591</v>
      </c>
      <c r="AM22" s="78">
        <f t="shared" si="60"/>
        <v>0.76666666666666672</v>
      </c>
      <c r="AN22" s="78">
        <f t="shared" si="33"/>
        <v>0.12266666666666666</v>
      </c>
      <c r="AO22" s="78">
        <f t="shared" si="43"/>
        <v>0.4946236559139785</v>
      </c>
      <c r="AP22" s="78">
        <v>0.186</v>
      </c>
      <c r="AQ22" s="78">
        <v>0.112</v>
      </c>
      <c r="AR22" s="78">
        <f t="shared" si="53"/>
        <v>0.12827586206896552</v>
      </c>
      <c r="AS22" s="78">
        <f t="shared" si="45"/>
        <v>1.6607142857142856</v>
      </c>
      <c r="AT22" s="78">
        <f t="shared" si="46"/>
        <v>0.248</v>
      </c>
      <c r="AU22" s="78">
        <v>8.1000000000000003E-2</v>
      </c>
      <c r="AV22" s="78">
        <v>0.114</v>
      </c>
      <c r="AW22" s="78">
        <f t="shared" ref="AW22" si="61">AU22/AV22</f>
        <v>0.71052631578947367</v>
      </c>
      <c r="AX22" s="80">
        <f t="shared" ref="AX22" si="62">AP22/AU22</f>
        <v>2.2962962962962963</v>
      </c>
      <c r="AY22" s="114" t="s">
        <v>75</v>
      </c>
      <c r="AZ22" s="140">
        <v>4</v>
      </c>
      <c r="BA22" s="114" t="s">
        <v>75</v>
      </c>
      <c r="BB22" s="114" t="s">
        <v>75</v>
      </c>
      <c r="BC22" s="115" t="s">
        <v>75</v>
      </c>
    </row>
    <row r="23" spans="1:55" ht="12.75" customHeight="1" x14ac:dyDescent="0.2">
      <c r="A23" s="5"/>
      <c r="B23" s="83">
        <v>15075</v>
      </c>
      <c r="C23" s="116" t="s">
        <v>158</v>
      </c>
      <c r="D23" s="109" t="s">
        <v>155</v>
      </c>
      <c r="E23" s="11" t="s">
        <v>179</v>
      </c>
      <c r="F23" s="72">
        <v>1.3049999999999999</v>
      </c>
      <c r="G23" s="82">
        <f>I23+J23+K23+L23+M23+N23+O23</f>
        <v>3.4489999999999998</v>
      </c>
      <c r="H23" s="82">
        <f>G23/F23</f>
        <v>2.6429118773946358</v>
      </c>
      <c r="I23" s="72">
        <v>8.1000000000000003E-2</v>
      </c>
      <c r="J23" s="72">
        <v>4.3999999999999997E-2</v>
      </c>
      <c r="K23" s="72">
        <v>0.55700000000000005</v>
      </c>
      <c r="L23" s="72">
        <v>0.38400000000000001</v>
      </c>
      <c r="M23" s="72">
        <v>0.443</v>
      </c>
      <c r="N23" s="72">
        <v>0.113</v>
      </c>
      <c r="O23" s="72">
        <f>0.79+0.693+0.344</f>
        <v>1.827</v>
      </c>
      <c r="P23" s="72">
        <f t="shared" si="34"/>
        <v>1.94</v>
      </c>
      <c r="Q23" s="82">
        <f t="shared" si="35"/>
        <v>3.4829443447037698</v>
      </c>
      <c r="R23" s="82">
        <f t="shared" si="36"/>
        <v>0.79533213644524225</v>
      </c>
      <c r="S23" s="82">
        <f t="shared" si="37"/>
        <v>0.68940754039497298</v>
      </c>
      <c r="T23" s="82">
        <f t="shared" si="38"/>
        <v>16.168141592920353</v>
      </c>
      <c r="U23" s="72">
        <v>0.19500000000000001</v>
      </c>
      <c r="V23" s="72">
        <f t="shared" si="17"/>
        <v>17.687179487179485</v>
      </c>
      <c r="W23" s="72">
        <v>0.36499999999999999</v>
      </c>
      <c r="X23" s="72">
        <v>6.4000000000000001E-2</v>
      </c>
      <c r="Y23" s="72">
        <f t="shared" si="30"/>
        <v>5.703125</v>
      </c>
      <c r="Z23" s="72">
        <v>0.26900000000000002</v>
      </c>
      <c r="AA23" s="72">
        <v>0.32400000000000001</v>
      </c>
      <c r="AB23" s="72">
        <f t="shared" si="56"/>
        <v>0.24827586206896554</v>
      </c>
      <c r="AC23" s="72">
        <v>0.754</v>
      </c>
      <c r="AD23" s="72">
        <f t="shared" si="57"/>
        <v>0.57777777777777783</v>
      </c>
      <c r="AE23" s="72">
        <v>8.1000000000000003E-2</v>
      </c>
      <c r="AF23" s="72">
        <f t="shared" si="31"/>
        <v>0.14542190305206462</v>
      </c>
      <c r="AG23" s="72">
        <f t="shared" si="32"/>
        <v>4.1752577319587633E-2</v>
      </c>
      <c r="AH23" s="72">
        <f t="shared" si="58"/>
        <v>0.7168141592920354</v>
      </c>
      <c r="AI23" s="72">
        <v>8.7999999999999995E-2</v>
      </c>
      <c r="AJ23" s="72">
        <v>6.0999999999999999E-2</v>
      </c>
      <c r="AK23" s="72">
        <f t="shared" si="41"/>
        <v>1.4426229508196722</v>
      </c>
      <c r="AL23" s="72">
        <f t="shared" si="59"/>
        <v>1.0864197530864197</v>
      </c>
      <c r="AM23" s="72">
        <f t="shared" si="60"/>
        <v>0.77876106194690253</v>
      </c>
      <c r="AN23" s="72">
        <f t="shared" si="33"/>
        <v>0.15798922800718129</v>
      </c>
      <c r="AO23" s="72">
        <f t="shared" si="43"/>
        <v>0.64233576642335755</v>
      </c>
      <c r="AP23" s="72">
        <v>0.13700000000000001</v>
      </c>
      <c r="AQ23" s="72">
        <v>0.104</v>
      </c>
      <c r="AR23" s="72">
        <f t="shared" si="53"/>
        <v>0.10498084291187741</v>
      </c>
      <c r="AS23" s="72">
        <f t="shared" si="45"/>
        <v>1.3173076923076925</v>
      </c>
      <c r="AT23" s="72">
        <f t="shared" si="46"/>
        <v>0.24596050269299821</v>
      </c>
      <c r="AU23" s="72">
        <v>0.04</v>
      </c>
      <c r="AV23" s="72">
        <v>8.4000000000000005E-2</v>
      </c>
      <c r="AW23" s="72">
        <f t="shared" si="47"/>
        <v>0.47619047619047616</v>
      </c>
      <c r="AX23" s="82">
        <f t="shared" si="48"/>
        <v>3.4250000000000003</v>
      </c>
      <c r="AY23" s="84">
        <v>5</v>
      </c>
      <c r="AZ23" s="136">
        <v>3</v>
      </c>
      <c r="BA23" s="84">
        <v>7</v>
      </c>
      <c r="BB23" s="84">
        <v>4</v>
      </c>
      <c r="BC23" s="85">
        <v>5</v>
      </c>
    </row>
    <row r="24" spans="1:55" ht="12.75" customHeight="1" x14ac:dyDescent="0.2">
      <c r="A24" s="5"/>
      <c r="B24" s="69"/>
      <c r="C24" s="109"/>
      <c r="D24" s="109"/>
      <c r="E24" s="11"/>
      <c r="F24" s="72">
        <v>1.3049999999999999</v>
      </c>
      <c r="G24" s="82">
        <f>I24+J24+K24+L24+M24+N24+O24</f>
        <v>3.0439999999999996</v>
      </c>
      <c r="H24" s="82">
        <f>G24/F24</f>
        <v>2.332567049808429</v>
      </c>
      <c r="I24" s="72">
        <v>8.4000000000000005E-2</v>
      </c>
      <c r="J24" s="72">
        <v>4.2000000000000003E-2</v>
      </c>
      <c r="K24" s="72">
        <v>0.58199999999999996</v>
      </c>
      <c r="L24" s="72">
        <v>0.38200000000000001</v>
      </c>
      <c r="M24" s="72">
        <v>0.432</v>
      </c>
      <c r="N24" s="72">
        <v>0.114</v>
      </c>
      <c r="O24" s="72">
        <f>0.769+0.639</f>
        <v>1.4079999999999999</v>
      </c>
      <c r="P24" s="72">
        <f t="shared" si="34"/>
        <v>1.522</v>
      </c>
      <c r="Q24" s="82">
        <f t="shared" si="35"/>
        <v>2.6151202749140894</v>
      </c>
      <c r="R24" s="82">
        <f t="shared" si="36"/>
        <v>0.74226804123711343</v>
      </c>
      <c r="S24" s="82">
        <f t="shared" si="37"/>
        <v>0.6563573883161512</v>
      </c>
      <c r="T24" s="82">
        <f t="shared" si="38"/>
        <v>12.350877192982455</v>
      </c>
      <c r="U24" s="72">
        <v>0.19500000000000001</v>
      </c>
      <c r="V24" s="72">
        <f t="shared" si="17"/>
        <v>15.610256410256408</v>
      </c>
      <c r="W24" s="110" t="s">
        <v>75</v>
      </c>
      <c r="X24" s="110" t="s">
        <v>75</v>
      </c>
      <c r="Y24" s="110" t="s">
        <v>75</v>
      </c>
      <c r="Z24" s="110" t="s">
        <v>75</v>
      </c>
      <c r="AA24" s="72">
        <v>0.33700000000000002</v>
      </c>
      <c r="AB24" s="72">
        <f t="shared" si="56"/>
        <v>0.25823754789272035</v>
      </c>
      <c r="AC24" s="72">
        <v>0.74299999999999999</v>
      </c>
      <c r="AD24" s="72">
        <f t="shared" si="57"/>
        <v>0.56934865900383147</v>
      </c>
      <c r="AE24" s="72">
        <v>7.8E-2</v>
      </c>
      <c r="AF24" s="72">
        <f t="shared" si="31"/>
        <v>0.13402061855670103</v>
      </c>
      <c r="AG24" s="72">
        <f t="shared" si="32"/>
        <v>5.1248357424441525E-2</v>
      </c>
      <c r="AH24" s="72">
        <f t="shared" si="58"/>
        <v>0.68421052631578949</v>
      </c>
      <c r="AI24" s="72">
        <v>8.7999999999999995E-2</v>
      </c>
      <c r="AJ24" s="72">
        <v>6.0999999999999999E-2</v>
      </c>
      <c r="AK24" s="72">
        <f t="shared" si="41"/>
        <v>1.4426229508196722</v>
      </c>
      <c r="AL24" s="72">
        <f t="shared" si="59"/>
        <v>1.1282051282051282</v>
      </c>
      <c r="AM24" s="72">
        <f t="shared" si="60"/>
        <v>0.77192982456140347</v>
      </c>
      <c r="AN24" s="72">
        <f t="shared" si="33"/>
        <v>0.15120274914089346</v>
      </c>
      <c r="AO24" s="72">
        <f t="shared" si="43"/>
        <v>0.65185185185185179</v>
      </c>
      <c r="AP24" s="72">
        <v>0.13500000000000001</v>
      </c>
      <c r="AQ24" s="72">
        <v>9.4E-2</v>
      </c>
      <c r="AR24" s="72">
        <f t="shared" si="53"/>
        <v>0.10344827586206898</v>
      </c>
      <c r="AS24" s="72">
        <f t="shared" si="45"/>
        <v>1.4361702127659575</v>
      </c>
      <c r="AT24" s="72">
        <f t="shared" si="46"/>
        <v>0.23195876288659797</v>
      </c>
      <c r="AU24" s="72">
        <v>0.04</v>
      </c>
      <c r="AV24" s="72">
        <v>8.4000000000000005E-2</v>
      </c>
      <c r="AW24" s="72">
        <f t="shared" ref="AW24" si="63">AU24/AV24</f>
        <v>0.47619047619047616</v>
      </c>
      <c r="AX24" s="82">
        <f t="shared" ref="AX24" si="64">AP24/AU24</f>
        <v>3.375</v>
      </c>
      <c r="AY24" s="110" t="s">
        <v>75</v>
      </c>
      <c r="AZ24" s="139">
        <v>4</v>
      </c>
      <c r="BA24" s="110" t="s">
        <v>75</v>
      </c>
      <c r="BB24" s="110" t="s">
        <v>75</v>
      </c>
      <c r="BC24" s="111" t="s">
        <v>75</v>
      </c>
    </row>
    <row r="25" spans="1:55" ht="12.75" customHeight="1" x14ac:dyDescent="0.2">
      <c r="A25" s="5"/>
      <c r="B25" s="86">
        <v>15075</v>
      </c>
      <c r="C25" s="112" t="s">
        <v>158</v>
      </c>
      <c r="D25" s="113" t="s">
        <v>155</v>
      </c>
      <c r="E25" s="17" t="s">
        <v>179</v>
      </c>
      <c r="F25" s="78">
        <v>1.33</v>
      </c>
      <c r="G25" s="80">
        <f>I25+J25+K25+L25+M25+N25+O25</f>
        <v>3.274</v>
      </c>
      <c r="H25" s="80">
        <f>G25/F25</f>
        <v>2.4616541353383457</v>
      </c>
      <c r="I25" s="78">
        <v>0.08</v>
      </c>
      <c r="J25" s="78">
        <v>0.04</v>
      </c>
      <c r="K25" s="78">
        <v>0.60099999999999998</v>
      </c>
      <c r="L25" s="78">
        <v>0.40500000000000003</v>
      </c>
      <c r="M25" s="78">
        <v>0.45500000000000002</v>
      </c>
      <c r="N25" s="78">
        <v>0.123</v>
      </c>
      <c r="O25" s="78">
        <f>0.644+0.492+0.434</f>
        <v>1.57</v>
      </c>
      <c r="P25" s="78">
        <f t="shared" si="34"/>
        <v>1.6930000000000001</v>
      </c>
      <c r="Q25" s="80">
        <f t="shared" si="35"/>
        <v>2.8169717138103163</v>
      </c>
      <c r="R25" s="80">
        <f t="shared" si="36"/>
        <v>0.75707154742096516</v>
      </c>
      <c r="S25" s="80">
        <f t="shared" si="37"/>
        <v>0.67387687188019973</v>
      </c>
      <c r="T25" s="80">
        <f t="shared" si="38"/>
        <v>12.764227642276424</v>
      </c>
      <c r="U25" s="78">
        <v>0.20799999999999999</v>
      </c>
      <c r="V25" s="78">
        <f t="shared" si="17"/>
        <v>15.740384615384617</v>
      </c>
      <c r="W25" s="78">
        <v>0.38400000000000001</v>
      </c>
      <c r="X25" s="78">
        <v>6.6000000000000003E-2</v>
      </c>
      <c r="Y25" s="78">
        <f t="shared" si="30"/>
        <v>5.8181818181818183</v>
      </c>
      <c r="Z25" s="78">
        <v>0.26</v>
      </c>
      <c r="AA25" s="78">
        <v>0.32800000000000001</v>
      </c>
      <c r="AB25" s="78">
        <f t="shared" si="56"/>
        <v>0.24661654135338346</v>
      </c>
      <c r="AC25" s="78">
        <v>0.76200000000000001</v>
      </c>
      <c r="AD25" s="78">
        <f t="shared" si="57"/>
        <v>0.57293233082706763</v>
      </c>
      <c r="AE25" s="78">
        <v>8.2000000000000003E-2</v>
      </c>
      <c r="AF25" s="78">
        <f t="shared" si="31"/>
        <v>0.13643926788685526</v>
      </c>
      <c r="AG25" s="78">
        <f t="shared" si="32"/>
        <v>4.843473124630833E-2</v>
      </c>
      <c r="AH25" s="78">
        <f t="shared" si="58"/>
        <v>0.66666666666666674</v>
      </c>
      <c r="AI25" s="78">
        <v>9.0999999999999998E-2</v>
      </c>
      <c r="AJ25" s="78">
        <v>6.0999999999999999E-2</v>
      </c>
      <c r="AK25" s="78">
        <f t="shared" si="41"/>
        <v>1.4918032786885247</v>
      </c>
      <c r="AL25" s="78">
        <f t="shared" si="59"/>
        <v>1.1097560975609755</v>
      </c>
      <c r="AM25" s="78">
        <f t="shared" si="60"/>
        <v>0.73983739837398377</v>
      </c>
      <c r="AN25" s="78">
        <f t="shared" si="33"/>
        <v>0.15141430948419302</v>
      </c>
      <c r="AO25" s="78">
        <f t="shared" si="43"/>
        <v>0.63194444444444442</v>
      </c>
      <c r="AP25" s="78">
        <v>0.14399999999999999</v>
      </c>
      <c r="AQ25" s="78">
        <v>9.5000000000000001E-2</v>
      </c>
      <c r="AR25" s="78">
        <f t="shared" si="53"/>
        <v>0.10827067669172931</v>
      </c>
      <c r="AS25" s="78">
        <f t="shared" si="45"/>
        <v>1.5157894736842104</v>
      </c>
      <c r="AT25" s="78">
        <f t="shared" si="46"/>
        <v>0.23960066555740431</v>
      </c>
      <c r="AU25" s="78">
        <v>4.2000000000000003E-2</v>
      </c>
      <c r="AV25" s="78">
        <v>7.1999999999999995E-2</v>
      </c>
      <c r="AW25" s="78">
        <f t="shared" si="47"/>
        <v>0.58333333333333337</v>
      </c>
      <c r="AX25" s="80">
        <f t="shared" si="48"/>
        <v>3.4285714285714279</v>
      </c>
      <c r="AY25" s="87">
        <v>4</v>
      </c>
      <c r="AZ25" s="137">
        <v>3</v>
      </c>
      <c r="BA25" s="87">
        <v>11</v>
      </c>
      <c r="BB25" s="87">
        <v>6</v>
      </c>
      <c r="BC25" s="88">
        <v>7</v>
      </c>
    </row>
    <row r="26" spans="1:55" ht="12.75" customHeight="1" x14ac:dyDescent="0.2">
      <c r="A26" s="5"/>
      <c r="B26" s="75"/>
      <c r="C26" s="113"/>
      <c r="D26" s="113"/>
      <c r="E26" s="17"/>
      <c r="F26" s="78">
        <v>1.33</v>
      </c>
      <c r="G26" s="114" t="s">
        <v>75</v>
      </c>
      <c r="H26" s="114" t="s">
        <v>75</v>
      </c>
      <c r="I26" s="78">
        <v>8.1000000000000003E-2</v>
      </c>
      <c r="J26" s="78">
        <v>4.2000000000000003E-2</v>
      </c>
      <c r="K26" s="78">
        <v>0.6</v>
      </c>
      <c r="L26" s="78">
        <v>0.40300000000000002</v>
      </c>
      <c r="M26" s="78">
        <v>0.435</v>
      </c>
      <c r="N26" s="78">
        <v>0.114</v>
      </c>
      <c r="O26" s="114" t="s">
        <v>75</v>
      </c>
      <c r="P26" s="114" t="s">
        <v>75</v>
      </c>
      <c r="Q26" s="114" t="s">
        <v>75</v>
      </c>
      <c r="R26" s="80">
        <f t="shared" si="36"/>
        <v>0.72499999999999998</v>
      </c>
      <c r="S26" s="80">
        <f t="shared" si="37"/>
        <v>0.67166666666666675</v>
      </c>
      <c r="T26" s="114" t="s">
        <v>75</v>
      </c>
      <c r="U26" s="78">
        <v>0.20799999999999999</v>
      </c>
      <c r="V26" s="114" t="s">
        <v>75</v>
      </c>
      <c r="W26" s="78">
        <v>0.312</v>
      </c>
      <c r="X26" s="78">
        <v>6.3E-2</v>
      </c>
      <c r="Y26" s="78">
        <f t="shared" si="30"/>
        <v>4.9523809523809526</v>
      </c>
      <c r="Z26" s="78">
        <v>0.254</v>
      </c>
      <c r="AA26" s="78">
        <v>0.32600000000000001</v>
      </c>
      <c r="AB26" s="78">
        <f t="shared" si="56"/>
        <v>0.24511278195488723</v>
      </c>
      <c r="AC26" s="78">
        <v>0.746</v>
      </c>
      <c r="AD26" s="78">
        <f t="shared" si="57"/>
        <v>0.56090225563909768</v>
      </c>
      <c r="AE26" s="78">
        <v>7.8E-2</v>
      </c>
      <c r="AF26" s="78">
        <f t="shared" si="31"/>
        <v>0.13</v>
      </c>
      <c r="AG26" s="114" t="s">
        <v>75</v>
      </c>
      <c r="AH26" s="78">
        <f t="shared" si="58"/>
        <v>0.68421052631578949</v>
      </c>
      <c r="AI26" s="78">
        <v>9.0999999999999998E-2</v>
      </c>
      <c r="AJ26" s="78">
        <v>6.0999999999999999E-2</v>
      </c>
      <c r="AK26" s="78">
        <f t="shared" si="41"/>
        <v>1.4918032786885247</v>
      </c>
      <c r="AL26" s="78">
        <f t="shared" si="59"/>
        <v>1.1666666666666667</v>
      </c>
      <c r="AM26" s="78">
        <f t="shared" si="60"/>
        <v>0.79824561403508765</v>
      </c>
      <c r="AN26" s="78">
        <f t="shared" si="33"/>
        <v>0.15166666666666667</v>
      </c>
      <c r="AO26" s="78">
        <f t="shared" si="43"/>
        <v>0.66423357664233573</v>
      </c>
      <c r="AP26" s="78">
        <v>0.13700000000000001</v>
      </c>
      <c r="AQ26" s="78">
        <v>9.9000000000000005E-2</v>
      </c>
      <c r="AR26" s="78">
        <f t="shared" si="53"/>
        <v>0.10300751879699248</v>
      </c>
      <c r="AS26" s="78">
        <f t="shared" si="45"/>
        <v>1.3838383838383839</v>
      </c>
      <c r="AT26" s="78">
        <f t="shared" si="46"/>
        <v>0.22833333333333336</v>
      </c>
      <c r="AU26" s="78">
        <v>4.2000000000000003E-2</v>
      </c>
      <c r="AV26" s="78">
        <v>7.1999999999999995E-2</v>
      </c>
      <c r="AW26" s="78">
        <f t="shared" ref="AW26" si="65">AU26/AV26</f>
        <v>0.58333333333333337</v>
      </c>
      <c r="AX26" s="80">
        <f t="shared" ref="AX26" si="66">AP26/AU26</f>
        <v>3.2619047619047619</v>
      </c>
      <c r="AY26" s="114" t="s">
        <v>75</v>
      </c>
      <c r="AZ26" s="140">
        <v>4</v>
      </c>
      <c r="BA26" s="114" t="s">
        <v>75</v>
      </c>
      <c r="BB26" s="114" t="s">
        <v>75</v>
      </c>
      <c r="BC26" s="115" t="s">
        <v>75</v>
      </c>
    </row>
    <row r="27" spans="1:55" ht="12.75" customHeight="1" x14ac:dyDescent="0.2">
      <c r="A27" s="5"/>
      <c r="B27" s="83">
        <v>22201</v>
      </c>
      <c r="C27" s="116" t="s">
        <v>158</v>
      </c>
      <c r="D27" s="109" t="s">
        <v>156</v>
      </c>
      <c r="E27" s="11" t="s">
        <v>179</v>
      </c>
      <c r="F27" s="72">
        <v>1.3919999999999999</v>
      </c>
      <c r="G27" s="82">
        <f>I27+J27+K27+L27+M27+N27+O27</f>
        <v>3.867</v>
      </c>
      <c r="H27" s="82">
        <f>G27/F27</f>
        <v>2.7780172413793105</v>
      </c>
      <c r="I27" s="72">
        <v>9.6000000000000002E-2</v>
      </c>
      <c r="J27" s="72">
        <v>0.04</v>
      </c>
      <c r="K27" s="72">
        <v>0.67500000000000004</v>
      </c>
      <c r="L27" s="72">
        <v>0.44600000000000001</v>
      </c>
      <c r="M27" s="72">
        <v>0.51200000000000001</v>
      </c>
      <c r="N27" s="72">
        <v>0.125</v>
      </c>
      <c r="O27" s="72">
        <v>1.9730000000000001</v>
      </c>
      <c r="P27" s="72">
        <f t="shared" si="34"/>
        <v>2.0979999999999999</v>
      </c>
      <c r="Q27" s="82">
        <f t="shared" si="35"/>
        <v>3.1081481481481479</v>
      </c>
      <c r="R27" s="82">
        <f t="shared" si="36"/>
        <v>0.75851851851851848</v>
      </c>
      <c r="S27" s="82">
        <f t="shared" si="37"/>
        <v>0.66074074074074074</v>
      </c>
      <c r="T27" s="82">
        <f t="shared" si="38"/>
        <v>15.784000000000001</v>
      </c>
      <c r="U27" s="72">
        <v>0.27200000000000002</v>
      </c>
      <c r="V27" s="72">
        <f t="shared" si="17"/>
        <v>14.21691176470588</v>
      </c>
      <c r="W27" s="72">
        <v>0.432</v>
      </c>
      <c r="X27" s="72">
        <v>7.0000000000000007E-2</v>
      </c>
      <c r="Y27" s="72">
        <f t="shared" si="30"/>
        <v>6.1714285714285708</v>
      </c>
      <c r="Z27" s="72">
        <v>0.28799999999999998</v>
      </c>
      <c r="AA27" s="72">
        <v>0.39</v>
      </c>
      <c r="AB27" s="72">
        <f t="shared" si="56"/>
        <v>0.28017241379310348</v>
      </c>
      <c r="AC27" s="72">
        <v>0.874</v>
      </c>
      <c r="AD27" s="72">
        <f t="shared" si="57"/>
        <v>0.62787356321839083</v>
      </c>
      <c r="AE27" s="72">
        <v>8.4000000000000005E-2</v>
      </c>
      <c r="AF27" s="72">
        <f t="shared" si="31"/>
        <v>0.12444444444444444</v>
      </c>
      <c r="AG27" s="72">
        <f t="shared" si="32"/>
        <v>4.0038131553860823E-2</v>
      </c>
      <c r="AH27" s="72">
        <f t="shared" si="58"/>
        <v>0.67200000000000004</v>
      </c>
      <c r="AI27" s="110" t="s">
        <v>75</v>
      </c>
      <c r="AJ27" s="110" t="s">
        <v>75</v>
      </c>
      <c r="AK27" s="110" t="s">
        <v>75</v>
      </c>
      <c r="AL27" s="110" t="s">
        <v>75</v>
      </c>
      <c r="AM27" s="110" t="s">
        <v>75</v>
      </c>
      <c r="AN27" s="110" t="s">
        <v>75</v>
      </c>
      <c r="AO27" s="110" t="s">
        <v>75</v>
      </c>
      <c r="AP27" s="72">
        <v>0.14199999999999999</v>
      </c>
      <c r="AQ27" s="72">
        <v>9.8000000000000004E-2</v>
      </c>
      <c r="AR27" s="72">
        <f t="shared" si="53"/>
        <v>0.10201149425287356</v>
      </c>
      <c r="AS27" s="72">
        <f t="shared" si="45"/>
        <v>1.4489795918367345</v>
      </c>
      <c r="AT27" s="72">
        <f t="shared" si="46"/>
        <v>0.21037037037037035</v>
      </c>
      <c r="AU27" s="72">
        <v>4.5999999999999999E-2</v>
      </c>
      <c r="AV27" s="110" t="s">
        <v>75</v>
      </c>
      <c r="AW27" s="110" t="s">
        <v>75</v>
      </c>
      <c r="AX27" s="82">
        <f t="shared" si="48"/>
        <v>3.0869565217391304</v>
      </c>
      <c r="AY27" s="84">
        <v>4</v>
      </c>
      <c r="AZ27" s="136">
        <v>3</v>
      </c>
      <c r="BA27" s="110" t="s">
        <v>75</v>
      </c>
      <c r="BB27" s="84">
        <v>6</v>
      </c>
      <c r="BC27" s="85">
        <v>5</v>
      </c>
    </row>
    <row r="28" spans="1:55" ht="12.75" customHeight="1" x14ac:dyDescent="0.25">
      <c r="A28" s="5"/>
      <c r="B28" s="119"/>
      <c r="C28" s="120"/>
      <c r="D28" s="120"/>
      <c r="E28" s="120"/>
      <c r="F28" s="121">
        <v>1.3919999999999999</v>
      </c>
      <c r="G28" s="122">
        <f>I28+J28+K28+L28+M28+N28+O28</f>
        <v>3.1929999999999996</v>
      </c>
      <c r="H28" s="122">
        <f>G28/F28</f>
        <v>2.2938218390804597</v>
      </c>
      <c r="I28" s="121">
        <v>8.5999999999999993E-2</v>
      </c>
      <c r="J28" s="121">
        <v>0.04</v>
      </c>
      <c r="K28" s="121">
        <v>0.66400000000000003</v>
      </c>
      <c r="L28" s="121">
        <v>0.40799999999999997</v>
      </c>
      <c r="M28" s="121">
        <v>0.497</v>
      </c>
      <c r="N28" s="121">
        <v>0.127</v>
      </c>
      <c r="O28" s="121">
        <v>1.371</v>
      </c>
      <c r="P28" s="121">
        <f t="shared" si="34"/>
        <v>1.498</v>
      </c>
      <c r="Q28" s="122">
        <f t="shared" si="35"/>
        <v>2.2560240963855422</v>
      </c>
      <c r="R28" s="122">
        <f t="shared" si="36"/>
        <v>0.74849397590361444</v>
      </c>
      <c r="S28" s="122">
        <f t="shared" si="37"/>
        <v>0.61445783132530118</v>
      </c>
      <c r="T28" s="122">
        <f t="shared" si="38"/>
        <v>10.795275590551181</v>
      </c>
      <c r="U28" s="121">
        <v>0.27200000000000002</v>
      </c>
      <c r="V28" s="121">
        <f t="shared" si="17"/>
        <v>11.738970588235292</v>
      </c>
      <c r="W28" s="121">
        <v>0.41299999999999998</v>
      </c>
      <c r="X28" s="121">
        <v>7.2999999999999995E-2</v>
      </c>
      <c r="Y28" s="121">
        <f t="shared" si="30"/>
        <v>5.6575342465753424</v>
      </c>
      <c r="Z28" s="123" t="s">
        <v>75</v>
      </c>
      <c r="AA28" s="121">
        <v>0.374</v>
      </c>
      <c r="AB28" s="121">
        <f t="shared" si="56"/>
        <v>0.26867816091954022</v>
      </c>
      <c r="AC28" s="121">
        <v>0.875</v>
      </c>
      <c r="AD28" s="121">
        <f t="shared" si="57"/>
        <v>0.62859195402298851</v>
      </c>
      <c r="AE28" s="123" t="s">
        <v>75</v>
      </c>
      <c r="AF28" s="123" t="s">
        <v>75</v>
      </c>
      <c r="AG28" s="123" t="s">
        <v>75</v>
      </c>
      <c r="AH28" s="123" t="s">
        <v>75</v>
      </c>
      <c r="AI28" s="123" t="s">
        <v>75</v>
      </c>
      <c r="AJ28" s="123" t="s">
        <v>75</v>
      </c>
      <c r="AK28" s="123" t="s">
        <v>75</v>
      </c>
      <c r="AL28" s="123" t="s">
        <v>75</v>
      </c>
      <c r="AM28" s="123" t="s">
        <v>75</v>
      </c>
      <c r="AN28" s="123" t="s">
        <v>75</v>
      </c>
      <c r="AO28" s="123" t="s">
        <v>75</v>
      </c>
      <c r="AP28" s="121">
        <v>0.16</v>
      </c>
      <c r="AQ28" s="121">
        <v>9.7000000000000003E-2</v>
      </c>
      <c r="AR28" s="121">
        <f t="shared" si="53"/>
        <v>0.1149425287356322</v>
      </c>
      <c r="AS28" s="121">
        <f t="shared" si="45"/>
        <v>1.6494845360824741</v>
      </c>
      <c r="AT28" s="121">
        <f t="shared" si="46"/>
        <v>0.24096385542168675</v>
      </c>
      <c r="AU28" s="121">
        <v>4.5999999999999999E-2</v>
      </c>
      <c r="AV28" s="123" t="s">
        <v>75</v>
      </c>
      <c r="AW28" s="123" t="s">
        <v>75</v>
      </c>
      <c r="AX28" s="122">
        <f t="shared" ref="AX28" si="67">AP28/AU28</f>
        <v>3.4782608695652177</v>
      </c>
      <c r="AY28" s="123" t="s">
        <v>75</v>
      </c>
      <c r="AZ28" s="142" t="s">
        <v>75</v>
      </c>
      <c r="BA28" s="123" t="s">
        <v>75</v>
      </c>
      <c r="BB28" s="123" t="s">
        <v>75</v>
      </c>
      <c r="BC28" s="124" t="s">
        <v>75</v>
      </c>
    </row>
    <row r="29" spans="1:55" ht="12.75" customHeight="1" x14ac:dyDescent="0.2">
      <c r="A29" s="5"/>
      <c r="C29" s="46"/>
      <c r="D29" s="2"/>
      <c r="E29" s="58" t="s">
        <v>22</v>
      </c>
      <c r="F29" s="8">
        <f>MIN(F3:F28)</f>
        <v>1.1539999999999999</v>
      </c>
      <c r="G29" s="8">
        <f t="shared" ref="G29:BC29" si="68">MIN(G3:G28)</f>
        <v>3.0439999999999996</v>
      </c>
      <c r="H29" s="8">
        <f t="shared" si="68"/>
        <v>2.0362185389809699</v>
      </c>
      <c r="I29" s="8">
        <f t="shared" si="68"/>
        <v>7.4999999999999997E-2</v>
      </c>
      <c r="J29" s="8">
        <f t="shared" si="68"/>
        <v>0.03</v>
      </c>
      <c r="K29" s="8">
        <f t="shared" si="68"/>
        <v>0.55100000000000005</v>
      </c>
      <c r="L29" s="8">
        <f t="shared" si="68"/>
        <v>0.36199999999999999</v>
      </c>
      <c r="M29" s="8">
        <f t="shared" si="68"/>
        <v>0.40600000000000003</v>
      </c>
      <c r="N29" s="8">
        <f t="shared" si="68"/>
        <v>0.105</v>
      </c>
      <c r="O29" s="8">
        <f t="shared" si="68"/>
        <v>1.2110000000000001</v>
      </c>
      <c r="P29" s="8">
        <f t="shared" si="68"/>
        <v>1.3450000000000002</v>
      </c>
      <c r="Q29" s="8">
        <f t="shared" si="68"/>
        <v>1.8053691275167787</v>
      </c>
      <c r="R29" s="8">
        <f t="shared" si="68"/>
        <v>0.66886326194398693</v>
      </c>
      <c r="S29" s="8">
        <f t="shared" si="68"/>
        <v>0.61445783132530118</v>
      </c>
      <c r="T29" s="8">
        <f t="shared" si="68"/>
        <v>9.0373134328358216</v>
      </c>
      <c r="U29" s="8">
        <f t="shared" si="68"/>
        <v>0.19500000000000001</v>
      </c>
      <c r="V29" s="8">
        <f t="shared" si="68"/>
        <v>11.738970588235292</v>
      </c>
      <c r="W29" s="8">
        <f t="shared" si="68"/>
        <v>0.312</v>
      </c>
      <c r="X29" s="8">
        <f t="shared" si="68"/>
        <v>4.8000000000000001E-2</v>
      </c>
      <c r="Y29" s="8">
        <f t="shared" si="68"/>
        <v>4.9523809523809526</v>
      </c>
      <c r="Z29" s="8">
        <f t="shared" si="68"/>
        <v>0.22700000000000001</v>
      </c>
      <c r="AA29" s="8">
        <f t="shared" si="68"/>
        <v>0.307</v>
      </c>
      <c r="AB29" s="8">
        <f t="shared" si="68"/>
        <v>0.23853923853923856</v>
      </c>
      <c r="AC29" s="8">
        <f t="shared" si="68"/>
        <v>0.70699999999999996</v>
      </c>
      <c r="AD29" s="8">
        <f t="shared" si="68"/>
        <v>0.54933954933954932</v>
      </c>
      <c r="AE29" s="8">
        <f t="shared" si="68"/>
        <v>7.5999999999999998E-2</v>
      </c>
      <c r="AF29" s="8">
        <f t="shared" si="68"/>
        <v>0.11066666666666668</v>
      </c>
      <c r="AG29" s="8">
        <f t="shared" si="68"/>
        <v>3.6018957345971568E-2</v>
      </c>
      <c r="AH29" s="8">
        <f t="shared" si="68"/>
        <v>0.57857142857142851</v>
      </c>
      <c r="AI29" s="8">
        <f t="shared" si="68"/>
        <v>8.7999999999999995E-2</v>
      </c>
      <c r="AJ29" s="8">
        <f t="shared" si="68"/>
        <v>5.8000000000000003E-2</v>
      </c>
      <c r="AK29" s="8">
        <f t="shared" si="68"/>
        <v>1.4375</v>
      </c>
      <c r="AL29" s="8">
        <f t="shared" si="68"/>
        <v>1.0109890109890109</v>
      </c>
      <c r="AM29" s="8">
        <f t="shared" si="68"/>
        <v>0.69285714285714284</v>
      </c>
      <c r="AN29" s="8">
        <f t="shared" si="68"/>
        <v>0.12105263157894737</v>
      </c>
      <c r="AO29" s="8">
        <f t="shared" si="68"/>
        <v>0.4946236559139785</v>
      </c>
      <c r="AP29" s="8">
        <f t="shared" si="68"/>
        <v>0.11799999999999999</v>
      </c>
      <c r="AQ29" s="8">
        <f t="shared" si="68"/>
        <v>5.3999999999999999E-2</v>
      </c>
      <c r="AR29" s="8">
        <f t="shared" si="68"/>
        <v>9.1686091686091681E-2</v>
      </c>
      <c r="AS29" s="8">
        <f t="shared" si="68"/>
        <v>1.2553191489361701</v>
      </c>
      <c r="AT29" s="8">
        <f t="shared" si="68"/>
        <v>0.21037037037037035</v>
      </c>
      <c r="AU29" s="8">
        <f t="shared" si="68"/>
        <v>0.04</v>
      </c>
      <c r="AV29" s="8">
        <f t="shared" si="68"/>
        <v>6.8000000000000005E-2</v>
      </c>
      <c r="AW29" s="8">
        <f t="shared" si="68"/>
        <v>0.47619047619047616</v>
      </c>
      <c r="AX29" s="8">
        <f t="shared" si="68"/>
        <v>2.0634920634920637</v>
      </c>
      <c r="AY29" s="9">
        <f t="shared" si="68"/>
        <v>4</v>
      </c>
      <c r="AZ29" s="9">
        <f t="shared" si="68"/>
        <v>2</v>
      </c>
      <c r="BA29" s="9">
        <f t="shared" si="68"/>
        <v>6</v>
      </c>
      <c r="BB29" s="9">
        <f t="shared" si="68"/>
        <v>4</v>
      </c>
      <c r="BC29" s="9">
        <f t="shared" si="68"/>
        <v>5</v>
      </c>
    </row>
    <row r="30" spans="1:55" ht="12.75" customHeight="1" x14ac:dyDescent="0.2">
      <c r="A30" s="5"/>
      <c r="C30" s="46"/>
      <c r="D30" s="2"/>
      <c r="E30" s="58" t="s">
        <v>23</v>
      </c>
      <c r="F30" s="8">
        <f>MAX(F3:F28)</f>
        <v>1.629</v>
      </c>
      <c r="G30" s="8">
        <f t="shared" ref="G30:BC30" si="69">MAX(G3:G28)</f>
        <v>4.0890000000000004</v>
      </c>
      <c r="H30" s="8">
        <f t="shared" si="69"/>
        <v>3.3535528596187176</v>
      </c>
      <c r="I30" s="8">
        <f t="shared" si="69"/>
        <v>9.6000000000000002E-2</v>
      </c>
      <c r="J30" s="8">
        <f t="shared" si="69"/>
        <v>4.8000000000000001E-2</v>
      </c>
      <c r="K30" s="8">
        <f t="shared" si="69"/>
        <v>0.76</v>
      </c>
      <c r="L30" s="8">
        <f t="shared" si="69"/>
        <v>0.6</v>
      </c>
      <c r="M30" s="8">
        <f t="shared" si="69"/>
        <v>0.57299999999999995</v>
      </c>
      <c r="N30" s="8">
        <f t="shared" si="69"/>
        <v>0.14000000000000001</v>
      </c>
      <c r="O30" s="8">
        <f t="shared" si="69"/>
        <v>1.988</v>
      </c>
      <c r="P30" s="8">
        <f t="shared" si="69"/>
        <v>2.11</v>
      </c>
      <c r="Q30" s="8">
        <f t="shared" si="69"/>
        <v>3.4829443447037698</v>
      </c>
      <c r="R30" s="8">
        <f t="shared" si="69"/>
        <v>0.8254237288135593</v>
      </c>
      <c r="S30" s="8">
        <f t="shared" si="69"/>
        <v>0.98846787479406917</v>
      </c>
      <c r="T30" s="8">
        <f t="shared" si="69"/>
        <v>16.308333333333334</v>
      </c>
      <c r="U30" s="8">
        <f t="shared" si="69"/>
        <v>0.27200000000000002</v>
      </c>
      <c r="V30" s="8">
        <f t="shared" ref="V30" si="70">MAX(V3:V28)</f>
        <v>19.989999999999998</v>
      </c>
      <c r="W30" s="8">
        <f t="shared" si="69"/>
        <v>0.54200000000000004</v>
      </c>
      <c r="X30" s="8">
        <f t="shared" si="69"/>
        <v>8.4000000000000005E-2</v>
      </c>
      <c r="Y30" s="8">
        <f t="shared" si="69"/>
        <v>7.693548387096774</v>
      </c>
      <c r="Z30" s="8">
        <f t="shared" si="69"/>
        <v>0.35</v>
      </c>
      <c r="AA30" s="8">
        <f t="shared" si="69"/>
        <v>0.48</v>
      </c>
      <c r="AB30" s="8">
        <f t="shared" si="69"/>
        <v>0.33188908145580592</v>
      </c>
      <c r="AC30" s="8">
        <f t="shared" si="69"/>
        <v>0.99</v>
      </c>
      <c r="AD30" s="8">
        <f t="shared" si="69"/>
        <v>0.74350086655112657</v>
      </c>
      <c r="AE30" s="8">
        <f t="shared" si="69"/>
        <v>9.5000000000000001E-2</v>
      </c>
      <c r="AF30" s="8">
        <f t="shared" si="69"/>
        <v>0.1474245115452931</v>
      </c>
      <c r="AG30" s="8">
        <f t="shared" si="69"/>
        <v>6.6171003717472102E-2</v>
      </c>
      <c r="AH30" s="8">
        <f t="shared" si="69"/>
        <v>0.79047619047619055</v>
      </c>
      <c r="AI30" s="8">
        <f t="shared" si="69"/>
        <v>9.9000000000000005E-2</v>
      </c>
      <c r="AJ30" s="8">
        <f t="shared" si="69"/>
        <v>6.7000000000000004E-2</v>
      </c>
      <c r="AK30" s="8">
        <f t="shared" si="69"/>
        <v>1.6206896551724137</v>
      </c>
      <c r="AL30" s="8">
        <f t="shared" si="69"/>
        <v>1.2236842105263157</v>
      </c>
      <c r="AM30" s="8">
        <f t="shared" si="69"/>
        <v>0.8571428571428571</v>
      </c>
      <c r="AN30" s="8">
        <f t="shared" si="69"/>
        <v>0.16333938294010888</v>
      </c>
      <c r="AO30" s="8">
        <f t="shared" si="69"/>
        <v>0.76271186440677963</v>
      </c>
      <c r="AP30" s="8">
        <f t="shared" si="69"/>
        <v>0.19</v>
      </c>
      <c r="AQ30" s="8">
        <f t="shared" si="69"/>
        <v>0.14499999999999999</v>
      </c>
      <c r="AR30" s="8">
        <f t="shared" si="69"/>
        <v>0.14644714038128251</v>
      </c>
      <c r="AS30" s="8">
        <f t="shared" si="69"/>
        <v>2.3148148148148149</v>
      </c>
      <c r="AT30" s="8">
        <f t="shared" si="69"/>
        <v>0.26726726726726724</v>
      </c>
      <c r="AU30" s="8">
        <f t="shared" si="69"/>
        <v>8.1000000000000003E-2</v>
      </c>
      <c r="AV30" s="8">
        <f t="shared" si="69"/>
        <v>0.127</v>
      </c>
      <c r="AW30" s="8">
        <f t="shared" si="69"/>
        <v>0.88311688311688319</v>
      </c>
      <c r="AX30" s="8">
        <f t="shared" si="69"/>
        <v>4.0238095238095237</v>
      </c>
      <c r="AY30" s="9">
        <f t="shared" si="69"/>
        <v>5</v>
      </c>
      <c r="AZ30" s="9">
        <f t="shared" si="69"/>
        <v>5</v>
      </c>
      <c r="BA30" s="9">
        <f t="shared" si="69"/>
        <v>11</v>
      </c>
      <c r="BB30" s="9">
        <f t="shared" si="69"/>
        <v>7</v>
      </c>
      <c r="BC30" s="9">
        <f t="shared" si="69"/>
        <v>7</v>
      </c>
    </row>
    <row r="34" spans="5:5" x14ac:dyDescent="0.25">
      <c r="E34" s="46"/>
    </row>
    <row r="35" spans="5:5" x14ac:dyDescent="0.25">
      <c r="E35" s="46"/>
    </row>
    <row r="36" spans="5:5" x14ac:dyDescent="0.25">
      <c r="E36" s="46"/>
    </row>
    <row r="37" spans="5:5" x14ac:dyDescent="0.25">
      <c r="E37" s="46"/>
    </row>
    <row r="38" spans="5:5" x14ac:dyDescent="0.25">
      <c r="E38" s="46"/>
    </row>
    <row r="39" spans="5:5" x14ac:dyDescent="0.25">
      <c r="E39" s="46"/>
    </row>
    <row r="40" spans="5:5" x14ac:dyDescent="0.25">
      <c r="E40" s="46"/>
    </row>
    <row r="41" spans="5:5" x14ac:dyDescent="0.25">
      <c r="E41" s="46"/>
    </row>
    <row r="42" spans="5:5" x14ac:dyDescent="0.25">
      <c r="E42" s="46"/>
    </row>
    <row r="43" spans="5:5" x14ac:dyDescent="0.25">
      <c r="E43" s="46"/>
    </row>
    <row r="44" spans="5:5" x14ac:dyDescent="0.25">
      <c r="E44" s="46"/>
    </row>
    <row r="45" spans="5:5" x14ac:dyDescent="0.25">
      <c r="E45" s="46"/>
    </row>
    <row r="46" spans="5:5" x14ac:dyDescent="0.25">
      <c r="E46" s="46"/>
    </row>
    <row r="47" spans="5:5" x14ac:dyDescent="0.25">
      <c r="E47" s="46"/>
    </row>
    <row r="48" spans="5:5" x14ac:dyDescent="0.25">
      <c r="E48" s="46"/>
    </row>
    <row r="49" spans="5:5" x14ac:dyDescent="0.25">
      <c r="E49" s="46"/>
    </row>
    <row r="50" spans="5:5" x14ac:dyDescent="0.25">
      <c r="E50" s="46"/>
    </row>
    <row r="51" spans="5:5" x14ac:dyDescent="0.25">
      <c r="E51" s="46"/>
    </row>
    <row r="52" spans="5:5" x14ac:dyDescent="0.25">
      <c r="E52" s="46"/>
    </row>
    <row r="53" spans="5:5" x14ac:dyDescent="0.25">
      <c r="E53" s="46"/>
    </row>
    <row r="54" spans="5:5" x14ac:dyDescent="0.25">
      <c r="E54" s="46"/>
    </row>
    <row r="55" spans="5:5" x14ac:dyDescent="0.25">
      <c r="E55" s="46"/>
    </row>
    <row r="56" spans="5:5" x14ac:dyDescent="0.25">
      <c r="E56" s="46"/>
    </row>
    <row r="57" spans="5:5" x14ac:dyDescent="0.25">
      <c r="E57" s="46"/>
    </row>
    <row r="58" spans="5:5" x14ac:dyDescent="0.25">
      <c r="E58" s="46"/>
    </row>
    <row r="59" spans="5:5" x14ac:dyDescent="0.25">
      <c r="E59" s="46"/>
    </row>
    <row r="60" spans="5:5" x14ac:dyDescent="0.25">
      <c r="E60" s="46"/>
    </row>
    <row r="61" spans="5:5" x14ac:dyDescent="0.25">
      <c r="E61" s="46"/>
    </row>
    <row r="62" spans="5:5" x14ac:dyDescent="0.25">
      <c r="E62" s="46"/>
    </row>
    <row r="63" spans="5:5" x14ac:dyDescent="0.25">
      <c r="E63" s="46"/>
    </row>
    <row r="64" spans="5:5" x14ac:dyDescent="0.25">
      <c r="E64" s="46"/>
    </row>
    <row r="65" spans="5:5" x14ac:dyDescent="0.25">
      <c r="E65" s="46"/>
    </row>
    <row r="66" spans="5:5" x14ac:dyDescent="0.25">
      <c r="E66" s="46"/>
    </row>
    <row r="67" spans="5:5" x14ac:dyDescent="0.25">
      <c r="E67" s="46"/>
    </row>
    <row r="68" spans="5:5" x14ac:dyDescent="0.25">
      <c r="E68" s="46"/>
    </row>
    <row r="69" spans="5:5" x14ac:dyDescent="0.25">
      <c r="E69" s="46"/>
    </row>
    <row r="70" spans="5:5" x14ac:dyDescent="0.25">
      <c r="E70" s="46"/>
    </row>
    <row r="71" spans="5:5" x14ac:dyDescent="0.25">
      <c r="E71" s="46"/>
    </row>
    <row r="72" spans="5:5" x14ac:dyDescent="0.25">
      <c r="E72" s="46"/>
    </row>
    <row r="73" spans="5:5" x14ac:dyDescent="0.25">
      <c r="E73" s="46"/>
    </row>
    <row r="74" spans="5:5" x14ac:dyDescent="0.25">
      <c r="E74" s="46"/>
    </row>
    <row r="75" spans="5:5" x14ac:dyDescent="0.25">
      <c r="E75" s="46"/>
    </row>
    <row r="76" spans="5:5" x14ac:dyDescent="0.25">
      <c r="E76" s="46"/>
    </row>
    <row r="77" spans="5:5" x14ac:dyDescent="0.25">
      <c r="E77" s="46"/>
    </row>
    <row r="78" spans="5:5" x14ac:dyDescent="0.25">
      <c r="E78" s="4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C78"/>
  <sheetViews>
    <sheetView zoomScaleNormal="100" workbookViewId="0"/>
  </sheetViews>
  <sheetFormatPr defaultColWidth="9.140625" defaultRowHeight="12.75" x14ac:dyDescent="0.2"/>
  <cols>
    <col min="1" max="1" width="1.7109375" style="7" customWidth="1"/>
    <col min="2" max="4" width="18.7109375" style="7" customWidth="1"/>
    <col min="5" max="5" width="36.7109375" style="1" customWidth="1"/>
    <col min="6" max="52" width="8.7109375" style="7" customWidth="1"/>
    <col min="53" max="55" width="10.7109375" style="7" customWidth="1"/>
    <col min="56" max="57" width="9.140625" style="7"/>
    <col min="58" max="60" width="9.28515625" style="7" bestFit="1" customWidth="1"/>
    <col min="61" max="16384" width="9.140625" style="7"/>
  </cols>
  <sheetData>
    <row r="1" spans="2:55" ht="12" customHeight="1" x14ac:dyDescent="0.2">
      <c r="I1" s="97"/>
    </row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181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s="5" customFormat="1" ht="12.75" customHeight="1" x14ac:dyDescent="0.2">
      <c r="B3" s="61">
        <v>15566</v>
      </c>
      <c r="C3" s="107" t="s">
        <v>167</v>
      </c>
      <c r="D3" s="108" t="s">
        <v>182</v>
      </c>
      <c r="E3" s="161" t="s">
        <v>183</v>
      </c>
      <c r="F3" s="64">
        <v>1.409</v>
      </c>
      <c r="G3" s="65">
        <f>I3+J3+K3+L3+M3+N3+O3</f>
        <v>1.7730000000000001</v>
      </c>
      <c r="H3" s="65">
        <f>G3/F3</f>
        <v>1.2583392476933997</v>
      </c>
      <c r="I3" s="64">
        <v>6.8000000000000005E-2</v>
      </c>
      <c r="J3" s="64">
        <v>4.2999999999999997E-2</v>
      </c>
      <c r="K3" s="64">
        <v>0.52800000000000002</v>
      </c>
      <c r="L3" s="64">
        <v>0.32400000000000001</v>
      </c>
      <c r="M3" s="64">
        <v>0.32100000000000001</v>
      </c>
      <c r="N3" s="64">
        <v>9.5000000000000001E-2</v>
      </c>
      <c r="O3" s="64">
        <v>0.39400000000000002</v>
      </c>
      <c r="P3" s="64">
        <f>N:N+O:O</f>
        <v>0.48899999999999999</v>
      </c>
      <c r="Q3" s="65">
        <f t="shared" ref="Q3:Q28" si="0">(N3+O3)/K3</f>
        <v>0.92613636363636354</v>
      </c>
      <c r="R3" s="65">
        <f t="shared" ref="R3:R28" si="1">M3/K3</f>
        <v>0.60795454545454541</v>
      </c>
      <c r="S3" s="65">
        <f t="shared" ref="S3:S28" si="2">L3/K3</f>
        <v>0.61363636363636365</v>
      </c>
      <c r="T3" s="65">
        <f t="shared" ref="T3:T28" si="3">O3/N3</f>
        <v>4.147368421052632</v>
      </c>
      <c r="U3" s="146" t="s">
        <v>75</v>
      </c>
      <c r="V3" s="146" t="s">
        <v>75</v>
      </c>
      <c r="W3" s="64">
        <v>0.33800000000000002</v>
      </c>
      <c r="X3" s="64">
        <v>8.5000000000000006E-2</v>
      </c>
      <c r="Y3" s="64">
        <f>W3/X3</f>
        <v>3.9764705882352942</v>
      </c>
      <c r="Z3" s="64">
        <v>0.28499999999999998</v>
      </c>
      <c r="AA3" s="64">
        <v>0.308</v>
      </c>
      <c r="AB3" s="64">
        <f>AA3/F3</f>
        <v>0.21859474804826118</v>
      </c>
      <c r="AC3" s="64">
        <v>0.65300000000000002</v>
      </c>
      <c r="AD3" s="64">
        <f>AC3/F3</f>
        <v>0.46344925479063165</v>
      </c>
      <c r="AE3" s="64">
        <v>8.6999999999999994E-2</v>
      </c>
      <c r="AF3" s="64">
        <f>AE3/K3</f>
        <v>0.16477272727272727</v>
      </c>
      <c r="AG3" s="64">
        <f>AE3/P3</f>
        <v>0.17791411042944785</v>
      </c>
      <c r="AH3" s="64">
        <f>AE3/N3</f>
        <v>0.91578947368421049</v>
      </c>
      <c r="AI3" s="146" t="s">
        <v>75</v>
      </c>
      <c r="AJ3" s="146" t="s">
        <v>75</v>
      </c>
      <c r="AK3" s="146" t="s">
        <v>75</v>
      </c>
      <c r="AL3" s="146" t="s">
        <v>75</v>
      </c>
      <c r="AM3" s="146" t="s">
        <v>75</v>
      </c>
      <c r="AN3" s="146" t="s">
        <v>75</v>
      </c>
      <c r="AO3" s="146" t="s">
        <v>75</v>
      </c>
      <c r="AP3" s="64">
        <v>0.13200000000000001</v>
      </c>
      <c r="AQ3" s="64">
        <v>4.2000000000000003E-2</v>
      </c>
      <c r="AR3" s="64">
        <f t="shared" ref="AR3:AR28" si="4">AP3/F3</f>
        <v>9.3683463449254795E-2</v>
      </c>
      <c r="AS3" s="64">
        <f>AP3/AQ3</f>
        <v>3.1428571428571428</v>
      </c>
      <c r="AT3" s="64">
        <f>AP3/K3</f>
        <v>0.25</v>
      </c>
      <c r="AU3" s="146" t="s">
        <v>75</v>
      </c>
      <c r="AV3" s="146" t="s">
        <v>75</v>
      </c>
      <c r="AW3" s="146" t="s">
        <v>75</v>
      </c>
      <c r="AX3" s="146" t="s">
        <v>75</v>
      </c>
      <c r="AY3" s="146" t="s">
        <v>75</v>
      </c>
      <c r="AZ3" s="133">
        <v>8</v>
      </c>
      <c r="BA3" s="146" t="s">
        <v>75</v>
      </c>
      <c r="BB3" s="146" t="s">
        <v>75</v>
      </c>
      <c r="BC3" s="147" t="s">
        <v>75</v>
      </c>
    </row>
    <row r="4" spans="2:55" s="5" customFormat="1" ht="12.75" customHeight="1" x14ac:dyDescent="0.2">
      <c r="B4" s="164"/>
      <c r="C4" s="109"/>
      <c r="D4" s="109"/>
      <c r="E4" s="11"/>
      <c r="F4" s="72">
        <v>1.409</v>
      </c>
      <c r="G4" s="110" t="s">
        <v>75</v>
      </c>
      <c r="H4" s="110" t="s">
        <v>75</v>
      </c>
      <c r="I4" s="72">
        <v>7.2999999999999995E-2</v>
      </c>
      <c r="J4" s="72">
        <v>4.4999999999999998E-2</v>
      </c>
      <c r="K4" s="72">
        <v>0.54100000000000004</v>
      </c>
      <c r="L4" s="110" t="s">
        <v>75</v>
      </c>
      <c r="M4" s="110" t="s">
        <v>75</v>
      </c>
      <c r="N4" s="72">
        <v>9.9000000000000005E-2</v>
      </c>
      <c r="O4" s="72">
        <v>0.34499999999999997</v>
      </c>
      <c r="P4" s="72">
        <f>N:N+O:O</f>
        <v>0.44399999999999995</v>
      </c>
      <c r="Q4" s="82">
        <f t="shared" si="0"/>
        <v>0.82070240295748598</v>
      </c>
      <c r="R4" s="110" t="s">
        <v>75</v>
      </c>
      <c r="S4" s="110" t="s">
        <v>75</v>
      </c>
      <c r="T4" s="82">
        <f t="shared" si="3"/>
        <v>3.4848484848484844</v>
      </c>
      <c r="U4" s="110" t="s">
        <v>75</v>
      </c>
      <c r="V4" s="110" t="s">
        <v>75</v>
      </c>
      <c r="W4" s="110" t="s">
        <v>75</v>
      </c>
      <c r="X4" s="110" t="s">
        <v>75</v>
      </c>
      <c r="Y4" s="110" t="s">
        <v>75</v>
      </c>
      <c r="Z4" s="110" t="s">
        <v>75</v>
      </c>
      <c r="AA4" s="110" t="s">
        <v>75</v>
      </c>
      <c r="AB4" s="110" t="s">
        <v>75</v>
      </c>
      <c r="AC4" s="110" t="s">
        <v>75</v>
      </c>
      <c r="AD4" s="110" t="s">
        <v>75</v>
      </c>
      <c r="AE4" s="110" t="s">
        <v>75</v>
      </c>
      <c r="AF4" s="110" t="s">
        <v>75</v>
      </c>
      <c r="AG4" s="110" t="s">
        <v>75</v>
      </c>
      <c r="AH4" s="110" t="s">
        <v>75</v>
      </c>
      <c r="AI4" s="110" t="s">
        <v>75</v>
      </c>
      <c r="AJ4" s="110" t="s">
        <v>75</v>
      </c>
      <c r="AK4" s="110" t="s">
        <v>75</v>
      </c>
      <c r="AL4" s="110" t="s">
        <v>75</v>
      </c>
      <c r="AM4" s="110" t="s">
        <v>75</v>
      </c>
      <c r="AN4" s="110" t="s">
        <v>75</v>
      </c>
      <c r="AO4" s="110" t="s">
        <v>75</v>
      </c>
      <c r="AP4" s="110" t="s">
        <v>75</v>
      </c>
      <c r="AQ4" s="110" t="s">
        <v>75</v>
      </c>
      <c r="AR4" s="110" t="s">
        <v>75</v>
      </c>
      <c r="AS4" s="110" t="s">
        <v>75</v>
      </c>
      <c r="AT4" s="110" t="s">
        <v>75</v>
      </c>
      <c r="AU4" s="110" t="s">
        <v>75</v>
      </c>
      <c r="AV4" s="110" t="s">
        <v>75</v>
      </c>
      <c r="AW4" s="110" t="s">
        <v>75</v>
      </c>
      <c r="AX4" s="110" t="s">
        <v>75</v>
      </c>
      <c r="AY4" s="110" t="s">
        <v>75</v>
      </c>
      <c r="AZ4" s="136">
        <v>11</v>
      </c>
      <c r="BA4" s="110" t="s">
        <v>75</v>
      </c>
      <c r="BB4" s="110" t="s">
        <v>75</v>
      </c>
      <c r="BC4" s="111" t="s">
        <v>75</v>
      </c>
    </row>
    <row r="5" spans="2:55" s="5" customFormat="1" ht="12.75" customHeight="1" x14ac:dyDescent="0.2">
      <c r="B5" s="86">
        <v>15566</v>
      </c>
      <c r="C5" s="112" t="s">
        <v>167</v>
      </c>
      <c r="D5" s="113" t="s">
        <v>182</v>
      </c>
      <c r="E5" s="17" t="s">
        <v>183</v>
      </c>
      <c r="F5" s="78">
        <v>1.3740000000000001</v>
      </c>
      <c r="G5" s="79" t="s">
        <v>75</v>
      </c>
      <c r="H5" s="79" t="s">
        <v>75</v>
      </c>
      <c r="I5" s="79" t="s">
        <v>75</v>
      </c>
      <c r="J5" s="79" t="s">
        <v>75</v>
      </c>
      <c r="K5" s="79" t="s">
        <v>75</v>
      </c>
      <c r="L5" s="79" t="s">
        <v>75</v>
      </c>
      <c r="M5" s="79" t="s">
        <v>75</v>
      </c>
      <c r="N5" s="79" t="s">
        <v>75</v>
      </c>
      <c r="O5" s="79" t="s">
        <v>75</v>
      </c>
      <c r="P5" s="79" t="s">
        <v>75</v>
      </c>
      <c r="Q5" s="79" t="s">
        <v>75</v>
      </c>
      <c r="R5" s="79" t="s">
        <v>75</v>
      </c>
      <c r="S5" s="79" t="s">
        <v>75</v>
      </c>
      <c r="T5" s="79" t="s">
        <v>75</v>
      </c>
      <c r="U5" s="79" t="s">
        <v>75</v>
      </c>
      <c r="V5" s="79" t="s">
        <v>75</v>
      </c>
      <c r="W5" s="78">
        <v>0.374</v>
      </c>
      <c r="X5" s="78">
        <v>8.6999999999999994E-2</v>
      </c>
      <c r="Y5" s="78">
        <f t="shared" ref="Y5:Y28" si="5">W5/X5</f>
        <v>4.2988505747126435</v>
      </c>
      <c r="Z5" s="78">
        <v>0.25600000000000001</v>
      </c>
      <c r="AA5" s="78">
        <v>0.34200000000000003</v>
      </c>
      <c r="AB5" s="78">
        <f>AA5/F5</f>
        <v>0.24890829694323144</v>
      </c>
      <c r="AC5" s="78">
        <v>0.74299999999999999</v>
      </c>
      <c r="AD5" s="78">
        <f>AC5/F5</f>
        <v>0.54075691411935944</v>
      </c>
      <c r="AE5" s="78">
        <v>9.0999999999999998E-2</v>
      </c>
      <c r="AF5" s="79" t="s">
        <v>75</v>
      </c>
      <c r="AG5" s="79" t="s">
        <v>75</v>
      </c>
      <c r="AH5" s="79" t="s">
        <v>75</v>
      </c>
      <c r="AI5" s="79" t="s">
        <v>75</v>
      </c>
      <c r="AJ5" s="79" t="s">
        <v>75</v>
      </c>
      <c r="AK5" s="79" t="s">
        <v>75</v>
      </c>
      <c r="AL5" s="79" t="s">
        <v>75</v>
      </c>
      <c r="AM5" s="79" t="s">
        <v>75</v>
      </c>
      <c r="AN5" s="79" t="s">
        <v>75</v>
      </c>
      <c r="AO5" s="79" t="s">
        <v>75</v>
      </c>
      <c r="AP5" s="78">
        <v>0.14499999999999999</v>
      </c>
      <c r="AQ5" s="78">
        <v>5.2999999999999999E-2</v>
      </c>
      <c r="AR5" s="78">
        <f t="shared" si="4"/>
        <v>0.10553129548762735</v>
      </c>
      <c r="AS5" s="78">
        <f>AP5/AQ5</f>
        <v>2.7358490566037736</v>
      </c>
      <c r="AT5" s="79" t="s">
        <v>75</v>
      </c>
      <c r="AU5" s="79" t="s">
        <v>75</v>
      </c>
      <c r="AV5" s="79" t="s">
        <v>75</v>
      </c>
      <c r="AW5" s="79" t="s">
        <v>75</v>
      </c>
      <c r="AX5" s="79" t="s">
        <v>75</v>
      </c>
      <c r="AY5" s="79" t="s">
        <v>75</v>
      </c>
      <c r="AZ5" s="79" t="s">
        <v>75</v>
      </c>
      <c r="BA5" s="79" t="s">
        <v>75</v>
      </c>
      <c r="BB5" s="79" t="s">
        <v>75</v>
      </c>
      <c r="BC5" s="81" t="s">
        <v>75</v>
      </c>
    </row>
    <row r="6" spans="2:55" s="5" customFormat="1" ht="12.75" customHeight="1" x14ac:dyDescent="0.2">
      <c r="B6" s="75"/>
      <c r="C6" s="113"/>
      <c r="D6" s="113"/>
      <c r="E6" s="17"/>
      <c r="F6" s="78">
        <v>1.3740000000000001</v>
      </c>
      <c r="G6" s="79" t="s">
        <v>75</v>
      </c>
      <c r="H6" s="79" t="s">
        <v>75</v>
      </c>
      <c r="I6" s="79" t="s">
        <v>75</v>
      </c>
      <c r="J6" s="79" t="s">
        <v>75</v>
      </c>
      <c r="K6" s="79" t="s">
        <v>75</v>
      </c>
      <c r="L6" s="79" t="s">
        <v>75</v>
      </c>
      <c r="M6" s="79" t="s">
        <v>75</v>
      </c>
      <c r="N6" s="79" t="s">
        <v>75</v>
      </c>
      <c r="O6" s="79" t="s">
        <v>75</v>
      </c>
      <c r="P6" s="79" t="s">
        <v>75</v>
      </c>
      <c r="Q6" s="79" t="s">
        <v>75</v>
      </c>
      <c r="R6" s="79" t="s">
        <v>75</v>
      </c>
      <c r="S6" s="79" t="s">
        <v>75</v>
      </c>
      <c r="T6" s="79" t="s">
        <v>75</v>
      </c>
      <c r="U6" s="79" t="s">
        <v>75</v>
      </c>
      <c r="V6" s="79" t="s">
        <v>75</v>
      </c>
      <c r="W6" s="79" t="s">
        <v>75</v>
      </c>
      <c r="X6" s="79" t="s">
        <v>75</v>
      </c>
      <c r="Y6" s="79" t="s">
        <v>75</v>
      </c>
      <c r="Z6" s="79" t="s">
        <v>75</v>
      </c>
      <c r="AA6" s="79" t="s">
        <v>75</v>
      </c>
      <c r="AB6" s="79" t="s">
        <v>75</v>
      </c>
      <c r="AC6" s="78">
        <v>0.69499999999999995</v>
      </c>
      <c r="AD6" s="78">
        <f>AC6/F6</f>
        <v>0.50582241630276559</v>
      </c>
      <c r="AE6" s="78">
        <v>9.2999999999999999E-2</v>
      </c>
      <c r="AF6" s="79" t="s">
        <v>75</v>
      </c>
      <c r="AG6" s="79" t="s">
        <v>75</v>
      </c>
      <c r="AH6" s="79" t="s">
        <v>75</v>
      </c>
      <c r="AI6" s="79" t="s">
        <v>75</v>
      </c>
      <c r="AJ6" s="79" t="s">
        <v>75</v>
      </c>
      <c r="AK6" s="79" t="s">
        <v>75</v>
      </c>
      <c r="AL6" s="79" t="s">
        <v>75</v>
      </c>
      <c r="AM6" s="79" t="s">
        <v>75</v>
      </c>
      <c r="AN6" s="79" t="s">
        <v>75</v>
      </c>
      <c r="AO6" s="79" t="s">
        <v>75</v>
      </c>
      <c r="AP6" s="79" t="s">
        <v>75</v>
      </c>
      <c r="AQ6" s="79" t="s">
        <v>75</v>
      </c>
      <c r="AR6" s="79" t="s">
        <v>75</v>
      </c>
      <c r="AS6" s="79" t="s">
        <v>75</v>
      </c>
      <c r="AT6" s="79" t="s">
        <v>75</v>
      </c>
      <c r="AU6" s="79" t="s">
        <v>75</v>
      </c>
      <c r="AV6" s="79" t="s">
        <v>75</v>
      </c>
      <c r="AW6" s="79" t="s">
        <v>75</v>
      </c>
      <c r="AX6" s="79" t="s">
        <v>75</v>
      </c>
      <c r="AY6" s="79" t="s">
        <v>75</v>
      </c>
      <c r="AZ6" s="79" t="s">
        <v>75</v>
      </c>
      <c r="BA6" s="79" t="s">
        <v>75</v>
      </c>
      <c r="BB6" s="79" t="s">
        <v>75</v>
      </c>
      <c r="BC6" s="81" t="s">
        <v>75</v>
      </c>
    </row>
    <row r="7" spans="2:55" s="5" customFormat="1" ht="12.75" customHeight="1" x14ac:dyDescent="0.2">
      <c r="B7" s="165">
        <v>15566</v>
      </c>
      <c r="C7" s="116" t="s">
        <v>167</v>
      </c>
      <c r="D7" s="109" t="s">
        <v>182</v>
      </c>
      <c r="E7" s="11" t="s">
        <v>183</v>
      </c>
      <c r="F7" s="72">
        <v>1.375</v>
      </c>
      <c r="G7" s="110" t="s">
        <v>75</v>
      </c>
      <c r="H7" s="110" t="s">
        <v>75</v>
      </c>
      <c r="I7" s="110" t="s">
        <v>75</v>
      </c>
      <c r="J7" s="110" t="s">
        <v>75</v>
      </c>
      <c r="K7" s="72">
        <v>0.63</v>
      </c>
      <c r="L7" s="72">
        <v>0.42399999999999999</v>
      </c>
      <c r="M7" s="72">
        <v>0.40100000000000002</v>
      </c>
      <c r="N7" s="72">
        <v>0.108</v>
      </c>
      <c r="O7" s="72">
        <v>0.77500000000000002</v>
      </c>
      <c r="P7" s="72">
        <f>N:N+O:O</f>
        <v>0.88300000000000001</v>
      </c>
      <c r="Q7" s="82">
        <f t="shared" si="0"/>
        <v>1.4015873015873015</v>
      </c>
      <c r="R7" s="82">
        <f t="shared" si="1"/>
        <v>0.63650793650793658</v>
      </c>
      <c r="S7" s="82">
        <f t="shared" si="2"/>
        <v>0.67301587301587296</v>
      </c>
      <c r="T7" s="82">
        <f t="shared" si="3"/>
        <v>7.1759259259259265</v>
      </c>
      <c r="U7" s="110" t="s">
        <v>75</v>
      </c>
      <c r="V7" s="110" t="s">
        <v>75</v>
      </c>
      <c r="W7" s="110" t="s">
        <v>75</v>
      </c>
      <c r="X7" s="110" t="s">
        <v>75</v>
      </c>
      <c r="Y7" s="110" t="s">
        <v>75</v>
      </c>
      <c r="Z7" s="110" t="s">
        <v>75</v>
      </c>
      <c r="AA7" s="110" t="s">
        <v>75</v>
      </c>
      <c r="AB7" s="110" t="s">
        <v>75</v>
      </c>
      <c r="AC7" s="110" t="s">
        <v>75</v>
      </c>
      <c r="AD7" s="110" t="s">
        <v>75</v>
      </c>
      <c r="AE7" s="110" t="s">
        <v>75</v>
      </c>
      <c r="AF7" s="110" t="s">
        <v>75</v>
      </c>
      <c r="AG7" s="110" t="s">
        <v>75</v>
      </c>
      <c r="AH7" s="110" t="s">
        <v>75</v>
      </c>
      <c r="AI7" s="72">
        <v>7.5999999999999998E-2</v>
      </c>
      <c r="AJ7" s="110" t="s">
        <v>75</v>
      </c>
      <c r="AK7" s="110" t="s">
        <v>75</v>
      </c>
      <c r="AL7" s="110" t="s">
        <v>75</v>
      </c>
      <c r="AM7" s="72">
        <f>AI7/N7</f>
        <v>0.70370370370370372</v>
      </c>
      <c r="AN7" s="72">
        <f t="shared" ref="AN7:AN28" si="6">AI7/K7</f>
        <v>0.12063492063492064</v>
      </c>
      <c r="AO7" s="110" t="s">
        <v>75</v>
      </c>
      <c r="AP7" s="110" t="s">
        <v>75</v>
      </c>
      <c r="AQ7" s="110" t="s">
        <v>75</v>
      </c>
      <c r="AR7" s="110" t="s">
        <v>75</v>
      </c>
      <c r="AS7" s="110" t="s">
        <v>75</v>
      </c>
      <c r="AT7" s="110" t="s">
        <v>75</v>
      </c>
      <c r="AU7" s="110" t="s">
        <v>75</v>
      </c>
      <c r="AV7" s="110" t="s">
        <v>75</v>
      </c>
      <c r="AW7" s="110" t="s">
        <v>75</v>
      </c>
      <c r="AX7" s="110" t="s">
        <v>75</v>
      </c>
      <c r="AY7" s="110" t="s">
        <v>75</v>
      </c>
      <c r="AZ7" s="110" t="s">
        <v>75</v>
      </c>
      <c r="BA7" s="110" t="s">
        <v>75</v>
      </c>
      <c r="BB7" s="110" t="s">
        <v>75</v>
      </c>
      <c r="BC7" s="111" t="s">
        <v>75</v>
      </c>
    </row>
    <row r="8" spans="2:55" s="5" customFormat="1" ht="12.75" customHeight="1" x14ac:dyDescent="0.2">
      <c r="B8" s="69"/>
      <c r="C8" s="109"/>
      <c r="D8" s="109"/>
      <c r="E8" s="162"/>
      <c r="F8" s="72">
        <v>1.375</v>
      </c>
      <c r="G8" s="110" t="s">
        <v>75</v>
      </c>
      <c r="H8" s="110" t="s">
        <v>75</v>
      </c>
      <c r="I8" s="110" t="s">
        <v>75</v>
      </c>
      <c r="J8" s="110" t="s">
        <v>75</v>
      </c>
      <c r="K8" s="110" t="s">
        <v>75</v>
      </c>
      <c r="L8" s="110" t="s">
        <v>75</v>
      </c>
      <c r="M8" s="110" t="s">
        <v>75</v>
      </c>
      <c r="N8" s="110" t="s">
        <v>75</v>
      </c>
      <c r="O8" s="72">
        <v>0.77300000000000002</v>
      </c>
      <c r="P8" s="110" t="s">
        <v>75</v>
      </c>
      <c r="Q8" s="110" t="s">
        <v>75</v>
      </c>
      <c r="R8" s="110" t="s">
        <v>75</v>
      </c>
      <c r="S8" s="110" t="s">
        <v>75</v>
      </c>
      <c r="T8" s="110" t="s">
        <v>75</v>
      </c>
      <c r="U8" s="110" t="s">
        <v>75</v>
      </c>
      <c r="V8" s="110" t="s">
        <v>75</v>
      </c>
      <c r="W8" s="110" t="s">
        <v>75</v>
      </c>
      <c r="X8" s="110" t="s">
        <v>75</v>
      </c>
      <c r="Y8" s="110" t="s">
        <v>75</v>
      </c>
      <c r="Z8" s="110" t="s">
        <v>75</v>
      </c>
      <c r="AA8" s="110" t="s">
        <v>75</v>
      </c>
      <c r="AB8" s="110" t="s">
        <v>75</v>
      </c>
      <c r="AC8" s="110" t="s">
        <v>75</v>
      </c>
      <c r="AD8" s="110" t="s">
        <v>75</v>
      </c>
      <c r="AE8" s="110" t="s">
        <v>75</v>
      </c>
      <c r="AF8" s="110" t="s">
        <v>75</v>
      </c>
      <c r="AG8" s="110" t="s">
        <v>75</v>
      </c>
      <c r="AH8" s="110" t="s">
        <v>75</v>
      </c>
      <c r="AI8" s="72">
        <v>7.5999999999999998E-2</v>
      </c>
      <c r="AJ8" s="110" t="s">
        <v>75</v>
      </c>
      <c r="AK8" s="110" t="s">
        <v>75</v>
      </c>
      <c r="AL8" s="110" t="s">
        <v>75</v>
      </c>
      <c r="AM8" s="110" t="s">
        <v>75</v>
      </c>
      <c r="AN8" s="110" t="s">
        <v>75</v>
      </c>
      <c r="AO8" s="110" t="s">
        <v>75</v>
      </c>
      <c r="AP8" s="110" t="s">
        <v>75</v>
      </c>
      <c r="AQ8" s="110" t="s">
        <v>75</v>
      </c>
      <c r="AR8" s="110" t="s">
        <v>75</v>
      </c>
      <c r="AS8" s="110" t="s">
        <v>75</v>
      </c>
      <c r="AT8" s="110" t="s">
        <v>75</v>
      </c>
      <c r="AU8" s="110" t="s">
        <v>75</v>
      </c>
      <c r="AV8" s="110" t="s">
        <v>75</v>
      </c>
      <c r="AW8" s="110" t="s">
        <v>75</v>
      </c>
      <c r="AX8" s="110" t="s">
        <v>75</v>
      </c>
      <c r="AY8" s="110" t="s">
        <v>75</v>
      </c>
      <c r="AZ8" s="110" t="s">
        <v>75</v>
      </c>
      <c r="BA8" s="110" t="s">
        <v>75</v>
      </c>
      <c r="BB8" s="110" t="s">
        <v>75</v>
      </c>
      <c r="BC8" s="111" t="s">
        <v>75</v>
      </c>
    </row>
    <row r="9" spans="2:55" s="5" customFormat="1" ht="12.75" customHeight="1" x14ac:dyDescent="0.2">
      <c r="B9" s="86">
        <v>21096</v>
      </c>
      <c r="C9" s="112" t="s">
        <v>167</v>
      </c>
      <c r="D9" s="113" t="s">
        <v>160</v>
      </c>
      <c r="E9" s="17" t="s">
        <v>184</v>
      </c>
      <c r="F9" s="78">
        <f>1.309+0.36</f>
        <v>1.669</v>
      </c>
      <c r="G9" s="80">
        <f>I9+J9+K9+L9+M9+N9+O9</f>
        <v>2.1760000000000002</v>
      </c>
      <c r="H9" s="80">
        <f>G9/F9</f>
        <v>1.3037747153984423</v>
      </c>
      <c r="I9" s="78">
        <v>7.0000000000000007E-2</v>
      </c>
      <c r="J9" s="78">
        <v>4.8000000000000001E-2</v>
      </c>
      <c r="K9" s="78">
        <v>0.66</v>
      </c>
      <c r="L9" s="78">
        <v>0.36</v>
      </c>
      <c r="M9" s="78">
        <v>0.33</v>
      </c>
      <c r="N9" s="78">
        <v>7.8E-2</v>
      </c>
      <c r="O9" s="78">
        <v>0.63</v>
      </c>
      <c r="P9" s="78">
        <f>N:N+O:O</f>
        <v>0.70799999999999996</v>
      </c>
      <c r="Q9" s="80">
        <f t="shared" si="0"/>
        <v>1.0727272727272725</v>
      </c>
      <c r="R9" s="80">
        <f t="shared" si="1"/>
        <v>0.5</v>
      </c>
      <c r="S9" s="80">
        <f t="shared" si="2"/>
        <v>0.54545454545454541</v>
      </c>
      <c r="T9" s="80">
        <f t="shared" si="3"/>
        <v>8.0769230769230766</v>
      </c>
      <c r="U9" s="78">
        <v>0.21</v>
      </c>
      <c r="V9" s="78">
        <f t="shared" ref="V9:V28" si="7">G9/U9</f>
        <v>10.361904761904762</v>
      </c>
      <c r="W9" s="78">
        <v>0.43</v>
      </c>
      <c r="X9" s="78">
        <v>0.13</v>
      </c>
      <c r="Y9" s="78">
        <f t="shared" si="5"/>
        <v>3.3076923076923075</v>
      </c>
      <c r="Z9" s="78">
        <v>0.3</v>
      </c>
      <c r="AA9" s="78">
        <v>0.36</v>
      </c>
      <c r="AB9" s="78">
        <f>AA9/F9</f>
        <v>0.21569802276812461</v>
      </c>
      <c r="AC9" s="78">
        <v>0.82</v>
      </c>
      <c r="AD9" s="78">
        <f>AC9/F9</f>
        <v>0.49131216297183938</v>
      </c>
      <c r="AE9" s="78">
        <v>7.1999999999999995E-2</v>
      </c>
      <c r="AF9" s="78">
        <f t="shared" ref="AF9:AF28" si="8">AE9/K9</f>
        <v>0.10909090909090907</v>
      </c>
      <c r="AG9" s="78">
        <f t="shared" ref="AG9:AG28" si="9">AE9/P9</f>
        <v>0.10169491525423728</v>
      </c>
      <c r="AH9" s="78">
        <f>AE9/N9</f>
        <v>0.92307692307692302</v>
      </c>
      <c r="AI9" s="78">
        <v>7.4999999999999997E-2</v>
      </c>
      <c r="AJ9" s="78">
        <v>5.3999999999999999E-2</v>
      </c>
      <c r="AK9" s="78">
        <f t="shared" ref="AK9:AK28" si="10">AI9/AJ9</f>
        <v>1.3888888888888888</v>
      </c>
      <c r="AL9" s="78">
        <f>AI9/AE9</f>
        <v>1.0416666666666667</v>
      </c>
      <c r="AM9" s="78">
        <f>AI9/N9</f>
        <v>0.96153846153846145</v>
      </c>
      <c r="AN9" s="78">
        <f t="shared" si="6"/>
        <v>0.11363636363636363</v>
      </c>
      <c r="AO9" s="78">
        <f t="shared" ref="AO9:AO28" si="11">AI9/AP9</f>
        <v>0.5357142857142857</v>
      </c>
      <c r="AP9" s="78">
        <v>0.14000000000000001</v>
      </c>
      <c r="AQ9" s="78">
        <v>7.2999999999999995E-2</v>
      </c>
      <c r="AR9" s="78">
        <f t="shared" si="4"/>
        <v>8.3882564409826249E-2</v>
      </c>
      <c r="AS9" s="78">
        <f t="shared" ref="AS9:AS28" si="12">AP9/AQ9</f>
        <v>1.9178082191780825</v>
      </c>
      <c r="AT9" s="78">
        <f>AP9/K9</f>
        <v>0.21212121212121213</v>
      </c>
      <c r="AU9" s="78">
        <v>0.12</v>
      </c>
      <c r="AV9" s="79" t="s">
        <v>75</v>
      </c>
      <c r="AW9" s="79" t="s">
        <v>75</v>
      </c>
      <c r="AX9" s="80">
        <f t="shared" ref="AX9:AX28" si="13">AP9/AU9</f>
        <v>1.1666666666666667</v>
      </c>
      <c r="AY9" s="137">
        <v>5</v>
      </c>
      <c r="AZ9" s="137">
        <v>5</v>
      </c>
      <c r="BA9" s="137">
        <v>7</v>
      </c>
      <c r="BB9" s="137">
        <v>6</v>
      </c>
      <c r="BC9" s="145">
        <v>8</v>
      </c>
    </row>
    <row r="10" spans="2:55" s="5" customFormat="1" ht="12.75" customHeight="1" x14ac:dyDescent="0.2">
      <c r="B10" s="75"/>
      <c r="C10" s="113"/>
      <c r="D10" s="113"/>
      <c r="E10" s="17"/>
      <c r="F10" s="78">
        <f>1.309+0.36</f>
        <v>1.669</v>
      </c>
      <c r="G10" s="79" t="s">
        <v>75</v>
      </c>
      <c r="H10" s="79" t="s">
        <v>75</v>
      </c>
      <c r="I10" s="79" t="s">
        <v>75</v>
      </c>
      <c r="J10" s="79" t="s">
        <v>75</v>
      </c>
      <c r="K10" s="79" t="s">
        <v>75</v>
      </c>
      <c r="L10" s="79" t="s">
        <v>75</v>
      </c>
      <c r="M10" s="79" t="s">
        <v>75</v>
      </c>
      <c r="N10" s="79" t="s">
        <v>75</v>
      </c>
      <c r="O10" s="79" t="s">
        <v>75</v>
      </c>
      <c r="P10" s="79" t="s">
        <v>75</v>
      </c>
      <c r="Q10" s="79" t="s">
        <v>75</v>
      </c>
      <c r="R10" s="79" t="s">
        <v>75</v>
      </c>
      <c r="S10" s="79" t="s">
        <v>75</v>
      </c>
      <c r="T10" s="79" t="s">
        <v>75</v>
      </c>
      <c r="U10" s="78">
        <v>0.21</v>
      </c>
      <c r="V10" s="79" t="s">
        <v>75</v>
      </c>
      <c r="W10" s="78">
        <v>0.4</v>
      </c>
      <c r="X10" s="78">
        <v>0.13</v>
      </c>
      <c r="Y10" s="78">
        <f t="shared" si="5"/>
        <v>3.0769230769230771</v>
      </c>
      <c r="Z10" s="78">
        <v>0.28999999999999998</v>
      </c>
      <c r="AA10" s="78">
        <v>0.39</v>
      </c>
      <c r="AB10" s="78">
        <f>AA10/F10</f>
        <v>0.23367285799880169</v>
      </c>
      <c r="AC10" s="78">
        <v>0.8</v>
      </c>
      <c r="AD10" s="78">
        <f>AC10/F10</f>
        <v>0.47932893948472138</v>
      </c>
      <c r="AE10" s="78">
        <v>8.7999999999999995E-2</v>
      </c>
      <c r="AF10" s="79" t="s">
        <v>75</v>
      </c>
      <c r="AG10" s="79" t="s">
        <v>75</v>
      </c>
      <c r="AH10" s="79" t="s">
        <v>75</v>
      </c>
      <c r="AI10" s="78">
        <v>7.4999999999999997E-2</v>
      </c>
      <c r="AJ10" s="78">
        <v>5.3999999999999999E-2</v>
      </c>
      <c r="AK10" s="78">
        <f t="shared" si="10"/>
        <v>1.3888888888888888</v>
      </c>
      <c r="AL10" s="78">
        <f>AI10/AE10</f>
        <v>0.85227272727272729</v>
      </c>
      <c r="AM10" s="79" t="s">
        <v>75</v>
      </c>
      <c r="AN10" s="79" t="s">
        <v>75</v>
      </c>
      <c r="AO10" s="78">
        <f t="shared" si="11"/>
        <v>0.48701298701298701</v>
      </c>
      <c r="AP10" s="78">
        <v>0.154</v>
      </c>
      <c r="AQ10" s="78">
        <v>6.6000000000000003E-2</v>
      </c>
      <c r="AR10" s="78">
        <f t="shared" si="4"/>
        <v>9.2270820850808857E-2</v>
      </c>
      <c r="AS10" s="78">
        <f t="shared" si="12"/>
        <v>2.333333333333333</v>
      </c>
      <c r="AT10" s="78"/>
      <c r="AU10" s="78">
        <v>0.12</v>
      </c>
      <c r="AV10" s="79" t="s">
        <v>75</v>
      </c>
      <c r="AW10" s="79" t="s">
        <v>75</v>
      </c>
      <c r="AX10" s="80">
        <f t="shared" si="13"/>
        <v>1.2833333333333334</v>
      </c>
      <c r="AY10" s="79" t="s">
        <v>75</v>
      </c>
      <c r="AZ10" s="137">
        <v>6</v>
      </c>
      <c r="BA10" s="79" t="s">
        <v>75</v>
      </c>
      <c r="BB10" s="79" t="s">
        <v>75</v>
      </c>
      <c r="BC10" s="81" t="s">
        <v>75</v>
      </c>
    </row>
    <row r="11" spans="2:55" s="5" customFormat="1" ht="12.75" customHeight="1" x14ac:dyDescent="0.2">
      <c r="B11" s="83">
        <v>21801</v>
      </c>
      <c r="C11" s="116" t="s">
        <v>167</v>
      </c>
      <c r="D11" s="109" t="s">
        <v>161</v>
      </c>
      <c r="E11" s="11" t="s">
        <v>201</v>
      </c>
      <c r="F11" s="72">
        <f>1.56+0.11</f>
        <v>1.6700000000000002</v>
      </c>
      <c r="G11" s="82">
        <f t="shared" ref="G11:G18" si="14">I11+J11+K11+L11+M11+N11+O11</f>
        <v>2.13</v>
      </c>
      <c r="H11" s="82">
        <f t="shared" ref="H11:H18" si="15">G11/F11</f>
        <v>1.2754491017964069</v>
      </c>
      <c r="I11" s="72">
        <v>8.1000000000000003E-2</v>
      </c>
      <c r="J11" s="72">
        <v>5.1999999999999998E-2</v>
      </c>
      <c r="K11" s="72">
        <v>0.66</v>
      </c>
      <c r="L11" s="72">
        <v>0.42</v>
      </c>
      <c r="M11" s="72">
        <v>0.38</v>
      </c>
      <c r="N11" s="72">
        <v>9.7000000000000003E-2</v>
      </c>
      <c r="O11" s="72">
        <v>0.44</v>
      </c>
      <c r="P11" s="72">
        <f>N:N+O:O</f>
        <v>0.53700000000000003</v>
      </c>
      <c r="Q11" s="82">
        <f t="shared" si="0"/>
        <v>0.8136363636363636</v>
      </c>
      <c r="R11" s="82">
        <f t="shared" si="1"/>
        <v>0.57575757575757569</v>
      </c>
      <c r="S11" s="82">
        <f t="shared" si="2"/>
        <v>0.63636363636363635</v>
      </c>
      <c r="T11" s="82">
        <f t="shared" si="3"/>
        <v>4.536082474226804</v>
      </c>
      <c r="U11" s="72">
        <v>0.26</v>
      </c>
      <c r="V11" s="72">
        <f t="shared" si="7"/>
        <v>8.1923076923076916</v>
      </c>
      <c r="W11" s="72">
        <v>0.46</v>
      </c>
      <c r="X11" s="72">
        <v>0.12</v>
      </c>
      <c r="Y11" s="72">
        <f t="shared" si="5"/>
        <v>3.8333333333333335</v>
      </c>
      <c r="Z11" s="72">
        <v>0.28000000000000003</v>
      </c>
      <c r="AA11" s="72">
        <v>0.39</v>
      </c>
      <c r="AB11" s="72">
        <f>AA11/F11</f>
        <v>0.23353293413173651</v>
      </c>
      <c r="AC11" s="72">
        <v>0.85</v>
      </c>
      <c r="AD11" s="72">
        <f>AC11/F11</f>
        <v>0.50898203592814362</v>
      </c>
      <c r="AE11" s="72">
        <v>9.1999999999999998E-2</v>
      </c>
      <c r="AF11" s="72">
        <f t="shared" si="8"/>
        <v>0.13939393939393938</v>
      </c>
      <c r="AG11" s="72">
        <f t="shared" si="9"/>
        <v>0.17132216014897578</v>
      </c>
      <c r="AH11" s="72">
        <f>AE11/N11</f>
        <v>0.94845360824742264</v>
      </c>
      <c r="AI11" s="72">
        <v>7.2999999999999995E-2</v>
      </c>
      <c r="AJ11" s="72">
        <v>5.8000000000000003E-2</v>
      </c>
      <c r="AK11" s="72">
        <f t="shared" si="10"/>
        <v>1.2586206896551724</v>
      </c>
      <c r="AL11" s="72">
        <f>AI11/AE11</f>
        <v>0.79347826086956519</v>
      </c>
      <c r="AM11" s="72">
        <f t="shared" ref="AM11:AM23" si="16">AI11/N11</f>
        <v>0.75257731958762875</v>
      </c>
      <c r="AN11" s="72">
        <f t="shared" si="6"/>
        <v>0.1106060606060606</v>
      </c>
      <c r="AO11" s="72">
        <f t="shared" si="11"/>
        <v>0.42941176470588227</v>
      </c>
      <c r="AP11" s="72">
        <v>0.17</v>
      </c>
      <c r="AQ11" s="72">
        <v>3.4000000000000002E-2</v>
      </c>
      <c r="AR11" s="72">
        <f t="shared" si="4"/>
        <v>0.10179640718562874</v>
      </c>
      <c r="AS11" s="72">
        <f t="shared" si="12"/>
        <v>5</v>
      </c>
      <c r="AT11" s="72">
        <f t="shared" ref="AT11:AT28" si="17">AP11/K11</f>
        <v>0.25757575757575757</v>
      </c>
      <c r="AU11" s="72">
        <v>0.12</v>
      </c>
      <c r="AV11" s="72">
        <v>9.7000000000000003E-2</v>
      </c>
      <c r="AW11" s="72">
        <f>AU11/AV11</f>
        <v>1.2371134020618555</v>
      </c>
      <c r="AX11" s="82">
        <f t="shared" si="13"/>
        <v>1.4166666666666667</v>
      </c>
      <c r="AY11" s="136">
        <v>5</v>
      </c>
      <c r="AZ11" s="136">
        <v>8</v>
      </c>
      <c r="BA11" s="136">
        <v>6</v>
      </c>
      <c r="BB11" s="136">
        <v>7</v>
      </c>
      <c r="BC11" s="143">
        <v>7</v>
      </c>
    </row>
    <row r="12" spans="2:55" s="5" customFormat="1" ht="12.75" customHeight="1" x14ac:dyDescent="0.2">
      <c r="B12" s="69"/>
      <c r="C12" s="109"/>
      <c r="D12" s="109"/>
      <c r="E12" s="11"/>
      <c r="F12" s="72">
        <f>1.56+0.11</f>
        <v>1.6700000000000002</v>
      </c>
      <c r="G12" s="82">
        <f t="shared" si="14"/>
        <v>2.327</v>
      </c>
      <c r="H12" s="82">
        <f t="shared" si="15"/>
        <v>1.3934131736526945</v>
      </c>
      <c r="I12" s="72">
        <v>8.3000000000000004E-2</v>
      </c>
      <c r="J12" s="72">
        <v>4.5999999999999999E-2</v>
      </c>
      <c r="K12" s="72">
        <v>0.63</v>
      </c>
      <c r="L12" s="72">
        <v>0.4</v>
      </c>
      <c r="M12" s="72">
        <v>0.38</v>
      </c>
      <c r="N12" s="72">
        <v>8.7999999999999995E-2</v>
      </c>
      <c r="O12" s="72">
        <v>0.7</v>
      </c>
      <c r="P12" s="72">
        <f>N:N+O:O</f>
        <v>0.78799999999999992</v>
      </c>
      <c r="Q12" s="82">
        <f t="shared" si="0"/>
        <v>1.2507936507936506</v>
      </c>
      <c r="R12" s="82">
        <f t="shared" si="1"/>
        <v>0.60317460317460314</v>
      </c>
      <c r="S12" s="82">
        <f t="shared" si="2"/>
        <v>0.634920634920635</v>
      </c>
      <c r="T12" s="82">
        <f t="shared" si="3"/>
        <v>7.9545454545454541</v>
      </c>
      <c r="U12" s="72">
        <v>0.26</v>
      </c>
      <c r="V12" s="72">
        <f t="shared" si="7"/>
        <v>8.9499999999999993</v>
      </c>
      <c r="W12" s="72">
        <v>0.44</v>
      </c>
      <c r="X12" s="72">
        <v>0.12</v>
      </c>
      <c r="Y12" s="72">
        <f t="shared" si="5"/>
        <v>3.666666666666667</v>
      </c>
      <c r="Z12" s="72">
        <v>0.28999999999999998</v>
      </c>
      <c r="AA12" s="72">
        <v>0.4</v>
      </c>
      <c r="AB12" s="72">
        <f>AA12/F12</f>
        <v>0.23952095808383234</v>
      </c>
      <c r="AC12" s="72">
        <v>0.84</v>
      </c>
      <c r="AD12" s="72">
        <f>AC12/F12</f>
        <v>0.50299401197604787</v>
      </c>
      <c r="AE12" s="72">
        <v>8.7999999999999995E-2</v>
      </c>
      <c r="AF12" s="72">
        <f t="shared" si="8"/>
        <v>0.13968253968253969</v>
      </c>
      <c r="AG12" s="72">
        <f t="shared" si="9"/>
        <v>0.1116751269035533</v>
      </c>
      <c r="AH12" s="72">
        <f>AE12/N12</f>
        <v>1</v>
      </c>
      <c r="AI12" s="72">
        <v>7.2999999999999995E-2</v>
      </c>
      <c r="AJ12" s="72">
        <v>5.8000000000000003E-2</v>
      </c>
      <c r="AK12" s="72">
        <f t="shared" si="10"/>
        <v>1.2586206896551724</v>
      </c>
      <c r="AL12" s="72">
        <f>AI12/AE12</f>
        <v>0.82954545454545459</v>
      </c>
      <c r="AM12" s="72">
        <f t="shared" si="16"/>
        <v>0.82954545454545459</v>
      </c>
      <c r="AN12" s="72">
        <f t="shared" si="6"/>
        <v>0.11587301587301586</v>
      </c>
      <c r="AO12" s="72">
        <f t="shared" si="11"/>
        <v>0.41714285714285715</v>
      </c>
      <c r="AP12" s="72">
        <v>0.17499999999999999</v>
      </c>
      <c r="AQ12" s="72">
        <v>6.8000000000000005E-2</v>
      </c>
      <c r="AR12" s="72">
        <f t="shared" si="4"/>
        <v>0.10479041916167663</v>
      </c>
      <c r="AS12" s="72">
        <f t="shared" si="12"/>
        <v>2.5735294117647056</v>
      </c>
      <c r="AT12" s="72">
        <f t="shared" si="17"/>
        <v>0.27777777777777773</v>
      </c>
      <c r="AU12" s="72">
        <v>0.12</v>
      </c>
      <c r="AV12" s="72">
        <v>9.7000000000000003E-2</v>
      </c>
      <c r="AW12" s="72">
        <f>AU12/AV12</f>
        <v>1.2371134020618555</v>
      </c>
      <c r="AX12" s="82">
        <f t="shared" si="13"/>
        <v>1.4583333333333333</v>
      </c>
      <c r="AY12" s="110" t="s">
        <v>75</v>
      </c>
      <c r="AZ12" s="136">
        <v>5</v>
      </c>
      <c r="BA12" s="110" t="s">
        <v>75</v>
      </c>
      <c r="BB12" s="110" t="s">
        <v>75</v>
      </c>
      <c r="BC12" s="111" t="s">
        <v>75</v>
      </c>
    </row>
    <row r="13" spans="2:55" s="5" customFormat="1" ht="12.75" customHeight="1" x14ac:dyDescent="0.2">
      <c r="B13" s="86">
        <v>26810</v>
      </c>
      <c r="C13" s="112" t="s">
        <v>167</v>
      </c>
      <c r="D13" s="113">
        <v>25146</v>
      </c>
      <c r="E13" s="17" t="s">
        <v>186</v>
      </c>
      <c r="F13" s="78">
        <f>0.96+1.162</f>
        <v>2.1219999999999999</v>
      </c>
      <c r="G13" s="79" t="s">
        <v>75</v>
      </c>
      <c r="H13" s="79" t="s">
        <v>75</v>
      </c>
      <c r="I13" s="78">
        <v>9.2999999999999999E-2</v>
      </c>
      <c r="J13" s="78">
        <v>5.1999999999999998E-2</v>
      </c>
      <c r="K13" s="78">
        <v>0.77400000000000002</v>
      </c>
      <c r="L13" s="78">
        <v>0.50700000000000001</v>
      </c>
      <c r="M13" s="78">
        <v>0.49199999999999999</v>
      </c>
      <c r="N13" s="78">
        <v>0.14099999999999999</v>
      </c>
      <c r="O13" s="79" t="s">
        <v>75</v>
      </c>
      <c r="P13" s="79" t="s">
        <v>75</v>
      </c>
      <c r="Q13" s="79" t="s">
        <v>75</v>
      </c>
      <c r="R13" s="80">
        <f t="shared" si="1"/>
        <v>0.63565891472868219</v>
      </c>
      <c r="S13" s="80">
        <f t="shared" si="2"/>
        <v>0.65503875968992242</v>
      </c>
      <c r="T13" s="79" t="s">
        <v>75</v>
      </c>
      <c r="U13" s="78">
        <v>0.30399999999999999</v>
      </c>
      <c r="V13" s="79" t="s">
        <v>75</v>
      </c>
      <c r="W13" s="78">
        <v>0.53600000000000003</v>
      </c>
      <c r="X13" s="78">
        <v>0.112</v>
      </c>
      <c r="Y13" s="78">
        <f t="shared" si="5"/>
        <v>4.7857142857142856</v>
      </c>
      <c r="Z13" s="78">
        <v>0.38</v>
      </c>
      <c r="AA13" s="78">
        <v>0.52600000000000002</v>
      </c>
      <c r="AB13" s="78">
        <f>AA13/F13</f>
        <v>0.24787935909519324</v>
      </c>
      <c r="AC13" s="78">
        <v>1.0680000000000001</v>
      </c>
      <c r="AD13" s="78">
        <f>AC13/F13</f>
        <v>0.50329877474081064</v>
      </c>
      <c r="AE13" s="78">
        <v>0.115</v>
      </c>
      <c r="AF13" s="78">
        <f t="shared" si="8"/>
        <v>0.14857881136950904</v>
      </c>
      <c r="AG13" s="79" t="s">
        <v>75</v>
      </c>
      <c r="AH13" s="78">
        <f>AE13/N13</f>
        <v>0.81560283687943269</v>
      </c>
      <c r="AI13" s="78">
        <v>0.08</v>
      </c>
      <c r="AJ13" s="78">
        <v>5.3999999999999999E-2</v>
      </c>
      <c r="AK13" s="78">
        <f t="shared" si="10"/>
        <v>1.4814814814814816</v>
      </c>
      <c r="AL13" s="78">
        <f>AI13/AE13</f>
        <v>0.69565217391304346</v>
      </c>
      <c r="AM13" s="78">
        <f t="shared" si="16"/>
        <v>0.56737588652482274</v>
      </c>
      <c r="AN13" s="78">
        <f t="shared" si="6"/>
        <v>0.10335917312661498</v>
      </c>
      <c r="AO13" s="78">
        <f t="shared" si="11"/>
        <v>0.33195020746887971</v>
      </c>
      <c r="AP13" s="78">
        <v>0.24099999999999999</v>
      </c>
      <c r="AQ13" s="78">
        <v>7.2999999999999995E-2</v>
      </c>
      <c r="AR13" s="78">
        <f t="shared" si="4"/>
        <v>0.11357210179076344</v>
      </c>
      <c r="AS13" s="78">
        <f t="shared" si="12"/>
        <v>3.3013698630136989</v>
      </c>
      <c r="AT13" s="78">
        <f t="shared" si="17"/>
        <v>0.31136950904392763</v>
      </c>
      <c r="AU13" s="78">
        <v>9.1999999999999998E-2</v>
      </c>
      <c r="AV13" s="78">
        <v>0.113</v>
      </c>
      <c r="AW13" s="78">
        <f t="shared" ref="AW13:AW27" si="18">AU13/AV13</f>
        <v>0.81415929203539816</v>
      </c>
      <c r="AX13" s="80">
        <f t="shared" si="13"/>
        <v>2.6195652173913042</v>
      </c>
      <c r="AY13" s="137">
        <v>4</v>
      </c>
      <c r="AZ13" s="137">
        <v>10</v>
      </c>
      <c r="BA13" s="137">
        <v>6</v>
      </c>
      <c r="BB13" s="137">
        <v>7</v>
      </c>
      <c r="BC13" s="145">
        <v>7</v>
      </c>
    </row>
    <row r="14" spans="2:55" s="5" customFormat="1" ht="12.75" customHeight="1" x14ac:dyDescent="0.2">
      <c r="B14" s="75"/>
      <c r="C14" s="113"/>
      <c r="D14" s="113"/>
      <c r="E14" s="17"/>
      <c r="F14" s="78">
        <f>0.96+1.162</f>
        <v>2.1219999999999999</v>
      </c>
      <c r="G14" s="80">
        <f t="shared" si="14"/>
        <v>2.7170000000000001</v>
      </c>
      <c r="H14" s="80">
        <f t="shared" si="15"/>
        <v>1.2803958529688975</v>
      </c>
      <c r="I14" s="78">
        <v>9.5000000000000001E-2</v>
      </c>
      <c r="J14" s="78">
        <v>5.1999999999999998E-2</v>
      </c>
      <c r="K14" s="78">
        <v>0.755</v>
      </c>
      <c r="L14" s="78">
        <v>0.47699999999999998</v>
      </c>
      <c r="M14" s="78">
        <v>0.45300000000000001</v>
      </c>
      <c r="N14" s="78">
        <v>0.122</v>
      </c>
      <c r="O14" s="78">
        <v>0.76300000000000001</v>
      </c>
      <c r="P14" s="78">
        <f>N:N+O:O</f>
        <v>0.88500000000000001</v>
      </c>
      <c r="Q14" s="80">
        <f t="shared" si="0"/>
        <v>1.1721854304635762</v>
      </c>
      <c r="R14" s="80">
        <f t="shared" si="1"/>
        <v>0.6</v>
      </c>
      <c r="S14" s="80">
        <f t="shared" si="2"/>
        <v>0.63178807947019866</v>
      </c>
      <c r="T14" s="80">
        <f t="shared" si="3"/>
        <v>6.2540983606557381</v>
      </c>
      <c r="U14" s="78">
        <v>0.30399999999999999</v>
      </c>
      <c r="V14" s="78">
        <f t="shared" si="7"/>
        <v>8.9375</v>
      </c>
      <c r="W14" s="79" t="s">
        <v>75</v>
      </c>
      <c r="X14" s="79" t="s">
        <v>75</v>
      </c>
      <c r="Y14" s="79" t="s">
        <v>75</v>
      </c>
      <c r="Z14" s="79" t="s">
        <v>75</v>
      </c>
      <c r="AA14" s="79" t="s">
        <v>75</v>
      </c>
      <c r="AB14" s="79" t="s">
        <v>75</v>
      </c>
      <c r="AC14" s="79" t="s">
        <v>75</v>
      </c>
      <c r="AD14" s="79" t="s">
        <v>75</v>
      </c>
      <c r="AE14" s="79" t="s">
        <v>75</v>
      </c>
      <c r="AF14" s="79" t="s">
        <v>75</v>
      </c>
      <c r="AG14" s="79" t="s">
        <v>75</v>
      </c>
      <c r="AH14" s="79" t="s">
        <v>75</v>
      </c>
      <c r="AI14" s="78">
        <v>0.08</v>
      </c>
      <c r="AJ14" s="78">
        <v>5.3999999999999999E-2</v>
      </c>
      <c r="AK14" s="78">
        <f t="shared" si="10"/>
        <v>1.4814814814814816</v>
      </c>
      <c r="AL14" s="79" t="s">
        <v>75</v>
      </c>
      <c r="AM14" s="78">
        <f t="shared" si="16"/>
        <v>0.65573770491803285</v>
      </c>
      <c r="AN14" s="78">
        <f t="shared" si="6"/>
        <v>0.10596026490066225</v>
      </c>
      <c r="AO14" s="78">
        <f t="shared" si="11"/>
        <v>0.35087719298245612</v>
      </c>
      <c r="AP14" s="78">
        <v>0.22800000000000001</v>
      </c>
      <c r="AQ14" s="78">
        <v>8.1000000000000003E-2</v>
      </c>
      <c r="AR14" s="78">
        <f t="shared" si="4"/>
        <v>0.10744580584354384</v>
      </c>
      <c r="AS14" s="78">
        <f t="shared" si="12"/>
        <v>2.8148148148148149</v>
      </c>
      <c r="AT14" s="78">
        <f t="shared" si="17"/>
        <v>0.30198675496688743</v>
      </c>
      <c r="AU14" s="78">
        <v>9.1999999999999998E-2</v>
      </c>
      <c r="AV14" s="78">
        <v>0.113</v>
      </c>
      <c r="AW14" s="78">
        <f t="shared" ref="AW14" si="19">AU14/AV14</f>
        <v>0.81415929203539816</v>
      </c>
      <c r="AX14" s="80">
        <f t="shared" si="13"/>
        <v>2.4782608695652177</v>
      </c>
      <c r="AY14" s="79" t="s">
        <v>75</v>
      </c>
      <c r="AZ14" s="137">
        <v>11</v>
      </c>
      <c r="BA14" s="79" t="s">
        <v>75</v>
      </c>
      <c r="BB14" s="79" t="s">
        <v>75</v>
      </c>
      <c r="BC14" s="81" t="s">
        <v>75</v>
      </c>
    </row>
    <row r="15" spans="2:55" s="5" customFormat="1" ht="12.75" customHeight="1" x14ac:dyDescent="0.2">
      <c r="B15" s="83">
        <v>26810</v>
      </c>
      <c r="C15" s="116" t="s">
        <v>167</v>
      </c>
      <c r="D15" s="109">
        <v>25146</v>
      </c>
      <c r="E15" s="11" t="s">
        <v>186</v>
      </c>
      <c r="F15" s="72">
        <f>0.974+1.035</f>
        <v>2.0089999999999999</v>
      </c>
      <c r="G15" s="82">
        <f t="shared" si="14"/>
        <v>2.944</v>
      </c>
      <c r="H15" s="82">
        <f t="shared" si="15"/>
        <v>1.465405674464908</v>
      </c>
      <c r="I15" s="72">
        <v>9.6000000000000002E-2</v>
      </c>
      <c r="J15" s="72">
        <v>5.1999999999999998E-2</v>
      </c>
      <c r="K15" s="72">
        <v>0.71499999999999997</v>
      </c>
      <c r="L15" s="72">
        <v>0.51500000000000001</v>
      </c>
      <c r="M15" s="72">
        <v>0.53300000000000003</v>
      </c>
      <c r="N15" s="72">
        <v>0.13400000000000001</v>
      </c>
      <c r="O15" s="72">
        <v>0.89900000000000002</v>
      </c>
      <c r="P15" s="72">
        <f>N:N+O:O</f>
        <v>1.0329999999999999</v>
      </c>
      <c r="Q15" s="82">
        <f t="shared" si="0"/>
        <v>1.4447552447552447</v>
      </c>
      <c r="R15" s="82">
        <f t="shared" si="1"/>
        <v>0.74545454545454548</v>
      </c>
      <c r="S15" s="82">
        <f t="shared" si="2"/>
        <v>0.72027972027972031</v>
      </c>
      <c r="T15" s="82">
        <f t="shared" si="3"/>
        <v>6.7089552238805972</v>
      </c>
      <c r="U15" s="72">
        <v>0.28999999999999998</v>
      </c>
      <c r="V15" s="72">
        <f t="shared" si="7"/>
        <v>10.151724137931035</v>
      </c>
      <c r="W15" s="72">
        <v>0.57499999999999996</v>
      </c>
      <c r="X15" s="72">
        <v>0.114</v>
      </c>
      <c r="Y15" s="72">
        <f t="shared" si="5"/>
        <v>5.0438596491228065</v>
      </c>
      <c r="Z15" s="72">
        <v>0.374</v>
      </c>
      <c r="AA15" s="72">
        <v>0.5</v>
      </c>
      <c r="AB15" s="72">
        <f t="shared" ref="AB15:AB24" si="20">AA15/F15</f>
        <v>0.24888003982080639</v>
      </c>
      <c r="AC15" s="72">
        <v>1.012</v>
      </c>
      <c r="AD15" s="72">
        <f t="shared" ref="AD15:AD24" si="21">AC15/F15</f>
        <v>0.50373320059731208</v>
      </c>
      <c r="AE15" s="72">
        <v>0.12</v>
      </c>
      <c r="AF15" s="72">
        <f t="shared" si="8"/>
        <v>0.16783216783216784</v>
      </c>
      <c r="AG15" s="72">
        <f t="shared" si="9"/>
        <v>0.11616650532429816</v>
      </c>
      <c r="AH15" s="72">
        <f t="shared" ref="AH15:AH23" si="22">AE15/N15</f>
        <v>0.89552238805970141</v>
      </c>
      <c r="AI15" s="72">
        <v>8.8999999999999996E-2</v>
      </c>
      <c r="AJ15" s="72">
        <v>5.1999999999999998E-2</v>
      </c>
      <c r="AK15" s="72">
        <f t="shared" si="10"/>
        <v>1.7115384615384615</v>
      </c>
      <c r="AL15" s="72">
        <f t="shared" ref="AL15:AL24" si="23">AI15/AE15</f>
        <v>0.7416666666666667</v>
      </c>
      <c r="AM15" s="72">
        <f t="shared" si="16"/>
        <v>0.66417910447761186</v>
      </c>
      <c r="AN15" s="72">
        <f t="shared" si="6"/>
        <v>0.12447552447552447</v>
      </c>
      <c r="AO15" s="72">
        <f t="shared" si="11"/>
        <v>0.39207048458149779</v>
      </c>
      <c r="AP15" s="72">
        <v>0.22700000000000001</v>
      </c>
      <c r="AQ15" s="72">
        <v>7.6999999999999999E-2</v>
      </c>
      <c r="AR15" s="72">
        <f t="shared" si="4"/>
        <v>0.11299153807864611</v>
      </c>
      <c r="AS15" s="72">
        <f t="shared" si="12"/>
        <v>2.948051948051948</v>
      </c>
      <c r="AT15" s="72">
        <f t="shared" si="17"/>
        <v>0.31748251748251749</v>
      </c>
      <c r="AU15" s="72">
        <v>0.111</v>
      </c>
      <c r="AV15" s="72">
        <v>0.127</v>
      </c>
      <c r="AW15" s="72">
        <f t="shared" si="18"/>
        <v>0.87401574803149606</v>
      </c>
      <c r="AX15" s="82">
        <f t="shared" si="13"/>
        <v>2.045045045045045</v>
      </c>
      <c r="AY15" s="136">
        <v>4</v>
      </c>
      <c r="AZ15" s="136">
        <v>13</v>
      </c>
      <c r="BA15" s="136">
        <v>6</v>
      </c>
      <c r="BB15" s="136">
        <v>7</v>
      </c>
      <c r="BC15" s="143">
        <v>7</v>
      </c>
    </row>
    <row r="16" spans="2:55" s="5" customFormat="1" ht="12.75" customHeight="1" x14ac:dyDescent="0.2">
      <c r="B16" s="69"/>
      <c r="C16" s="109"/>
      <c r="D16" s="109"/>
      <c r="E16" s="11"/>
      <c r="F16" s="72">
        <f>0.974+1.035</f>
        <v>2.0089999999999999</v>
      </c>
      <c r="G16" s="82">
        <f t="shared" si="14"/>
        <v>2.91</v>
      </c>
      <c r="H16" s="82">
        <f t="shared" si="15"/>
        <v>1.4484818317570933</v>
      </c>
      <c r="I16" s="72">
        <v>9.6000000000000002E-2</v>
      </c>
      <c r="J16" s="72">
        <v>5.2999999999999999E-2</v>
      </c>
      <c r="K16" s="72">
        <v>0.72199999999999998</v>
      </c>
      <c r="L16" s="72">
        <v>0.504</v>
      </c>
      <c r="M16" s="72">
        <v>0.53200000000000003</v>
      </c>
      <c r="N16" s="72">
        <v>0.14099999999999999</v>
      </c>
      <c r="O16" s="72">
        <v>0.86199999999999999</v>
      </c>
      <c r="P16" s="72">
        <f>N:N+O:O</f>
        <v>1.0029999999999999</v>
      </c>
      <c r="Q16" s="82">
        <f t="shared" si="0"/>
        <v>1.389196675900277</v>
      </c>
      <c r="R16" s="82">
        <f t="shared" si="1"/>
        <v>0.73684210526315796</v>
      </c>
      <c r="S16" s="82">
        <f t="shared" si="2"/>
        <v>0.69806094182825484</v>
      </c>
      <c r="T16" s="82">
        <f t="shared" si="3"/>
        <v>6.1134751773049647</v>
      </c>
      <c r="U16" s="72">
        <v>0.28999999999999998</v>
      </c>
      <c r="V16" s="72">
        <f t="shared" si="7"/>
        <v>10.03448275862069</v>
      </c>
      <c r="W16" s="110" t="s">
        <v>75</v>
      </c>
      <c r="X16" s="110" t="s">
        <v>75</v>
      </c>
      <c r="Y16" s="110" t="s">
        <v>75</v>
      </c>
      <c r="Z16" s="72">
        <v>0.36399999999999999</v>
      </c>
      <c r="AA16" s="72">
        <v>0.51100000000000001</v>
      </c>
      <c r="AB16" s="72">
        <f t="shared" si="20"/>
        <v>0.25435540069686413</v>
      </c>
      <c r="AC16" s="72">
        <v>1.008</v>
      </c>
      <c r="AD16" s="72">
        <f t="shared" si="21"/>
        <v>0.50174216027874563</v>
      </c>
      <c r="AE16" s="72">
        <v>0.11899999999999999</v>
      </c>
      <c r="AF16" s="72">
        <f t="shared" si="8"/>
        <v>0.16481994459833796</v>
      </c>
      <c r="AG16" s="72">
        <f t="shared" si="9"/>
        <v>0.11864406779661017</v>
      </c>
      <c r="AH16" s="72">
        <f t="shared" si="22"/>
        <v>0.84397163120567376</v>
      </c>
      <c r="AI16" s="72">
        <v>8.8999999999999996E-2</v>
      </c>
      <c r="AJ16" s="72">
        <v>5.1999999999999998E-2</v>
      </c>
      <c r="AK16" s="72">
        <f t="shared" si="10"/>
        <v>1.7115384615384615</v>
      </c>
      <c r="AL16" s="72">
        <f t="shared" si="23"/>
        <v>0.74789915966386555</v>
      </c>
      <c r="AM16" s="72">
        <f t="shared" si="16"/>
        <v>0.63120567375886527</v>
      </c>
      <c r="AN16" s="72">
        <f t="shared" si="6"/>
        <v>0.12326869806094183</v>
      </c>
      <c r="AO16" s="72">
        <f t="shared" si="11"/>
        <v>0.40090090090090086</v>
      </c>
      <c r="AP16" s="72">
        <v>0.222</v>
      </c>
      <c r="AQ16" s="72">
        <v>7.4999999999999997E-2</v>
      </c>
      <c r="AR16" s="72">
        <f t="shared" si="4"/>
        <v>0.11050273768043804</v>
      </c>
      <c r="AS16" s="72">
        <f t="shared" si="12"/>
        <v>2.96</v>
      </c>
      <c r="AT16" s="72">
        <f t="shared" si="17"/>
        <v>0.30747922437673131</v>
      </c>
      <c r="AU16" s="72">
        <v>0.111</v>
      </c>
      <c r="AV16" s="72">
        <v>0.127</v>
      </c>
      <c r="AW16" s="72">
        <f t="shared" ref="AW16" si="24">AU16/AV16</f>
        <v>0.87401574803149606</v>
      </c>
      <c r="AX16" s="82">
        <f t="shared" si="13"/>
        <v>2</v>
      </c>
      <c r="AY16" s="110" t="s">
        <v>75</v>
      </c>
      <c r="AZ16" s="110" t="s">
        <v>75</v>
      </c>
      <c r="BA16" s="110" t="s">
        <v>75</v>
      </c>
      <c r="BB16" s="110" t="s">
        <v>75</v>
      </c>
      <c r="BC16" s="111" t="s">
        <v>75</v>
      </c>
    </row>
    <row r="17" spans="2:55" s="5" customFormat="1" ht="12.75" customHeight="1" x14ac:dyDescent="0.2">
      <c r="B17" s="86">
        <v>26810</v>
      </c>
      <c r="C17" s="112" t="s">
        <v>167</v>
      </c>
      <c r="D17" s="113">
        <v>25146</v>
      </c>
      <c r="E17" s="17" t="s">
        <v>186</v>
      </c>
      <c r="F17" s="78">
        <f>0.963+1.103</f>
        <v>2.0659999999999998</v>
      </c>
      <c r="G17" s="80">
        <f t="shared" si="14"/>
        <v>2.6239999999999997</v>
      </c>
      <c r="H17" s="80">
        <f t="shared" si="15"/>
        <v>1.2700871248789931</v>
      </c>
      <c r="I17" s="78">
        <v>9.1999999999999998E-2</v>
      </c>
      <c r="J17" s="78">
        <v>5.3999999999999999E-2</v>
      </c>
      <c r="K17" s="78">
        <v>0.747</v>
      </c>
      <c r="L17" s="78">
        <v>0.48</v>
      </c>
      <c r="M17" s="78">
        <v>0.42899999999999999</v>
      </c>
      <c r="N17" s="78">
        <v>0.126</v>
      </c>
      <c r="O17" s="78">
        <v>0.69599999999999995</v>
      </c>
      <c r="P17" s="78">
        <f>N:N+O:O</f>
        <v>0.82199999999999995</v>
      </c>
      <c r="Q17" s="80">
        <f t="shared" si="0"/>
        <v>1.1004016064257027</v>
      </c>
      <c r="R17" s="80">
        <f t="shared" si="1"/>
        <v>0.57429718875502012</v>
      </c>
      <c r="S17" s="80">
        <f t="shared" si="2"/>
        <v>0.64257028112449799</v>
      </c>
      <c r="T17" s="80">
        <f t="shared" si="3"/>
        <v>5.5238095238095237</v>
      </c>
      <c r="U17" s="78">
        <v>0.30599999999999999</v>
      </c>
      <c r="V17" s="78">
        <f t="shared" si="7"/>
        <v>8.5751633986928102</v>
      </c>
      <c r="W17" s="78">
        <v>0.56699999999999995</v>
      </c>
      <c r="X17" s="78">
        <v>0.123</v>
      </c>
      <c r="Y17" s="78">
        <f t="shared" si="5"/>
        <v>4.6097560975609753</v>
      </c>
      <c r="Z17" s="78">
        <v>0.38100000000000001</v>
      </c>
      <c r="AA17" s="78">
        <v>0.48299999999999998</v>
      </c>
      <c r="AB17" s="78">
        <f t="shared" si="20"/>
        <v>0.23378509196515007</v>
      </c>
      <c r="AC17" s="78">
        <v>1.024</v>
      </c>
      <c r="AD17" s="78">
        <f t="shared" si="21"/>
        <v>0.49564375605033889</v>
      </c>
      <c r="AE17" s="78">
        <v>0.121</v>
      </c>
      <c r="AF17" s="78">
        <f t="shared" si="8"/>
        <v>0.16198125836680052</v>
      </c>
      <c r="AG17" s="78">
        <f t="shared" si="9"/>
        <v>0.14720194647201948</v>
      </c>
      <c r="AH17" s="78">
        <f t="shared" si="22"/>
        <v>0.96031746031746024</v>
      </c>
      <c r="AI17" s="78">
        <v>8.4000000000000005E-2</v>
      </c>
      <c r="AJ17" s="78">
        <v>5.3999999999999999E-2</v>
      </c>
      <c r="AK17" s="78">
        <f t="shared" si="10"/>
        <v>1.5555555555555556</v>
      </c>
      <c r="AL17" s="78">
        <f t="shared" si="23"/>
        <v>0.69421487603305787</v>
      </c>
      <c r="AM17" s="78">
        <f t="shared" si="16"/>
        <v>0.66666666666666674</v>
      </c>
      <c r="AN17" s="78">
        <f t="shared" si="6"/>
        <v>0.11244979919678716</v>
      </c>
      <c r="AO17" s="78">
        <f t="shared" si="11"/>
        <v>0.35294117647058826</v>
      </c>
      <c r="AP17" s="78">
        <v>0.23799999999999999</v>
      </c>
      <c r="AQ17" s="78">
        <v>8.3000000000000004E-2</v>
      </c>
      <c r="AR17" s="78">
        <f t="shared" si="4"/>
        <v>0.11519845111326235</v>
      </c>
      <c r="AS17" s="78">
        <f t="shared" si="12"/>
        <v>2.867469879518072</v>
      </c>
      <c r="AT17" s="78">
        <f t="shared" si="17"/>
        <v>0.31860776439089689</v>
      </c>
      <c r="AU17" s="78">
        <v>0.106</v>
      </c>
      <c r="AV17" s="78">
        <v>0.11600000000000001</v>
      </c>
      <c r="AW17" s="78">
        <f t="shared" si="18"/>
        <v>0.9137931034482758</v>
      </c>
      <c r="AX17" s="80">
        <f t="shared" si="13"/>
        <v>2.2452830188679247</v>
      </c>
      <c r="AY17" s="137">
        <v>5</v>
      </c>
      <c r="AZ17" s="137">
        <v>11</v>
      </c>
      <c r="BA17" s="137">
        <v>4</v>
      </c>
      <c r="BB17" s="137">
        <v>7</v>
      </c>
      <c r="BC17" s="145">
        <v>7</v>
      </c>
    </row>
    <row r="18" spans="2:55" s="5" customFormat="1" ht="12.75" customHeight="1" x14ac:dyDescent="0.2">
      <c r="B18" s="75"/>
      <c r="C18" s="113"/>
      <c r="D18" s="113"/>
      <c r="E18" s="17"/>
      <c r="F18" s="78">
        <f>0.963+1.103</f>
        <v>2.0659999999999998</v>
      </c>
      <c r="G18" s="80">
        <f t="shared" si="14"/>
        <v>2.722</v>
      </c>
      <c r="H18" s="80">
        <f t="shared" si="15"/>
        <v>1.3175217812197484</v>
      </c>
      <c r="I18" s="78">
        <v>8.8999999999999996E-2</v>
      </c>
      <c r="J18" s="78">
        <v>5.3999999999999999E-2</v>
      </c>
      <c r="K18" s="78">
        <v>0.72799999999999998</v>
      </c>
      <c r="L18" s="78">
        <v>0.48199999999999998</v>
      </c>
      <c r="M18" s="78">
        <v>0.43099999999999999</v>
      </c>
      <c r="N18" s="78">
        <v>0.128</v>
      </c>
      <c r="O18" s="78">
        <v>0.81</v>
      </c>
      <c r="P18" s="78">
        <f>N:N+O:O</f>
        <v>0.93800000000000006</v>
      </c>
      <c r="Q18" s="80">
        <f t="shared" si="0"/>
        <v>1.2884615384615385</v>
      </c>
      <c r="R18" s="80">
        <f t="shared" si="1"/>
        <v>0.59203296703296704</v>
      </c>
      <c r="S18" s="80">
        <f t="shared" si="2"/>
        <v>0.66208791208791207</v>
      </c>
      <c r="T18" s="80">
        <f t="shared" si="3"/>
        <v>6.328125</v>
      </c>
      <c r="U18" s="78">
        <v>0.30599999999999999</v>
      </c>
      <c r="V18" s="78">
        <f t="shared" si="7"/>
        <v>8.8954248366013076</v>
      </c>
      <c r="W18" s="78">
        <v>0.52900000000000003</v>
      </c>
      <c r="X18" s="78">
        <v>0.129</v>
      </c>
      <c r="Y18" s="78">
        <f t="shared" si="5"/>
        <v>4.1007751937984498</v>
      </c>
      <c r="Z18" s="78">
        <v>0.35599999999999998</v>
      </c>
      <c r="AA18" s="78">
        <v>0.48399999999999999</v>
      </c>
      <c r="AB18" s="78">
        <f t="shared" si="20"/>
        <v>0.23426911907066797</v>
      </c>
      <c r="AC18" s="78">
        <v>1.0229999999999999</v>
      </c>
      <c r="AD18" s="78">
        <f t="shared" si="21"/>
        <v>0.49515972894482091</v>
      </c>
      <c r="AE18" s="78">
        <v>0.11799999999999999</v>
      </c>
      <c r="AF18" s="78">
        <f t="shared" si="8"/>
        <v>0.16208791208791209</v>
      </c>
      <c r="AG18" s="78">
        <f t="shared" si="9"/>
        <v>0.12579957356076757</v>
      </c>
      <c r="AH18" s="78">
        <f t="shared" si="22"/>
        <v>0.92187499999999989</v>
      </c>
      <c r="AI18" s="78">
        <v>8.4000000000000005E-2</v>
      </c>
      <c r="AJ18" s="78">
        <v>5.3999999999999999E-2</v>
      </c>
      <c r="AK18" s="78">
        <f t="shared" si="10"/>
        <v>1.5555555555555556</v>
      </c>
      <c r="AL18" s="78">
        <f t="shared" si="23"/>
        <v>0.71186440677966112</v>
      </c>
      <c r="AM18" s="78">
        <f t="shared" si="16"/>
        <v>0.65625</v>
      </c>
      <c r="AN18" s="78">
        <f t="shared" si="6"/>
        <v>0.11538461538461539</v>
      </c>
      <c r="AO18" s="78">
        <f t="shared" si="11"/>
        <v>0.34854771784232369</v>
      </c>
      <c r="AP18" s="78">
        <v>0.24099999999999999</v>
      </c>
      <c r="AQ18" s="78">
        <v>7.1999999999999995E-2</v>
      </c>
      <c r="AR18" s="78">
        <f t="shared" si="4"/>
        <v>0.11665053242981607</v>
      </c>
      <c r="AS18" s="78">
        <f t="shared" si="12"/>
        <v>3.3472222222222223</v>
      </c>
      <c r="AT18" s="78">
        <f t="shared" si="17"/>
        <v>0.33104395604395603</v>
      </c>
      <c r="AU18" s="78">
        <v>0.106</v>
      </c>
      <c r="AV18" s="78">
        <v>0.11600000000000001</v>
      </c>
      <c r="AW18" s="78">
        <f t="shared" ref="AW18" si="25">AU18/AV18</f>
        <v>0.9137931034482758</v>
      </c>
      <c r="AX18" s="80">
        <f t="shared" si="13"/>
        <v>2.2735849056603774</v>
      </c>
      <c r="AY18" s="79" t="s">
        <v>75</v>
      </c>
      <c r="AZ18" s="137">
        <v>13</v>
      </c>
      <c r="BA18" s="79" t="s">
        <v>75</v>
      </c>
      <c r="BB18" s="79" t="s">
        <v>75</v>
      </c>
      <c r="BC18" s="81" t="s">
        <v>75</v>
      </c>
    </row>
    <row r="19" spans="2:55" s="5" customFormat="1" ht="12.75" customHeight="1" x14ac:dyDescent="0.2">
      <c r="B19" s="83">
        <v>24647</v>
      </c>
      <c r="C19" s="116" t="s">
        <v>167</v>
      </c>
      <c r="D19" s="109" t="s">
        <v>162</v>
      </c>
      <c r="E19" s="11" t="s">
        <v>184</v>
      </c>
      <c r="F19" s="72">
        <f>1.014+1.086</f>
        <v>2.1</v>
      </c>
      <c r="G19" s="110" t="s">
        <v>75</v>
      </c>
      <c r="H19" s="110" t="s">
        <v>75</v>
      </c>
      <c r="I19" s="72">
        <v>8.2000000000000003E-2</v>
      </c>
      <c r="J19" s="72">
        <v>5.6000000000000001E-2</v>
      </c>
      <c r="K19" s="72">
        <v>0.72899999999999998</v>
      </c>
      <c r="L19" s="72">
        <v>0.48799999999999999</v>
      </c>
      <c r="M19" s="72">
        <v>0.50600000000000001</v>
      </c>
      <c r="N19" s="72">
        <v>0.13700000000000001</v>
      </c>
      <c r="O19" s="110" t="s">
        <v>75</v>
      </c>
      <c r="P19" s="110" t="s">
        <v>75</v>
      </c>
      <c r="Q19" s="110" t="s">
        <v>75</v>
      </c>
      <c r="R19" s="82">
        <f t="shared" si="1"/>
        <v>0.69410150891632372</v>
      </c>
      <c r="S19" s="82">
        <f t="shared" si="2"/>
        <v>0.66941015089163236</v>
      </c>
      <c r="T19" s="110" t="s">
        <v>75</v>
      </c>
      <c r="U19" s="72">
        <v>0.26200000000000001</v>
      </c>
      <c r="V19" s="110" t="s">
        <v>75</v>
      </c>
      <c r="W19" s="72">
        <v>0.56599999999999995</v>
      </c>
      <c r="X19" s="72">
        <v>0.11</v>
      </c>
      <c r="Y19" s="72">
        <f t="shared" si="5"/>
        <v>5.1454545454545446</v>
      </c>
      <c r="Z19" s="72">
        <v>0.376</v>
      </c>
      <c r="AA19" s="72">
        <v>0.51700000000000002</v>
      </c>
      <c r="AB19" s="72">
        <f t="shared" si="20"/>
        <v>0.24619047619047618</v>
      </c>
      <c r="AC19" s="72">
        <v>1.097</v>
      </c>
      <c r="AD19" s="72">
        <f t="shared" si="21"/>
        <v>0.52238095238095239</v>
      </c>
      <c r="AE19" s="72">
        <v>0.11600000000000001</v>
      </c>
      <c r="AF19" s="72">
        <f t="shared" si="8"/>
        <v>0.15912208504801098</v>
      </c>
      <c r="AG19" s="72"/>
      <c r="AH19" s="72">
        <f t="shared" si="22"/>
        <v>0.84671532846715325</v>
      </c>
      <c r="AI19" s="72">
        <v>8.5999999999999993E-2</v>
      </c>
      <c r="AJ19" s="72">
        <v>4.8000000000000001E-2</v>
      </c>
      <c r="AK19" s="72">
        <f t="shared" si="10"/>
        <v>1.7916666666666665</v>
      </c>
      <c r="AL19" s="72">
        <f t="shared" si="23"/>
        <v>0.74137931034482751</v>
      </c>
      <c r="AM19" s="72">
        <f t="shared" si="16"/>
        <v>0.62773722627737216</v>
      </c>
      <c r="AN19" s="72">
        <f t="shared" si="6"/>
        <v>0.11796982167352538</v>
      </c>
      <c r="AO19" s="72">
        <f t="shared" si="11"/>
        <v>0.37391304347826082</v>
      </c>
      <c r="AP19" s="72">
        <v>0.23</v>
      </c>
      <c r="AQ19" s="72">
        <v>7.2999999999999995E-2</v>
      </c>
      <c r="AR19" s="72">
        <f t="shared" si="4"/>
        <v>0.10952380952380952</v>
      </c>
      <c r="AS19" s="72">
        <f t="shared" si="12"/>
        <v>3.1506849315068495</v>
      </c>
      <c r="AT19" s="72">
        <f t="shared" si="17"/>
        <v>0.31550068587105629</v>
      </c>
      <c r="AU19" s="72">
        <v>0.111</v>
      </c>
      <c r="AV19" s="72">
        <v>0.111</v>
      </c>
      <c r="AW19" s="72">
        <f t="shared" si="18"/>
        <v>1</v>
      </c>
      <c r="AX19" s="82">
        <f t="shared" si="13"/>
        <v>2.0720720720720722</v>
      </c>
      <c r="AY19" s="136">
        <v>5</v>
      </c>
      <c r="AZ19" s="136">
        <v>10</v>
      </c>
      <c r="BA19" s="136">
        <v>4</v>
      </c>
      <c r="BB19" s="136">
        <v>6</v>
      </c>
      <c r="BC19" s="143">
        <v>6</v>
      </c>
    </row>
    <row r="20" spans="2:55" s="5" customFormat="1" ht="12.75" customHeight="1" x14ac:dyDescent="0.2">
      <c r="B20" s="69"/>
      <c r="C20" s="109"/>
      <c r="D20" s="109"/>
      <c r="E20" s="11"/>
      <c r="F20" s="72">
        <f>1.014+1.086</f>
        <v>2.1</v>
      </c>
      <c r="G20" s="82">
        <f>I20+J20+K20+L20+M20+N20+O20</f>
        <v>2.8279999999999998</v>
      </c>
      <c r="H20" s="82">
        <f>G20/F20</f>
        <v>1.3466666666666665</v>
      </c>
      <c r="I20" s="72">
        <v>8.1000000000000003E-2</v>
      </c>
      <c r="J20" s="72">
        <v>5.6000000000000001E-2</v>
      </c>
      <c r="K20" s="72">
        <v>0.71899999999999997</v>
      </c>
      <c r="L20" s="72">
        <v>0.47</v>
      </c>
      <c r="M20" s="72">
        <v>0.497</v>
      </c>
      <c r="N20" s="72">
        <v>0.13500000000000001</v>
      </c>
      <c r="O20" s="72">
        <v>0.87</v>
      </c>
      <c r="P20" s="72">
        <f>N:N+O:O</f>
        <v>1.0049999999999999</v>
      </c>
      <c r="Q20" s="82">
        <f t="shared" si="0"/>
        <v>1.3977746870653684</v>
      </c>
      <c r="R20" s="82">
        <f t="shared" si="1"/>
        <v>0.69123783031988872</v>
      </c>
      <c r="S20" s="82">
        <f t="shared" si="2"/>
        <v>0.65368567454798332</v>
      </c>
      <c r="T20" s="82">
        <f t="shared" si="3"/>
        <v>6.4444444444444438</v>
      </c>
      <c r="U20" s="72">
        <v>0.26200000000000001</v>
      </c>
      <c r="V20" s="72">
        <f t="shared" si="7"/>
        <v>10.793893129770991</v>
      </c>
      <c r="W20" s="72">
        <v>0.57899999999999996</v>
      </c>
      <c r="X20" s="72">
        <v>0.105</v>
      </c>
      <c r="Y20" s="72">
        <f t="shared" si="5"/>
        <v>5.5142857142857142</v>
      </c>
      <c r="Z20" s="72">
        <v>0.38400000000000001</v>
      </c>
      <c r="AA20" s="72">
        <v>0.51200000000000001</v>
      </c>
      <c r="AB20" s="72">
        <f t="shared" si="20"/>
        <v>0.24380952380952381</v>
      </c>
      <c r="AC20" s="72">
        <v>1.036</v>
      </c>
      <c r="AD20" s="72">
        <f t="shared" si="21"/>
        <v>0.49333333333333335</v>
      </c>
      <c r="AE20" s="72">
        <v>0.12</v>
      </c>
      <c r="AF20" s="72">
        <f t="shared" si="8"/>
        <v>0.16689847009735745</v>
      </c>
      <c r="AG20" s="72">
        <f t="shared" si="9"/>
        <v>0.11940298507462688</v>
      </c>
      <c r="AH20" s="72">
        <f t="shared" si="22"/>
        <v>0.88888888888888884</v>
      </c>
      <c r="AI20" s="72">
        <v>8.5999999999999993E-2</v>
      </c>
      <c r="AJ20" s="72">
        <v>4.8000000000000001E-2</v>
      </c>
      <c r="AK20" s="72">
        <f t="shared" si="10"/>
        <v>1.7916666666666665</v>
      </c>
      <c r="AL20" s="72">
        <f t="shared" si="23"/>
        <v>0.71666666666666667</v>
      </c>
      <c r="AM20" s="72">
        <f t="shared" si="16"/>
        <v>0.63703703703703696</v>
      </c>
      <c r="AN20" s="72">
        <f t="shared" si="6"/>
        <v>0.11961057023643949</v>
      </c>
      <c r="AO20" s="72">
        <f t="shared" si="11"/>
        <v>0.35983263598326359</v>
      </c>
      <c r="AP20" s="72">
        <v>0.23899999999999999</v>
      </c>
      <c r="AQ20" s="72">
        <v>7.4999999999999997E-2</v>
      </c>
      <c r="AR20" s="72">
        <f t="shared" si="4"/>
        <v>0.1138095238095238</v>
      </c>
      <c r="AS20" s="72">
        <f t="shared" si="12"/>
        <v>3.1866666666666665</v>
      </c>
      <c r="AT20" s="72">
        <f t="shared" si="17"/>
        <v>0.33240611961057026</v>
      </c>
      <c r="AU20" s="72">
        <v>0.111</v>
      </c>
      <c r="AV20" s="72">
        <v>0.111</v>
      </c>
      <c r="AW20" s="72">
        <f t="shared" ref="AW20" si="26">AU20/AV20</f>
        <v>1</v>
      </c>
      <c r="AX20" s="82">
        <f t="shared" si="13"/>
        <v>2.1531531531531529</v>
      </c>
      <c r="AY20" s="110" t="s">
        <v>75</v>
      </c>
      <c r="AZ20" s="136">
        <v>12</v>
      </c>
      <c r="BA20" s="110" t="s">
        <v>75</v>
      </c>
      <c r="BB20" s="110" t="s">
        <v>75</v>
      </c>
      <c r="BC20" s="111" t="s">
        <v>75</v>
      </c>
    </row>
    <row r="21" spans="2:55" s="5" customFormat="1" ht="12.75" customHeight="1" x14ac:dyDescent="0.2">
      <c r="B21" s="86">
        <v>26821</v>
      </c>
      <c r="C21" s="112" t="s">
        <v>167</v>
      </c>
      <c r="D21" s="113" t="s">
        <v>163</v>
      </c>
      <c r="E21" s="158" t="s">
        <v>185</v>
      </c>
      <c r="F21" s="78">
        <f>1.002+1.161</f>
        <v>2.1630000000000003</v>
      </c>
      <c r="G21" s="80">
        <f>I21+J21+K21+L21+M21+N21+O21</f>
        <v>2.6870000000000003</v>
      </c>
      <c r="H21" s="80">
        <f>G21/F21</f>
        <v>1.2422561257512714</v>
      </c>
      <c r="I21" s="78">
        <v>9.8000000000000004E-2</v>
      </c>
      <c r="J21" s="78">
        <v>4.9000000000000002E-2</v>
      </c>
      <c r="K21" s="78">
        <v>0.68500000000000005</v>
      </c>
      <c r="L21" s="78">
        <v>0.45200000000000001</v>
      </c>
      <c r="M21" s="78">
        <v>0.45100000000000001</v>
      </c>
      <c r="N21" s="78">
        <v>0.13400000000000001</v>
      </c>
      <c r="O21" s="78">
        <v>0.81799999999999995</v>
      </c>
      <c r="P21" s="78">
        <f>N:N+O:O</f>
        <v>0.95199999999999996</v>
      </c>
      <c r="Q21" s="80">
        <f t="shared" si="0"/>
        <v>1.3897810218978099</v>
      </c>
      <c r="R21" s="80">
        <f t="shared" si="1"/>
        <v>0.65839416058394162</v>
      </c>
      <c r="S21" s="80">
        <f t="shared" si="2"/>
        <v>0.6598540145985401</v>
      </c>
      <c r="T21" s="80">
        <f t="shared" si="3"/>
        <v>6.1044776119402977</v>
      </c>
      <c r="U21" s="78">
        <v>0.29199999999999998</v>
      </c>
      <c r="V21" s="78">
        <f t="shared" si="7"/>
        <v>9.2020547945205493</v>
      </c>
      <c r="W21" s="78">
        <v>0.55300000000000005</v>
      </c>
      <c r="X21" s="78">
        <v>0.13500000000000001</v>
      </c>
      <c r="Y21" s="78">
        <f t="shared" si="5"/>
        <v>4.0962962962962965</v>
      </c>
      <c r="Z21" s="78">
        <v>0.36399999999999999</v>
      </c>
      <c r="AA21" s="78">
        <v>0.48499999999999999</v>
      </c>
      <c r="AB21" s="78">
        <f t="shared" si="20"/>
        <v>0.2242256125751271</v>
      </c>
      <c r="AC21" s="78">
        <v>1.02</v>
      </c>
      <c r="AD21" s="78">
        <f t="shared" si="21"/>
        <v>0.4715672676837725</v>
      </c>
      <c r="AE21" s="78">
        <v>0.11</v>
      </c>
      <c r="AF21" s="78">
        <f t="shared" si="8"/>
        <v>0.16058394160583941</v>
      </c>
      <c r="AG21" s="78">
        <f t="shared" si="9"/>
        <v>0.11554621848739496</v>
      </c>
      <c r="AH21" s="78">
        <f t="shared" si="22"/>
        <v>0.82089552238805963</v>
      </c>
      <c r="AI21" s="78">
        <v>8.5000000000000006E-2</v>
      </c>
      <c r="AJ21" s="78">
        <v>0.06</v>
      </c>
      <c r="AK21" s="78">
        <f t="shared" si="10"/>
        <v>1.4166666666666667</v>
      </c>
      <c r="AL21" s="78">
        <f t="shared" si="23"/>
        <v>0.77272727272727282</v>
      </c>
      <c r="AM21" s="78">
        <f t="shared" si="16"/>
        <v>0.63432835820895528</v>
      </c>
      <c r="AN21" s="78">
        <f t="shared" si="6"/>
        <v>0.12408759124087591</v>
      </c>
      <c r="AO21" s="78">
        <f t="shared" si="11"/>
        <v>0.367965367965368</v>
      </c>
      <c r="AP21" s="78">
        <v>0.23100000000000001</v>
      </c>
      <c r="AQ21" s="78">
        <v>8.5999999999999993E-2</v>
      </c>
      <c r="AR21" s="78">
        <f t="shared" si="4"/>
        <v>0.10679611650485436</v>
      </c>
      <c r="AS21" s="78">
        <f t="shared" si="12"/>
        <v>2.6860465116279073</v>
      </c>
      <c r="AT21" s="78">
        <f t="shared" si="17"/>
        <v>0.33722627737226274</v>
      </c>
      <c r="AU21" s="78">
        <v>0.105</v>
      </c>
      <c r="AV21" s="78">
        <v>0.11799999999999999</v>
      </c>
      <c r="AW21" s="78">
        <f t="shared" si="18"/>
        <v>0.88983050847457623</v>
      </c>
      <c r="AX21" s="80">
        <f t="shared" si="13"/>
        <v>2.2000000000000002</v>
      </c>
      <c r="AY21" s="137">
        <v>4</v>
      </c>
      <c r="AZ21" s="137">
        <v>8</v>
      </c>
      <c r="BA21" s="137">
        <v>5</v>
      </c>
      <c r="BB21" s="137">
        <v>5</v>
      </c>
      <c r="BC21" s="145">
        <v>6</v>
      </c>
    </row>
    <row r="22" spans="2:55" s="5" customFormat="1" ht="12.75" customHeight="1" x14ac:dyDescent="0.2">
      <c r="B22" s="75"/>
      <c r="C22" s="113"/>
      <c r="D22" s="113"/>
      <c r="E22" s="17"/>
      <c r="F22" s="78">
        <f>1.002+1.161</f>
        <v>2.1630000000000003</v>
      </c>
      <c r="G22" s="80">
        <f>I22+J22+K22+L22+M22+N22+O22</f>
        <v>2.6579999999999999</v>
      </c>
      <c r="H22" s="80">
        <f>G22/F22</f>
        <v>1.2288488210818307</v>
      </c>
      <c r="I22" s="78">
        <v>9.7000000000000003E-2</v>
      </c>
      <c r="J22" s="78">
        <v>4.7E-2</v>
      </c>
      <c r="K22" s="78">
        <v>0.70099999999999996</v>
      </c>
      <c r="L22" s="78">
        <v>0.44400000000000001</v>
      </c>
      <c r="M22" s="78">
        <v>0.42899999999999999</v>
      </c>
      <c r="N22" s="78">
        <v>0.13100000000000001</v>
      </c>
      <c r="O22" s="78">
        <v>0.80900000000000005</v>
      </c>
      <c r="P22" s="78">
        <f>N:N+O:O</f>
        <v>0.94000000000000006</v>
      </c>
      <c r="Q22" s="80">
        <f t="shared" si="0"/>
        <v>1.340941512125535</v>
      </c>
      <c r="R22" s="80">
        <f t="shared" si="1"/>
        <v>0.61198288159771752</v>
      </c>
      <c r="S22" s="80">
        <f t="shared" si="2"/>
        <v>0.63338088445078466</v>
      </c>
      <c r="T22" s="80">
        <f t="shared" si="3"/>
        <v>6.1755725190839694</v>
      </c>
      <c r="U22" s="78">
        <v>0.29199999999999998</v>
      </c>
      <c r="V22" s="78">
        <f t="shared" si="7"/>
        <v>9.1027397260273979</v>
      </c>
      <c r="W22" s="78">
        <v>0.56200000000000006</v>
      </c>
      <c r="X22" s="78">
        <v>0.14799999999999999</v>
      </c>
      <c r="Y22" s="78">
        <f t="shared" si="5"/>
        <v>3.7972972972972978</v>
      </c>
      <c r="Z22" s="78">
        <v>0.373</v>
      </c>
      <c r="AA22" s="78">
        <v>0.497</v>
      </c>
      <c r="AB22" s="78">
        <f t="shared" si="20"/>
        <v>0.22977346278317148</v>
      </c>
      <c r="AC22" s="78">
        <v>1.006</v>
      </c>
      <c r="AD22" s="78">
        <f t="shared" si="21"/>
        <v>0.46509477577438735</v>
      </c>
      <c r="AE22" s="78">
        <v>0.113</v>
      </c>
      <c r="AF22" s="78">
        <f t="shared" si="8"/>
        <v>0.16119828815977177</v>
      </c>
      <c r="AG22" s="78">
        <f t="shared" si="9"/>
        <v>0.1202127659574468</v>
      </c>
      <c r="AH22" s="78">
        <f t="shared" si="22"/>
        <v>0.86259541984732824</v>
      </c>
      <c r="AI22" s="78">
        <v>8.5000000000000006E-2</v>
      </c>
      <c r="AJ22" s="78">
        <v>0.06</v>
      </c>
      <c r="AK22" s="78">
        <f t="shared" si="10"/>
        <v>1.4166666666666667</v>
      </c>
      <c r="AL22" s="78">
        <f t="shared" si="23"/>
        <v>0.75221238938053103</v>
      </c>
      <c r="AM22" s="78">
        <f t="shared" si="16"/>
        <v>0.64885496183206104</v>
      </c>
      <c r="AN22" s="78">
        <f t="shared" si="6"/>
        <v>0.12125534950071329</v>
      </c>
      <c r="AO22" s="78">
        <f t="shared" si="11"/>
        <v>0.38812785388127857</v>
      </c>
      <c r="AP22" s="78">
        <v>0.219</v>
      </c>
      <c r="AQ22" s="78">
        <v>8.1000000000000003E-2</v>
      </c>
      <c r="AR22" s="78">
        <f t="shared" si="4"/>
        <v>0.10124826629680997</v>
      </c>
      <c r="AS22" s="78">
        <f t="shared" si="12"/>
        <v>2.7037037037037037</v>
      </c>
      <c r="AT22" s="78">
        <f t="shared" si="17"/>
        <v>0.31241084165477889</v>
      </c>
      <c r="AU22" s="78">
        <v>0.105</v>
      </c>
      <c r="AV22" s="78">
        <v>0.11799999999999999</v>
      </c>
      <c r="AW22" s="78">
        <f t="shared" ref="AW22" si="27">AU22/AV22</f>
        <v>0.88983050847457623</v>
      </c>
      <c r="AX22" s="80">
        <f t="shared" si="13"/>
        <v>2.0857142857142859</v>
      </c>
      <c r="AY22" s="79" t="s">
        <v>75</v>
      </c>
      <c r="AZ22" s="137">
        <v>9</v>
      </c>
      <c r="BA22" s="79" t="s">
        <v>75</v>
      </c>
      <c r="BB22" s="79" t="s">
        <v>75</v>
      </c>
      <c r="BC22" s="81" t="s">
        <v>75</v>
      </c>
    </row>
    <row r="23" spans="2:55" s="5" customFormat="1" ht="12.75" customHeight="1" x14ac:dyDescent="0.2">
      <c r="B23" s="83">
        <v>26821</v>
      </c>
      <c r="C23" s="116" t="s">
        <v>167</v>
      </c>
      <c r="D23" s="109" t="s">
        <v>163</v>
      </c>
      <c r="E23" s="11" t="s">
        <v>185</v>
      </c>
      <c r="F23" s="72">
        <f>1.063+1.147</f>
        <v>2.21</v>
      </c>
      <c r="G23" s="82">
        <f>I23+J23+K23+L23+M23+N23+O23</f>
        <v>2.891</v>
      </c>
      <c r="H23" s="82">
        <f>G23/F23</f>
        <v>1.3081447963800905</v>
      </c>
      <c r="I23" s="72">
        <v>8.5000000000000006E-2</v>
      </c>
      <c r="J23" s="72">
        <v>5.7000000000000002E-2</v>
      </c>
      <c r="K23" s="72">
        <v>0.76100000000000001</v>
      </c>
      <c r="L23" s="72">
        <v>0.50900000000000001</v>
      </c>
      <c r="M23" s="72">
        <v>0.504</v>
      </c>
      <c r="N23" s="72">
        <v>0.13700000000000001</v>
      </c>
      <c r="O23" s="72">
        <v>0.83799999999999997</v>
      </c>
      <c r="P23" s="72">
        <f>N:N+O:O</f>
        <v>0.97499999999999998</v>
      </c>
      <c r="Q23" s="82">
        <f t="shared" si="0"/>
        <v>1.2812089356110381</v>
      </c>
      <c r="R23" s="82">
        <f t="shared" si="1"/>
        <v>0.6622864651773982</v>
      </c>
      <c r="S23" s="82">
        <f t="shared" si="2"/>
        <v>0.66885676741130096</v>
      </c>
      <c r="T23" s="82">
        <f t="shared" si="3"/>
        <v>6.1167883211678822</v>
      </c>
      <c r="U23" s="72">
        <v>0.30299999999999999</v>
      </c>
      <c r="V23" s="72">
        <f t="shared" si="7"/>
        <v>9.5412541254125411</v>
      </c>
      <c r="W23" s="72">
        <v>0.58299999999999996</v>
      </c>
      <c r="X23" s="72">
        <v>0.13700000000000001</v>
      </c>
      <c r="Y23" s="72">
        <f t="shared" si="5"/>
        <v>4.2554744525547443</v>
      </c>
      <c r="Z23" s="72">
        <v>0.375</v>
      </c>
      <c r="AA23" s="72">
        <v>0.54</v>
      </c>
      <c r="AB23" s="72">
        <f t="shared" si="20"/>
        <v>0.24434389140271495</v>
      </c>
      <c r="AC23" s="72">
        <v>1.0960000000000001</v>
      </c>
      <c r="AD23" s="72">
        <f t="shared" si="21"/>
        <v>0.49592760180995482</v>
      </c>
      <c r="AE23" s="72">
        <v>0.11600000000000001</v>
      </c>
      <c r="AF23" s="72">
        <f t="shared" si="8"/>
        <v>0.15243101182654403</v>
      </c>
      <c r="AG23" s="72">
        <f t="shared" si="9"/>
        <v>0.11897435897435898</v>
      </c>
      <c r="AH23" s="72">
        <f t="shared" si="22"/>
        <v>0.84671532846715325</v>
      </c>
      <c r="AI23" s="72">
        <v>8.5999999999999993E-2</v>
      </c>
      <c r="AJ23" s="72">
        <v>5.8000000000000003E-2</v>
      </c>
      <c r="AK23" s="72">
        <f t="shared" si="10"/>
        <v>1.482758620689655</v>
      </c>
      <c r="AL23" s="72">
        <f t="shared" si="23"/>
        <v>0.74137931034482751</v>
      </c>
      <c r="AM23" s="72">
        <f t="shared" si="16"/>
        <v>0.62773722627737216</v>
      </c>
      <c r="AN23" s="72">
        <f t="shared" si="6"/>
        <v>0.11300919842312745</v>
      </c>
      <c r="AO23" s="72">
        <f t="shared" si="11"/>
        <v>0.3690987124463519</v>
      </c>
      <c r="AP23" s="72">
        <v>0.23300000000000001</v>
      </c>
      <c r="AQ23" s="72">
        <v>0.08</v>
      </c>
      <c r="AR23" s="72">
        <f t="shared" si="4"/>
        <v>0.10542986425339368</v>
      </c>
      <c r="AS23" s="72">
        <f t="shared" si="12"/>
        <v>2.9125000000000001</v>
      </c>
      <c r="AT23" s="72">
        <f t="shared" si="17"/>
        <v>0.30617608409986863</v>
      </c>
      <c r="AU23" s="72">
        <v>0.10299999999999999</v>
      </c>
      <c r="AV23" s="72">
        <v>0.126</v>
      </c>
      <c r="AW23" s="72">
        <f t="shared" si="18"/>
        <v>0.81746031746031744</v>
      </c>
      <c r="AX23" s="82">
        <f t="shared" si="13"/>
        <v>2.2621359223300974</v>
      </c>
      <c r="AY23" s="136">
        <v>5</v>
      </c>
      <c r="AZ23" s="136">
        <v>10</v>
      </c>
      <c r="BA23" s="136">
        <v>5</v>
      </c>
      <c r="BB23" s="136">
        <v>7</v>
      </c>
      <c r="BC23" s="143">
        <v>6</v>
      </c>
    </row>
    <row r="24" spans="2:55" s="5" customFormat="1" ht="12.75" customHeight="1" x14ac:dyDescent="0.2">
      <c r="B24" s="69"/>
      <c r="C24" s="109"/>
      <c r="D24" s="109"/>
      <c r="E24" s="11"/>
      <c r="F24" s="72">
        <f>1.063+1.147</f>
        <v>2.21</v>
      </c>
      <c r="G24" s="110" t="s">
        <v>75</v>
      </c>
      <c r="H24" s="110" t="s">
        <v>75</v>
      </c>
      <c r="I24" s="72">
        <v>0.09</v>
      </c>
      <c r="J24" s="72">
        <v>5.3999999999999999E-2</v>
      </c>
      <c r="K24" s="72">
        <v>0.77300000000000002</v>
      </c>
      <c r="L24" s="72">
        <v>0.51700000000000002</v>
      </c>
      <c r="M24" s="72">
        <v>0.50600000000000001</v>
      </c>
      <c r="N24" s="110" t="s">
        <v>75</v>
      </c>
      <c r="O24" s="110" t="s">
        <v>75</v>
      </c>
      <c r="P24" s="110" t="s">
        <v>75</v>
      </c>
      <c r="Q24" s="110" t="s">
        <v>75</v>
      </c>
      <c r="R24" s="82">
        <f t="shared" si="1"/>
        <v>0.6545924967658473</v>
      </c>
      <c r="S24" s="82">
        <f t="shared" si="2"/>
        <v>0.66882276843467015</v>
      </c>
      <c r="T24" s="110" t="s">
        <v>75</v>
      </c>
      <c r="U24" s="72">
        <v>0.30299999999999999</v>
      </c>
      <c r="V24" s="110" t="s">
        <v>75</v>
      </c>
      <c r="W24" s="72">
        <v>0.58799999999999997</v>
      </c>
      <c r="X24" s="72">
        <v>0.129</v>
      </c>
      <c r="Y24" s="72">
        <f t="shared" si="5"/>
        <v>4.5581395348837201</v>
      </c>
      <c r="Z24" s="72">
        <v>0.38</v>
      </c>
      <c r="AA24" s="72">
        <v>0.52700000000000002</v>
      </c>
      <c r="AB24" s="72">
        <f t="shared" si="20"/>
        <v>0.23846153846153847</v>
      </c>
      <c r="AC24" s="72">
        <v>1.0680000000000001</v>
      </c>
      <c r="AD24" s="72">
        <f t="shared" si="21"/>
        <v>0.48325791855203626</v>
      </c>
      <c r="AE24" s="72">
        <v>0.121</v>
      </c>
      <c r="AF24" s="72">
        <f t="shared" si="8"/>
        <v>0.15653298835705046</v>
      </c>
      <c r="AG24" s="110" t="s">
        <v>75</v>
      </c>
      <c r="AH24" s="110" t="s">
        <v>75</v>
      </c>
      <c r="AI24" s="72">
        <v>8.5999999999999993E-2</v>
      </c>
      <c r="AJ24" s="72">
        <v>5.8000000000000003E-2</v>
      </c>
      <c r="AK24" s="72">
        <f t="shared" si="10"/>
        <v>1.482758620689655</v>
      </c>
      <c r="AL24" s="72">
        <f t="shared" si="23"/>
        <v>0.71074380165289253</v>
      </c>
      <c r="AM24" s="110" t="s">
        <v>75</v>
      </c>
      <c r="AN24" s="72">
        <f t="shared" si="6"/>
        <v>0.11125485122897799</v>
      </c>
      <c r="AO24" s="72">
        <f t="shared" si="11"/>
        <v>0.37885462555066074</v>
      </c>
      <c r="AP24" s="72">
        <v>0.22700000000000001</v>
      </c>
      <c r="AQ24" s="72">
        <v>8.3000000000000004E-2</v>
      </c>
      <c r="AR24" s="72">
        <f t="shared" si="4"/>
        <v>0.10271493212669684</v>
      </c>
      <c r="AS24" s="72">
        <f t="shared" si="12"/>
        <v>2.7349397590361444</v>
      </c>
      <c r="AT24" s="72">
        <f t="shared" si="17"/>
        <v>0.29366106080206988</v>
      </c>
      <c r="AU24" s="72">
        <v>0.10299999999999999</v>
      </c>
      <c r="AV24" s="72">
        <v>0.126</v>
      </c>
      <c r="AW24" s="72">
        <f t="shared" ref="AW24" si="28">AU24/AV24</f>
        <v>0.81746031746031744</v>
      </c>
      <c r="AX24" s="82">
        <f t="shared" si="13"/>
        <v>2.2038834951456314</v>
      </c>
      <c r="AY24" s="110" t="s">
        <v>75</v>
      </c>
      <c r="AZ24" s="136">
        <v>11</v>
      </c>
      <c r="BA24" s="110" t="s">
        <v>75</v>
      </c>
      <c r="BB24" s="110" t="s">
        <v>75</v>
      </c>
      <c r="BC24" s="111" t="s">
        <v>75</v>
      </c>
    </row>
    <row r="25" spans="2:55" s="5" customFormat="1" ht="12.75" customHeight="1" x14ac:dyDescent="0.2">
      <c r="B25" s="86">
        <v>26821</v>
      </c>
      <c r="C25" s="112" t="s">
        <v>167</v>
      </c>
      <c r="D25" s="113" t="s">
        <v>163</v>
      </c>
      <c r="E25" s="17" t="s">
        <v>185</v>
      </c>
      <c r="F25" s="78">
        <f>0.924+1.055</f>
        <v>1.9790000000000001</v>
      </c>
      <c r="G25" s="80">
        <f>I25+J25+K25+L25+M25+N25+O25</f>
        <v>2.6020000000000003</v>
      </c>
      <c r="H25" s="80">
        <f>G25/F25</f>
        <v>1.3148054573016676</v>
      </c>
      <c r="I25" s="78">
        <v>8.3000000000000004E-2</v>
      </c>
      <c r="J25" s="78">
        <v>0.05</v>
      </c>
      <c r="K25" s="78">
        <v>0.64700000000000002</v>
      </c>
      <c r="L25" s="78">
        <v>0.41699999999999998</v>
      </c>
      <c r="M25" s="78">
        <v>0.47</v>
      </c>
      <c r="N25" s="78">
        <v>0.11799999999999999</v>
      </c>
      <c r="O25" s="78">
        <f>0.419+0.398</f>
        <v>0.81699999999999995</v>
      </c>
      <c r="P25" s="78">
        <f>N:N+O:O</f>
        <v>0.93499999999999994</v>
      </c>
      <c r="Q25" s="80">
        <f t="shared" si="0"/>
        <v>1.445131375579598</v>
      </c>
      <c r="R25" s="80">
        <f t="shared" si="1"/>
        <v>0.72642967542503856</v>
      </c>
      <c r="S25" s="80">
        <f t="shared" si="2"/>
        <v>0.6445131375579598</v>
      </c>
      <c r="T25" s="80">
        <f t="shared" si="3"/>
        <v>6.9237288135593218</v>
      </c>
      <c r="U25" s="78">
        <v>0.27400000000000002</v>
      </c>
      <c r="V25" s="78">
        <f t="shared" si="7"/>
        <v>9.4963503649635044</v>
      </c>
      <c r="W25" s="78">
        <v>0.52600000000000002</v>
      </c>
      <c r="X25" s="78">
        <v>0.13200000000000001</v>
      </c>
      <c r="Y25" s="78">
        <f t="shared" si="5"/>
        <v>3.9848484848484849</v>
      </c>
      <c r="Z25" s="78">
        <v>0.33800000000000002</v>
      </c>
      <c r="AA25" s="79" t="s">
        <v>75</v>
      </c>
      <c r="AB25" s="79" t="s">
        <v>75</v>
      </c>
      <c r="AC25" s="79" t="s">
        <v>75</v>
      </c>
      <c r="AD25" s="79" t="s">
        <v>75</v>
      </c>
      <c r="AE25" s="79" t="s">
        <v>75</v>
      </c>
      <c r="AF25" s="79" t="s">
        <v>75</v>
      </c>
      <c r="AG25" s="79" t="s">
        <v>75</v>
      </c>
      <c r="AH25" s="79" t="s">
        <v>75</v>
      </c>
      <c r="AI25" s="78">
        <v>8.4000000000000005E-2</v>
      </c>
      <c r="AJ25" s="78">
        <v>5.3999999999999999E-2</v>
      </c>
      <c r="AK25" s="78">
        <f t="shared" si="10"/>
        <v>1.5555555555555556</v>
      </c>
      <c r="AL25" s="79" t="s">
        <v>75</v>
      </c>
      <c r="AM25" s="78">
        <f>AI25/N25</f>
        <v>0.71186440677966112</v>
      </c>
      <c r="AN25" s="78">
        <f t="shared" si="6"/>
        <v>0.12982998454404945</v>
      </c>
      <c r="AO25" s="78">
        <f t="shared" si="11"/>
        <v>0.41791044776119401</v>
      </c>
      <c r="AP25" s="78">
        <v>0.20100000000000001</v>
      </c>
      <c r="AQ25" s="78">
        <v>8.1000000000000003E-2</v>
      </c>
      <c r="AR25" s="78">
        <f t="shared" si="4"/>
        <v>0.10156644770085903</v>
      </c>
      <c r="AS25" s="78">
        <f t="shared" si="12"/>
        <v>2.4814814814814814</v>
      </c>
      <c r="AT25" s="78">
        <f t="shared" si="17"/>
        <v>0.31066460587326122</v>
      </c>
      <c r="AU25" s="78">
        <v>0.111</v>
      </c>
      <c r="AV25" s="78">
        <v>0.13600000000000001</v>
      </c>
      <c r="AW25" s="78">
        <f t="shared" si="18"/>
        <v>0.81617647058823528</v>
      </c>
      <c r="AX25" s="80">
        <f t="shared" si="13"/>
        <v>1.810810810810811</v>
      </c>
      <c r="AY25" s="137">
        <v>5</v>
      </c>
      <c r="AZ25" s="137">
        <v>9</v>
      </c>
      <c r="BA25" s="137">
        <v>5</v>
      </c>
      <c r="BB25" s="137">
        <v>8</v>
      </c>
      <c r="BC25" s="145">
        <v>7</v>
      </c>
    </row>
    <row r="26" spans="2:55" s="5" customFormat="1" ht="12.75" customHeight="1" x14ac:dyDescent="0.2">
      <c r="B26" s="75"/>
      <c r="C26" s="113"/>
      <c r="D26" s="113"/>
      <c r="E26" s="17"/>
      <c r="F26" s="78">
        <f>0.924+1.055</f>
        <v>1.9790000000000001</v>
      </c>
      <c r="G26" s="79" t="s">
        <v>75</v>
      </c>
      <c r="H26" s="79" t="s">
        <v>75</v>
      </c>
      <c r="I26" s="78">
        <v>0.08</v>
      </c>
      <c r="J26" s="78">
        <v>4.9000000000000002E-2</v>
      </c>
      <c r="K26" s="78">
        <v>0.70099999999999996</v>
      </c>
      <c r="L26" s="78">
        <v>0.40400000000000003</v>
      </c>
      <c r="M26" s="78">
        <v>0.50600000000000001</v>
      </c>
      <c r="N26" s="78">
        <v>0.13200000000000001</v>
      </c>
      <c r="O26" s="79" t="s">
        <v>75</v>
      </c>
      <c r="P26" s="79" t="s">
        <v>75</v>
      </c>
      <c r="Q26" s="79" t="s">
        <v>75</v>
      </c>
      <c r="R26" s="80">
        <f t="shared" si="1"/>
        <v>0.72182596291012846</v>
      </c>
      <c r="S26" s="80">
        <f t="shared" si="2"/>
        <v>0.5763195435092725</v>
      </c>
      <c r="T26" s="79" t="s">
        <v>75</v>
      </c>
      <c r="U26" s="78">
        <v>0.27400000000000002</v>
      </c>
      <c r="V26" s="79" t="s">
        <v>75</v>
      </c>
      <c r="W26" s="78">
        <v>0.501</v>
      </c>
      <c r="X26" s="78">
        <v>0.13</v>
      </c>
      <c r="Y26" s="78">
        <f t="shared" si="5"/>
        <v>3.8538461538461539</v>
      </c>
      <c r="Z26" s="78">
        <v>0.33400000000000002</v>
      </c>
      <c r="AA26" s="79" t="s">
        <v>75</v>
      </c>
      <c r="AB26" s="79" t="s">
        <v>75</v>
      </c>
      <c r="AC26" s="79" t="s">
        <v>75</v>
      </c>
      <c r="AD26" s="79" t="s">
        <v>75</v>
      </c>
      <c r="AE26" s="79" t="s">
        <v>75</v>
      </c>
      <c r="AF26" s="79" t="s">
        <v>75</v>
      </c>
      <c r="AG26" s="79" t="s">
        <v>75</v>
      </c>
      <c r="AH26" s="79" t="s">
        <v>75</v>
      </c>
      <c r="AI26" s="78">
        <v>8.4000000000000005E-2</v>
      </c>
      <c r="AJ26" s="78">
        <v>5.3999999999999999E-2</v>
      </c>
      <c r="AK26" s="78">
        <f t="shared" si="10"/>
        <v>1.5555555555555556</v>
      </c>
      <c r="AL26" s="79" t="s">
        <v>75</v>
      </c>
      <c r="AM26" s="78">
        <f>AI26/N26</f>
        <v>0.63636363636363635</v>
      </c>
      <c r="AN26" s="78">
        <f t="shared" si="6"/>
        <v>0.11982881597717548</v>
      </c>
      <c r="AO26" s="78">
        <f t="shared" si="11"/>
        <v>0.40384615384615391</v>
      </c>
      <c r="AP26" s="78">
        <v>0.20799999999999999</v>
      </c>
      <c r="AQ26" s="78">
        <v>7.6999999999999999E-2</v>
      </c>
      <c r="AR26" s="78">
        <f t="shared" si="4"/>
        <v>0.10510358767054066</v>
      </c>
      <c r="AS26" s="78">
        <f t="shared" si="12"/>
        <v>2.7012987012987013</v>
      </c>
      <c r="AT26" s="78">
        <f t="shared" si="17"/>
        <v>0.29671897289586308</v>
      </c>
      <c r="AU26" s="78">
        <v>0.111</v>
      </c>
      <c r="AV26" s="78">
        <v>0.13600000000000001</v>
      </c>
      <c r="AW26" s="78">
        <f t="shared" ref="AW26" si="29">AU26/AV26</f>
        <v>0.81617647058823528</v>
      </c>
      <c r="AX26" s="80">
        <f t="shared" si="13"/>
        <v>1.8738738738738738</v>
      </c>
      <c r="AY26" s="79" t="s">
        <v>75</v>
      </c>
      <c r="AZ26" s="137">
        <v>10</v>
      </c>
      <c r="BA26" s="79" t="s">
        <v>75</v>
      </c>
      <c r="BB26" s="79" t="s">
        <v>75</v>
      </c>
      <c r="BC26" s="81" t="s">
        <v>75</v>
      </c>
    </row>
    <row r="27" spans="2:55" s="5" customFormat="1" ht="12.75" customHeight="1" x14ac:dyDescent="0.2">
      <c r="B27" s="83">
        <v>26821</v>
      </c>
      <c r="C27" s="116" t="s">
        <v>167</v>
      </c>
      <c r="D27" s="109" t="s">
        <v>163</v>
      </c>
      <c r="E27" s="11" t="s">
        <v>185</v>
      </c>
      <c r="F27" s="72">
        <f>0.909+1.005</f>
        <v>1.9139999999999999</v>
      </c>
      <c r="G27" s="82">
        <f>I27+J27+K27+L27+M27+N27+O27</f>
        <v>2.4410000000000003</v>
      </c>
      <c r="H27" s="82">
        <f>G27/F27</f>
        <v>1.2753396029258099</v>
      </c>
      <c r="I27" s="72">
        <v>0.08</v>
      </c>
      <c r="J27" s="72">
        <v>5.6000000000000001E-2</v>
      </c>
      <c r="K27" s="72">
        <v>0.64700000000000002</v>
      </c>
      <c r="L27" s="72">
        <v>0.377</v>
      </c>
      <c r="M27" s="72">
        <v>0.437</v>
      </c>
      <c r="N27" s="72">
        <v>0.13700000000000001</v>
      </c>
      <c r="O27" s="72">
        <v>0.70699999999999996</v>
      </c>
      <c r="P27" s="72">
        <f>N:N+O:O</f>
        <v>0.84399999999999997</v>
      </c>
      <c r="Q27" s="82">
        <f t="shared" si="0"/>
        <v>1.3044822256568778</v>
      </c>
      <c r="R27" s="82">
        <f t="shared" si="1"/>
        <v>0.67542503863987635</v>
      </c>
      <c r="S27" s="82">
        <f t="shared" si="2"/>
        <v>0.58268933539412671</v>
      </c>
      <c r="T27" s="82">
        <f t="shared" si="3"/>
        <v>5.1605839416058386</v>
      </c>
      <c r="U27" s="72">
        <v>0.28699999999999998</v>
      </c>
      <c r="V27" s="72">
        <f t="shared" si="7"/>
        <v>8.5052264808362388</v>
      </c>
      <c r="W27" s="72">
        <v>0.51100000000000001</v>
      </c>
      <c r="X27" s="72">
        <v>0.114</v>
      </c>
      <c r="Y27" s="72">
        <f t="shared" si="5"/>
        <v>4.4824561403508767</v>
      </c>
      <c r="Z27" s="72">
        <v>0.32</v>
      </c>
      <c r="AA27" s="72">
        <v>0.434</v>
      </c>
      <c r="AB27" s="72">
        <f>AA27/F27</f>
        <v>0.22675026123301986</v>
      </c>
      <c r="AC27" s="72">
        <v>0.874</v>
      </c>
      <c r="AD27" s="72">
        <f>AC27/F27</f>
        <v>0.45663531870428425</v>
      </c>
      <c r="AE27" s="72">
        <v>0.115</v>
      </c>
      <c r="AF27" s="72">
        <f t="shared" si="8"/>
        <v>0.1777434312210201</v>
      </c>
      <c r="AG27" s="72">
        <f t="shared" si="9"/>
        <v>0.13625592417061613</v>
      </c>
      <c r="AH27" s="72">
        <f>AE27/N27</f>
        <v>0.83941605839416056</v>
      </c>
      <c r="AI27" s="72">
        <v>8.5000000000000006E-2</v>
      </c>
      <c r="AJ27" s="72">
        <v>0.05</v>
      </c>
      <c r="AK27" s="72">
        <f t="shared" si="10"/>
        <v>1.7</v>
      </c>
      <c r="AL27" s="72">
        <f>AI27/AE27</f>
        <v>0.73913043478260876</v>
      </c>
      <c r="AM27" s="72">
        <f>AI27/N27</f>
        <v>0.62043795620437958</v>
      </c>
      <c r="AN27" s="72">
        <f t="shared" si="6"/>
        <v>0.1313755795981453</v>
      </c>
      <c r="AO27" s="72">
        <f t="shared" si="11"/>
        <v>0.44270833333333337</v>
      </c>
      <c r="AP27" s="72">
        <v>0.192</v>
      </c>
      <c r="AQ27" s="72">
        <v>7.2999999999999995E-2</v>
      </c>
      <c r="AR27" s="72">
        <f t="shared" si="4"/>
        <v>0.10031347962382446</v>
      </c>
      <c r="AS27" s="72">
        <f t="shared" si="12"/>
        <v>2.6301369863013702</v>
      </c>
      <c r="AT27" s="72">
        <f t="shared" si="17"/>
        <v>0.29675425038639874</v>
      </c>
      <c r="AU27" s="72">
        <v>0.13700000000000001</v>
      </c>
      <c r="AV27" s="72">
        <v>0.11899999999999999</v>
      </c>
      <c r="AW27" s="72">
        <f t="shared" si="18"/>
        <v>1.1512605042016808</v>
      </c>
      <c r="AX27" s="82">
        <f t="shared" si="13"/>
        <v>1.4014598540145984</v>
      </c>
      <c r="AY27" s="136">
        <v>4</v>
      </c>
      <c r="AZ27" s="136">
        <v>10</v>
      </c>
      <c r="BA27" s="136">
        <v>6</v>
      </c>
      <c r="BB27" s="136">
        <v>8</v>
      </c>
      <c r="BC27" s="143">
        <v>7</v>
      </c>
    </row>
    <row r="28" spans="2:55" s="5" customFormat="1" ht="12.75" customHeight="1" x14ac:dyDescent="0.25">
      <c r="B28" s="119"/>
      <c r="C28" s="120"/>
      <c r="D28" s="120"/>
      <c r="E28" s="120"/>
      <c r="F28" s="121">
        <f>0.909+1.005</f>
        <v>1.9139999999999999</v>
      </c>
      <c r="G28" s="122">
        <f>I28+J28+K28+L28+M28+N28+O28</f>
        <v>2.46</v>
      </c>
      <c r="H28" s="122">
        <f>G28/F28</f>
        <v>1.2852664576802508</v>
      </c>
      <c r="I28" s="121">
        <v>8.7999999999999995E-2</v>
      </c>
      <c r="J28" s="121">
        <v>5.2999999999999999E-2</v>
      </c>
      <c r="K28" s="121">
        <v>0.61399999999999999</v>
      </c>
      <c r="L28" s="121">
        <v>0.39100000000000001</v>
      </c>
      <c r="M28" s="121">
        <v>0.38800000000000001</v>
      </c>
      <c r="N28" s="121">
        <v>0.11899999999999999</v>
      </c>
      <c r="O28" s="121">
        <v>0.80700000000000005</v>
      </c>
      <c r="P28" s="121">
        <f>N:N+O:O</f>
        <v>0.92600000000000005</v>
      </c>
      <c r="Q28" s="122">
        <f t="shared" si="0"/>
        <v>1.50814332247557</v>
      </c>
      <c r="R28" s="122">
        <f t="shared" si="1"/>
        <v>0.63192182410423459</v>
      </c>
      <c r="S28" s="122">
        <f t="shared" si="2"/>
        <v>0.63680781758957661</v>
      </c>
      <c r="T28" s="122">
        <f t="shared" si="3"/>
        <v>6.7815126050420176</v>
      </c>
      <c r="U28" s="121">
        <v>0.28699999999999998</v>
      </c>
      <c r="V28" s="121">
        <f t="shared" si="7"/>
        <v>8.5714285714285712</v>
      </c>
      <c r="W28" s="121">
        <v>0.502</v>
      </c>
      <c r="X28" s="121">
        <v>0.112</v>
      </c>
      <c r="Y28" s="121">
        <f t="shared" si="5"/>
        <v>4.4821428571428568</v>
      </c>
      <c r="Z28" s="121">
        <v>0.32400000000000001</v>
      </c>
      <c r="AA28" s="121">
        <v>0.432</v>
      </c>
      <c r="AB28" s="121">
        <f>AA28/F28</f>
        <v>0.22570532915360503</v>
      </c>
      <c r="AC28" s="121">
        <v>0.90600000000000003</v>
      </c>
      <c r="AD28" s="121">
        <f>AC28/F28</f>
        <v>0.47335423197492166</v>
      </c>
      <c r="AE28" s="121">
        <v>0.113</v>
      </c>
      <c r="AF28" s="121">
        <f t="shared" si="8"/>
        <v>0.18403908794788273</v>
      </c>
      <c r="AG28" s="121">
        <f t="shared" si="9"/>
        <v>0.12203023758099352</v>
      </c>
      <c r="AH28" s="121">
        <f>AE28/N28</f>
        <v>0.94957983193277318</v>
      </c>
      <c r="AI28" s="121">
        <v>8.5000000000000006E-2</v>
      </c>
      <c r="AJ28" s="121">
        <v>0.05</v>
      </c>
      <c r="AK28" s="121">
        <f t="shared" si="10"/>
        <v>1.7</v>
      </c>
      <c r="AL28" s="121">
        <f>AI28/AE28</f>
        <v>0.75221238938053103</v>
      </c>
      <c r="AM28" s="121">
        <f>AI28/N28</f>
        <v>0.71428571428571441</v>
      </c>
      <c r="AN28" s="121">
        <f t="shared" si="6"/>
        <v>0.13843648208469056</v>
      </c>
      <c r="AO28" s="121">
        <f t="shared" si="11"/>
        <v>0.39170506912442399</v>
      </c>
      <c r="AP28" s="121">
        <v>0.217</v>
      </c>
      <c r="AQ28" s="121">
        <v>7.4999999999999997E-2</v>
      </c>
      <c r="AR28" s="121">
        <f t="shared" si="4"/>
        <v>0.11337513061650993</v>
      </c>
      <c r="AS28" s="121">
        <f t="shared" si="12"/>
        <v>2.8933333333333335</v>
      </c>
      <c r="AT28" s="121">
        <f t="shared" si="17"/>
        <v>0.3534201954397394</v>
      </c>
      <c r="AU28" s="121">
        <v>0.13700000000000001</v>
      </c>
      <c r="AV28" s="121">
        <v>0.11899999999999999</v>
      </c>
      <c r="AW28" s="121">
        <f t="shared" ref="AW28" si="30">AU28/AV28</f>
        <v>1.1512605042016808</v>
      </c>
      <c r="AX28" s="122">
        <f t="shared" si="13"/>
        <v>1.583941605839416</v>
      </c>
      <c r="AY28" s="123" t="s">
        <v>75</v>
      </c>
      <c r="AZ28" s="144">
        <v>12</v>
      </c>
      <c r="BA28" s="123" t="s">
        <v>75</v>
      </c>
      <c r="BB28" s="123" t="s">
        <v>75</v>
      </c>
      <c r="BC28" s="124" t="s">
        <v>75</v>
      </c>
    </row>
    <row r="29" spans="2:55" s="5" customFormat="1" ht="12.75" customHeight="1" x14ac:dyDescent="0.2">
      <c r="C29" s="46"/>
      <c r="D29" s="2"/>
      <c r="E29" s="58" t="s">
        <v>22</v>
      </c>
      <c r="F29" s="8">
        <f>MIN(F3:F28)</f>
        <v>1.3740000000000001</v>
      </c>
      <c r="G29" s="8">
        <f t="shared" ref="G29:BC29" si="31">MIN(G3:G28)</f>
        <v>1.7730000000000001</v>
      </c>
      <c r="H29" s="8">
        <f t="shared" si="31"/>
        <v>1.2288488210818307</v>
      </c>
      <c r="I29" s="8">
        <f t="shared" si="31"/>
        <v>6.8000000000000005E-2</v>
      </c>
      <c r="J29" s="8">
        <f t="shared" si="31"/>
        <v>4.2999999999999997E-2</v>
      </c>
      <c r="K29" s="8">
        <f t="shared" si="31"/>
        <v>0.52800000000000002</v>
      </c>
      <c r="L29" s="8">
        <f t="shared" si="31"/>
        <v>0.32400000000000001</v>
      </c>
      <c r="M29" s="8">
        <f t="shared" si="31"/>
        <v>0.32100000000000001</v>
      </c>
      <c r="N29" s="8">
        <f t="shared" si="31"/>
        <v>7.8E-2</v>
      </c>
      <c r="O29" s="8">
        <f t="shared" si="31"/>
        <v>0.34499999999999997</v>
      </c>
      <c r="P29" s="8">
        <f t="shared" si="31"/>
        <v>0.44399999999999995</v>
      </c>
      <c r="Q29" s="8">
        <f t="shared" si="31"/>
        <v>0.8136363636363636</v>
      </c>
      <c r="R29" s="8">
        <f t="shared" si="31"/>
        <v>0.5</v>
      </c>
      <c r="S29" s="8">
        <f t="shared" si="31"/>
        <v>0.54545454545454541</v>
      </c>
      <c r="T29" s="8">
        <f t="shared" si="31"/>
        <v>3.4848484848484844</v>
      </c>
      <c r="U29" s="8">
        <f t="shared" si="31"/>
        <v>0.21</v>
      </c>
      <c r="V29" s="8">
        <f t="shared" ref="V29" si="32">MIN(V3:V28)</f>
        <v>8.1923076923076916</v>
      </c>
      <c r="W29" s="8">
        <f t="shared" si="31"/>
        <v>0.33800000000000002</v>
      </c>
      <c r="X29" s="8">
        <f t="shared" si="31"/>
        <v>8.5000000000000006E-2</v>
      </c>
      <c r="Y29" s="8">
        <f t="shared" si="31"/>
        <v>3.0769230769230771</v>
      </c>
      <c r="Z29" s="8">
        <f t="shared" si="31"/>
        <v>0.25600000000000001</v>
      </c>
      <c r="AA29" s="8">
        <f t="shared" si="31"/>
        <v>0.308</v>
      </c>
      <c r="AB29" s="8">
        <f t="shared" si="31"/>
        <v>0.21569802276812461</v>
      </c>
      <c r="AC29" s="8">
        <f t="shared" si="31"/>
        <v>0.65300000000000002</v>
      </c>
      <c r="AD29" s="8">
        <f t="shared" si="31"/>
        <v>0.45663531870428425</v>
      </c>
      <c r="AE29" s="8">
        <f t="shared" si="31"/>
        <v>7.1999999999999995E-2</v>
      </c>
      <c r="AF29" s="8">
        <f t="shared" si="31"/>
        <v>0.10909090909090907</v>
      </c>
      <c r="AG29" s="8">
        <f t="shared" si="31"/>
        <v>0.10169491525423728</v>
      </c>
      <c r="AH29" s="8">
        <f t="shared" si="31"/>
        <v>0.81560283687943269</v>
      </c>
      <c r="AI29" s="8">
        <f t="shared" si="31"/>
        <v>7.2999999999999995E-2</v>
      </c>
      <c r="AJ29" s="8">
        <f t="shared" si="31"/>
        <v>4.8000000000000001E-2</v>
      </c>
      <c r="AK29" s="8">
        <f t="shared" si="31"/>
        <v>1.2586206896551724</v>
      </c>
      <c r="AL29" s="8">
        <f t="shared" si="31"/>
        <v>0.69421487603305787</v>
      </c>
      <c r="AM29" s="8">
        <f t="shared" si="31"/>
        <v>0.56737588652482274</v>
      </c>
      <c r="AN29" s="8">
        <f t="shared" si="31"/>
        <v>0.10335917312661498</v>
      </c>
      <c r="AO29" s="8">
        <f t="shared" si="31"/>
        <v>0.33195020746887971</v>
      </c>
      <c r="AP29" s="8">
        <f t="shared" si="31"/>
        <v>0.13200000000000001</v>
      </c>
      <c r="AQ29" s="8">
        <f t="shared" si="31"/>
        <v>3.4000000000000002E-2</v>
      </c>
      <c r="AR29" s="8">
        <f t="shared" si="31"/>
        <v>8.3882564409826249E-2</v>
      </c>
      <c r="AS29" s="8">
        <f t="shared" si="31"/>
        <v>1.9178082191780825</v>
      </c>
      <c r="AT29" s="8">
        <f t="shared" si="31"/>
        <v>0.21212121212121213</v>
      </c>
      <c r="AU29" s="8">
        <f t="shared" si="31"/>
        <v>9.1999999999999998E-2</v>
      </c>
      <c r="AV29" s="8">
        <f t="shared" si="31"/>
        <v>9.7000000000000003E-2</v>
      </c>
      <c r="AW29" s="8">
        <f t="shared" si="31"/>
        <v>0.81415929203539816</v>
      </c>
      <c r="AX29" s="8">
        <f t="shared" si="31"/>
        <v>1.1666666666666667</v>
      </c>
      <c r="AY29" s="9">
        <f t="shared" si="31"/>
        <v>4</v>
      </c>
      <c r="AZ29" s="9">
        <f t="shared" ref="AZ29" si="33">MIN(AZ3:AZ28)</f>
        <v>5</v>
      </c>
      <c r="BA29" s="9">
        <f t="shared" ref="BA29" si="34">MIN(BA3:BA28)</f>
        <v>4</v>
      </c>
      <c r="BB29" s="9">
        <f t="shared" si="31"/>
        <v>5</v>
      </c>
      <c r="BC29" s="9">
        <f t="shared" si="31"/>
        <v>6</v>
      </c>
    </row>
    <row r="30" spans="2:55" s="5" customFormat="1" ht="12.75" customHeight="1" x14ac:dyDescent="0.2">
      <c r="C30" s="46"/>
      <c r="D30" s="2"/>
      <c r="E30" s="58" t="s">
        <v>23</v>
      </c>
      <c r="F30" s="8">
        <f>MAX(F3:F28)</f>
        <v>2.21</v>
      </c>
      <c r="G30" s="8">
        <f t="shared" ref="G30:BC30" si="35">MAX(G3:G28)</f>
        <v>2.944</v>
      </c>
      <c r="H30" s="8">
        <f t="shared" si="35"/>
        <v>1.465405674464908</v>
      </c>
      <c r="I30" s="8">
        <f t="shared" si="35"/>
        <v>9.8000000000000004E-2</v>
      </c>
      <c r="J30" s="8">
        <f t="shared" si="35"/>
        <v>5.7000000000000002E-2</v>
      </c>
      <c r="K30" s="8">
        <f t="shared" si="35"/>
        <v>0.77400000000000002</v>
      </c>
      <c r="L30" s="8">
        <f t="shared" si="35"/>
        <v>0.51700000000000002</v>
      </c>
      <c r="M30" s="8">
        <f t="shared" si="35"/>
        <v>0.53300000000000003</v>
      </c>
      <c r="N30" s="8">
        <f t="shared" si="35"/>
        <v>0.14099999999999999</v>
      </c>
      <c r="O30" s="8">
        <f t="shared" si="35"/>
        <v>0.89900000000000002</v>
      </c>
      <c r="P30" s="8">
        <f t="shared" si="35"/>
        <v>1.0329999999999999</v>
      </c>
      <c r="Q30" s="8">
        <f t="shared" si="35"/>
        <v>1.50814332247557</v>
      </c>
      <c r="R30" s="8">
        <f t="shared" si="35"/>
        <v>0.74545454545454548</v>
      </c>
      <c r="S30" s="8">
        <f t="shared" si="35"/>
        <v>0.72027972027972031</v>
      </c>
      <c r="T30" s="8">
        <f t="shared" si="35"/>
        <v>8.0769230769230766</v>
      </c>
      <c r="U30" s="8">
        <f t="shared" si="35"/>
        <v>0.30599999999999999</v>
      </c>
      <c r="V30" s="8">
        <f t="shared" ref="V30" si="36">MAX(V3:V28)</f>
        <v>10.793893129770991</v>
      </c>
      <c r="W30" s="8">
        <f t="shared" si="35"/>
        <v>0.58799999999999997</v>
      </c>
      <c r="X30" s="8">
        <f t="shared" si="35"/>
        <v>0.14799999999999999</v>
      </c>
      <c r="Y30" s="8">
        <f t="shared" si="35"/>
        <v>5.5142857142857142</v>
      </c>
      <c r="Z30" s="8">
        <f t="shared" si="35"/>
        <v>0.38400000000000001</v>
      </c>
      <c r="AA30" s="8">
        <f t="shared" si="35"/>
        <v>0.54</v>
      </c>
      <c r="AB30" s="8">
        <f t="shared" si="35"/>
        <v>0.25435540069686413</v>
      </c>
      <c r="AC30" s="8">
        <f t="shared" si="35"/>
        <v>1.097</v>
      </c>
      <c r="AD30" s="8">
        <f t="shared" si="35"/>
        <v>0.54075691411935944</v>
      </c>
      <c r="AE30" s="8">
        <f t="shared" si="35"/>
        <v>0.121</v>
      </c>
      <c r="AF30" s="8">
        <f t="shared" si="35"/>
        <v>0.18403908794788273</v>
      </c>
      <c r="AG30" s="8">
        <f t="shared" si="35"/>
        <v>0.17791411042944785</v>
      </c>
      <c r="AH30" s="8">
        <f t="shared" si="35"/>
        <v>1</v>
      </c>
      <c r="AI30" s="8">
        <f t="shared" si="35"/>
        <v>8.8999999999999996E-2</v>
      </c>
      <c r="AJ30" s="8">
        <f t="shared" si="35"/>
        <v>0.06</v>
      </c>
      <c r="AK30" s="8">
        <f t="shared" si="35"/>
        <v>1.7916666666666665</v>
      </c>
      <c r="AL30" s="8">
        <f t="shared" si="35"/>
        <v>1.0416666666666667</v>
      </c>
      <c r="AM30" s="8">
        <f t="shared" si="35"/>
        <v>0.96153846153846145</v>
      </c>
      <c r="AN30" s="8">
        <f t="shared" si="35"/>
        <v>0.13843648208469056</v>
      </c>
      <c r="AO30" s="8">
        <f t="shared" si="35"/>
        <v>0.5357142857142857</v>
      </c>
      <c r="AP30" s="8">
        <f t="shared" si="35"/>
        <v>0.24099999999999999</v>
      </c>
      <c r="AQ30" s="8">
        <f t="shared" si="35"/>
        <v>8.5999999999999993E-2</v>
      </c>
      <c r="AR30" s="8">
        <f t="shared" si="35"/>
        <v>0.11665053242981607</v>
      </c>
      <c r="AS30" s="8">
        <f t="shared" si="35"/>
        <v>5</v>
      </c>
      <c r="AT30" s="8">
        <f t="shared" si="35"/>
        <v>0.3534201954397394</v>
      </c>
      <c r="AU30" s="8">
        <f t="shared" si="35"/>
        <v>0.13700000000000001</v>
      </c>
      <c r="AV30" s="8">
        <f t="shared" si="35"/>
        <v>0.13600000000000001</v>
      </c>
      <c r="AW30" s="8">
        <f t="shared" si="35"/>
        <v>1.2371134020618555</v>
      </c>
      <c r="AX30" s="8">
        <f t="shared" si="35"/>
        <v>2.6195652173913042</v>
      </c>
      <c r="AY30" s="9">
        <f t="shared" si="35"/>
        <v>5</v>
      </c>
      <c r="AZ30" s="9">
        <f t="shared" ref="AZ30:BA30" si="37">MAX(AZ3:AZ28)</f>
        <v>13</v>
      </c>
      <c r="BA30" s="9">
        <f t="shared" si="37"/>
        <v>7</v>
      </c>
      <c r="BB30" s="9">
        <f t="shared" si="35"/>
        <v>8</v>
      </c>
      <c r="BC30" s="9">
        <f t="shared" si="35"/>
        <v>8</v>
      </c>
    </row>
    <row r="31" spans="2:55" ht="12.75" customHeight="1" x14ac:dyDescent="0.2"/>
    <row r="32" spans="2:55" ht="12.75" customHeight="1" x14ac:dyDescent="0.2"/>
    <row r="33" spans="5:5" ht="12.75" customHeight="1" x14ac:dyDescent="0.2"/>
    <row r="34" spans="5:5" x14ac:dyDescent="0.25">
      <c r="E34" s="46"/>
    </row>
    <row r="35" spans="5:5" x14ac:dyDescent="0.25">
      <c r="E35" s="46"/>
    </row>
    <row r="36" spans="5:5" x14ac:dyDescent="0.25">
      <c r="E36" s="46"/>
    </row>
    <row r="37" spans="5:5" x14ac:dyDescent="0.25">
      <c r="E37" s="46"/>
    </row>
    <row r="38" spans="5:5" x14ac:dyDescent="0.25">
      <c r="E38" s="46"/>
    </row>
    <row r="39" spans="5:5" x14ac:dyDescent="0.25">
      <c r="E39" s="46"/>
    </row>
    <row r="40" spans="5:5" x14ac:dyDescent="0.25">
      <c r="E40" s="46"/>
    </row>
    <row r="41" spans="5:5" x14ac:dyDescent="0.25">
      <c r="E41" s="46"/>
    </row>
    <row r="42" spans="5:5" x14ac:dyDescent="0.25">
      <c r="E42" s="46"/>
    </row>
    <row r="43" spans="5:5" x14ac:dyDescent="0.25">
      <c r="E43" s="46"/>
    </row>
    <row r="44" spans="5:5" x14ac:dyDescent="0.25">
      <c r="E44" s="46"/>
    </row>
    <row r="45" spans="5:5" x14ac:dyDescent="0.25">
      <c r="E45" s="46"/>
    </row>
    <row r="46" spans="5:5" x14ac:dyDescent="0.25">
      <c r="E46" s="46"/>
    </row>
    <row r="47" spans="5:5" x14ac:dyDescent="0.25">
      <c r="E47" s="46"/>
    </row>
    <row r="48" spans="5:5" x14ac:dyDescent="0.25">
      <c r="E48" s="46"/>
    </row>
    <row r="49" spans="5:5" x14ac:dyDescent="0.25">
      <c r="E49" s="46"/>
    </row>
    <row r="50" spans="5:5" x14ac:dyDescent="0.25">
      <c r="E50" s="46"/>
    </row>
    <row r="51" spans="5:5" x14ac:dyDescent="0.25">
      <c r="E51" s="46"/>
    </row>
    <row r="52" spans="5:5" x14ac:dyDescent="0.25">
      <c r="E52" s="46"/>
    </row>
    <row r="53" spans="5:5" x14ac:dyDescent="0.25">
      <c r="E53" s="46"/>
    </row>
    <row r="54" spans="5:5" x14ac:dyDescent="0.25">
      <c r="E54" s="46"/>
    </row>
    <row r="55" spans="5:5" x14ac:dyDescent="0.25">
      <c r="E55" s="46"/>
    </row>
    <row r="56" spans="5:5" x14ac:dyDescent="0.25">
      <c r="E56" s="46"/>
    </row>
    <row r="57" spans="5:5" x14ac:dyDescent="0.25">
      <c r="E57" s="46"/>
    </row>
    <row r="58" spans="5:5" x14ac:dyDescent="0.25">
      <c r="E58" s="46"/>
    </row>
    <row r="59" spans="5:5" x14ac:dyDescent="0.25">
      <c r="E59" s="46"/>
    </row>
    <row r="60" spans="5:5" x14ac:dyDescent="0.25">
      <c r="E60" s="46"/>
    </row>
    <row r="61" spans="5:5" x14ac:dyDescent="0.25">
      <c r="E61" s="46"/>
    </row>
    <row r="62" spans="5:5" x14ac:dyDescent="0.25">
      <c r="E62" s="46"/>
    </row>
    <row r="63" spans="5:5" x14ac:dyDescent="0.25">
      <c r="E63" s="46"/>
    </row>
    <row r="64" spans="5:5" x14ac:dyDescent="0.25">
      <c r="E64" s="46"/>
    </row>
    <row r="65" spans="5:5" x14ac:dyDescent="0.25">
      <c r="E65" s="46"/>
    </row>
    <row r="66" spans="5:5" x14ac:dyDescent="0.25">
      <c r="E66" s="46"/>
    </row>
    <row r="67" spans="5:5" x14ac:dyDescent="0.25">
      <c r="E67" s="46"/>
    </row>
    <row r="68" spans="5:5" x14ac:dyDescent="0.25">
      <c r="E68" s="46"/>
    </row>
    <row r="69" spans="5:5" x14ac:dyDescent="0.25">
      <c r="E69" s="46"/>
    </row>
    <row r="70" spans="5:5" x14ac:dyDescent="0.25">
      <c r="E70" s="46"/>
    </row>
    <row r="71" spans="5:5" x14ac:dyDescent="0.25">
      <c r="E71" s="46"/>
    </row>
    <row r="72" spans="5:5" x14ac:dyDescent="0.25">
      <c r="E72" s="46"/>
    </row>
    <row r="73" spans="5:5" x14ac:dyDescent="0.25">
      <c r="E73" s="46"/>
    </row>
    <row r="74" spans="5:5" x14ac:dyDescent="0.25">
      <c r="E74" s="46"/>
    </row>
    <row r="75" spans="5:5" x14ac:dyDescent="0.25">
      <c r="E75" s="46"/>
    </row>
    <row r="76" spans="5:5" x14ac:dyDescent="0.25">
      <c r="E76" s="46"/>
    </row>
    <row r="77" spans="5:5" x14ac:dyDescent="0.25">
      <c r="E77" s="46"/>
    </row>
    <row r="78" spans="5:5" x14ac:dyDescent="0.25">
      <c r="E78" s="4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BC27"/>
  <sheetViews>
    <sheetView zoomScaleNormal="100" workbookViewId="0"/>
  </sheetViews>
  <sheetFormatPr defaultColWidth="9.140625" defaultRowHeight="12.75" x14ac:dyDescent="0.25"/>
  <cols>
    <col min="1" max="1" width="1.7109375" style="5" customWidth="1"/>
    <col min="2" max="4" width="18.7109375" style="5" customWidth="1"/>
    <col min="5" max="5" width="36.7109375" style="5" customWidth="1"/>
    <col min="6" max="52" width="8.7109375" style="5" customWidth="1"/>
    <col min="53" max="55" width="10.7109375" style="5" customWidth="1"/>
    <col min="56" max="16384" width="9.140625" style="5"/>
  </cols>
  <sheetData>
    <row r="1" spans="2:55" ht="12" customHeight="1" x14ac:dyDescent="0.25">
      <c r="AN1" s="96"/>
    </row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5">
      <c r="B3" s="61">
        <v>22143</v>
      </c>
      <c r="C3" s="107" t="s">
        <v>166</v>
      </c>
      <c r="D3" s="108" t="s">
        <v>142</v>
      </c>
      <c r="E3" s="166" t="s">
        <v>200</v>
      </c>
      <c r="F3" s="149">
        <v>1.486</v>
      </c>
      <c r="G3" s="65">
        <f>I3+J3+K3+L3+M3+N3+O3</f>
        <v>3.2349999999999999</v>
      </c>
      <c r="H3" s="65">
        <f>G3/F3</f>
        <v>2.1769851951547778</v>
      </c>
      <c r="I3" s="64">
        <v>8.6999999999999994E-2</v>
      </c>
      <c r="J3" s="64">
        <v>4.2000000000000003E-2</v>
      </c>
      <c r="K3" s="64">
        <v>0.86</v>
      </c>
      <c r="L3" s="64">
        <v>0.67700000000000005</v>
      </c>
      <c r="M3" s="64">
        <v>0.71199999999999997</v>
      </c>
      <c r="N3" s="64">
        <v>0.13</v>
      </c>
      <c r="O3" s="64">
        <v>0.72699999999999998</v>
      </c>
      <c r="P3" s="64">
        <f t="shared" ref="P3:P10" si="0">N3+O3</f>
        <v>0.85699999999999998</v>
      </c>
      <c r="Q3" s="65">
        <f t="shared" ref="Q3:Q10" si="1">(N3+O3)/K3</f>
        <v>0.99651162790697678</v>
      </c>
      <c r="R3" s="65">
        <f t="shared" ref="R3:R10" si="2">M3/K3</f>
        <v>0.82790697674418601</v>
      </c>
      <c r="S3" s="65">
        <f t="shared" ref="S3:S10" si="3">L3/K3</f>
        <v>0.78720930232558151</v>
      </c>
      <c r="T3" s="65">
        <f t="shared" ref="T3:T10" si="4">O3/N3</f>
        <v>5.592307692307692</v>
      </c>
      <c r="U3" s="64">
        <v>0.255</v>
      </c>
      <c r="V3" s="64">
        <f t="shared" ref="V3:V10" si="5">G3/U3</f>
        <v>12.686274509803921</v>
      </c>
      <c r="W3" s="64">
        <v>0.60099999999999998</v>
      </c>
      <c r="X3" s="64">
        <v>0.111</v>
      </c>
      <c r="Y3" s="64">
        <f>W3/X3</f>
        <v>5.4144144144144137</v>
      </c>
      <c r="Z3" s="64">
        <v>0.35799999999999998</v>
      </c>
      <c r="AA3" s="64">
        <v>0.49299999999999999</v>
      </c>
      <c r="AB3" s="64">
        <f>AA3/F3</f>
        <v>0.33176312247644685</v>
      </c>
      <c r="AC3" s="64">
        <v>1.111</v>
      </c>
      <c r="AD3" s="64">
        <f>AC3/F3</f>
        <v>0.7476446837146703</v>
      </c>
      <c r="AE3" s="64">
        <v>9.6000000000000002E-2</v>
      </c>
      <c r="AF3" s="64">
        <f>AE3/K3</f>
        <v>0.11162790697674418</v>
      </c>
      <c r="AG3" s="64">
        <f>AE3/P3</f>
        <v>0.11201866977829639</v>
      </c>
      <c r="AH3" s="64">
        <f>AE3/N3</f>
        <v>0.7384615384615385</v>
      </c>
      <c r="AI3" s="64">
        <v>8.3000000000000004E-2</v>
      </c>
      <c r="AJ3" s="66" t="s">
        <v>75</v>
      </c>
      <c r="AK3" s="66" t="s">
        <v>75</v>
      </c>
      <c r="AL3" s="64">
        <f>AI3/AE3</f>
        <v>0.86458333333333337</v>
      </c>
      <c r="AM3" s="64">
        <f>AI3/N3</f>
        <v>0.63846153846153852</v>
      </c>
      <c r="AN3" s="64">
        <f>AI3/K3</f>
        <v>9.6511627906976746E-2</v>
      </c>
      <c r="AO3" s="64">
        <f>AI3/AP3</f>
        <v>0.42783505154639179</v>
      </c>
      <c r="AP3" s="64">
        <v>0.19400000000000001</v>
      </c>
      <c r="AQ3" s="64">
        <v>0.11899999999999999</v>
      </c>
      <c r="AR3" s="64">
        <f t="shared" ref="AR3:AR10" si="6">AP3/F3</f>
        <v>0.13055181695827725</v>
      </c>
      <c r="AS3" s="64">
        <f t="shared" ref="AS3:AS10" si="7">AP3/AQ3</f>
        <v>1.6302521008403363</v>
      </c>
      <c r="AT3" s="64">
        <f t="shared" ref="AT3:AT10" si="8">AP3/K3</f>
        <v>0.22558139534883723</v>
      </c>
      <c r="AU3" s="64">
        <v>0.10100000000000001</v>
      </c>
      <c r="AV3" s="64">
        <v>0.113</v>
      </c>
      <c r="AW3" s="64">
        <f>AU3/AV3</f>
        <v>0.89380530973451333</v>
      </c>
      <c r="AX3" s="65">
        <f>AP3/AU3</f>
        <v>1.9207920792079207</v>
      </c>
      <c r="AY3" s="66" t="s">
        <v>75</v>
      </c>
      <c r="AZ3" s="67">
        <v>6</v>
      </c>
      <c r="BA3" s="66" t="s">
        <v>75</v>
      </c>
      <c r="BB3" s="66" t="s">
        <v>75</v>
      </c>
      <c r="BC3" s="68" t="s">
        <v>75</v>
      </c>
    </row>
    <row r="4" spans="2:55" ht="12.75" customHeight="1" x14ac:dyDescent="0.25">
      <c r="B4" s="69"/>
      <c r="C4" s="109"/>
      <c r="D4" s="109"/>
      <c r="E4" s="167"/>
      <c r="F4" s="150">
        <v>1.486</v>
      </c>
      <c r="G4" s="82">
        <f>I4+J4+K4+L4+M4+N4+O4</f>
        <v>3.1720000000000002</v>
      </c>
      <c r="H4" s="82">
        <f>G4/F4</f>
        <v>2.1345895020188426</v>
      </c>
      <c r="I4" s="72">
        <v>8.7999999999999995E-2</v>
      </c>
      <c r="J4" s="72">
        <v>4.2000000000000003E-2</v>
      </c>
      <c r="K4" s="72">
        <v>0.82</v>
      </c>
      <c r="L4" s="72">
        <v>0.68899999999999995</v>
      </c>
      <c r="M4" s="72">
        <v>0.67200000000000004</v>
      </c>
      <c r="N4" s="72">
        <v>0.13600000000000001</v>
      </c>
      <c r="O4" s="72">
        <v>0.72499999999999998</v>
      </c>
      <c r="P4" s="72">
        <f t="shared" si="0"/>
        <v>0.86099999999999999</v>
      </c>
      <c r="Q4" s="82">
        <f t="shared" si="1"/>
        <v>1.05</v>
      </c>
      <c r="R4" s="82">
        <f t="shared" si="2"/>
        <v>0.81951219512195128</v>
      </c>
      <c r="S4" s="82">
        <f t="shared" si="3"/>
        <v>0.84024390243902436</v>
      </c>
      <c r="T4" s="82">
        <f t="shared" si="4"/>
        <v>5.3308823529411757</v>
      </c>
      <c r="U4" s="72">
        <v>0.255</v>
      </c>
      <c r="V4" s="72">
        <f t="shared" si="5"/>
        <v>12.43921568627451</v>
      </c>
      <c r="W4" s="73" t="s">
        <v>75</v>
      </c>
      <c r="X4" s="72">
        <v>0.109</v>
      </c>
      <c r="Y4" s="73" t="s">
        <v>75</v>
      </c>
      <c r="Z4" s="72">
        <v>0.34599999999999997</v>
      </c>
      <c r="AA4" s="72">
        <v>0.49299999999999999</v>
      </c>
      <c r="AB4" s="72">
        <f>AA4/F4</f>
        <v>0.33176312247644685</v>
      </c>
      <c r="AC4" s="72">
        <v>1.105</v>
      </c>
      <c r="AD4" s="72">
        <f>AC4/F4</f>
        <v>0.74360699865410496</v>
      </c>
      <c r="AE4" s="72">
        <v>9.8000000000000004E-2</v>
      </c>
      <c r="AF4" s="72">
        <f>AE4/K4</f>
        <v>0.11951219512195123</v>
      </c>
      <c r="AG4" s="72">
        <f>AE4/P4</f>
        <v>0.11382113821138212</v>
      </c>
      <c r="AH4" s="72">
        <f>AE4/N4</f>
        <v>0.72058823529411764</v>
      </c>
      <c r="AI4" s="72">
        <v>8.3000000000000004E-2</v>
      </c>
      <c r="AJ4" s="73" t="s">
        <v>75</v>
      </c>
      <c r="AK4" s="73" t="s">
        <v>75</v>
      </c>
      <c r="AL4" s="72">
        <f>AI4/AE4</f>
        <v>0.84693877551020413</v>
      </c>
      <c r="AM4" s="72">
        <f>AI4/N4</f>
        <v>0.61029411764705876</v>
      </c>
      <c r="AN4" s="72">
        <f>AI4/K4</f>
        <v>0.10121951219512196</v>
      </c>
      <c r="AO4" s="72">
        <f>AI4/AP4</f>
        <v>0.46892655367231645</v>
      </c>
      <c r="AP4" s="72">
        <v>0.17699999999999999</v>
      </c>
      <c r="AQ4" s="72">
        <v>0.122</v>
      </c>
      <c r="AR4" s="72">
        <f t="shared" si="6"/>
        <v>0.11911170928667564</v>
      </c>
      <c r="AS4" s="72">
        <f t="shared" si="7"/>
        <v>1.4508196721311475</v>
      </c>
      <c r="AT4" s="72">
        <f t="shared" si="8"/>
        <v>0.21585365853658536</v>
      </c>
      <c r="AU4" s="72">
        <v>0.10100000000000001</v>
      </c>
      <c r="AV4" s="72">
        <v>0.113</v>
      </c>
      <c r="AW4" s="72">
        <f t="shared" ref="AW4" si="9">AU4/AV4</f>
        <v>0.89380530973451333</v>
      </c>
      <c r="AX4" s="82">
        <f t="shared" ref="AX4" si="10">AP4/AU4</f>
        <v>1.7524752475247523</v>
      </c>
      <c r="AY4" s="73" t="s">
        <v>75</v>
      </c>
      <c r="AZ4" s="84">
        <v>7</v>
      </c>
      <c r="BA4" s="73" t="s">
        <v>75</v>
      </c>
      <c r="BB4" s="73" t="s">
        <v>75</v>
      </c>
      <c r="BC4" s="74" t="s">
        <v>75</v>
      </c>
    </row>
    <row r="5" spans="2:55" ht="12.75" customHeight="1" x14ac:dyDescent="0.25">
      <c r="B5" s="159">
        <v>22143</v>
      </c>
      <c r="C5" s="112" t="s">
        <v>166</v>
      </c>
      <c r="D5" s="113" t="s">
        <v>142</v>
      </c>
      <c r="E5" s="168" t="s">
        <v>200</v>
      </c>
      <c r="F5" s="151">
        <v>1.7430000000000001</v>
      </c>
      <c r="G5" s="80">
        <f t="shared" ref="G5:G6" si="11">I5+J5+K5+L5+M5+N5+O5</f>
        <v>3.891</v>
      </c>
      <c r="H5" s="80">
        <f t="shared" ref="H5:H6" si="12">G5/F5</f>
        <v>2.2323580034423407</v>
      </c>
      <c r="I5" s="78">
        <v>0.10100000000000001</v>
      </c>
      <c r="J5" s="78">
        <v>5.5E-2</v>
      </c>
      <c r="K5" s="78">
        <v>0.9</v>
      </c>
      <c r="L5" s="78">
        <v>0.64700000000000002</v>
      </c>
      <c r="M5" s="78">
        <v>0.61599999999999999</v>
      </c>
      <c r="N5" s="78">
        <v>0.121</v>
      </c>
      <c r="O5" s="78">
        <v>1.4510000000000001</v>
      </c>
      <c r="P5" s="78">
        <f t="shared" si="0"/>
        <v>1.5720000000000001</v>
      </c>
      <c r="Q5" s="80">
        <f t="shared" si="1"/>
        <v>1.7466666666666666</v>
      </c>
      <c r="R5" s="80">
        <f t="shared" si="2"/>
        <v>0.68444444444444441</v>
      </c>
      <c r="S5" s="80">
        <f t="shared" si="3"/>
        <v>0.71888888888888891</v>
      </c>
      <c r="T5" s="80">
        <f t="shared" si="4"/>
        <v>11.991735537190083</v>
      </c>
      <c r="U5" s="78">
        <v>0.27900000000000003</v>
      </c>
      <c r="V5" s="78">
        <f t="shared" si="5"/>
        <v>13.946236559139784</v>
      </c>
      <c r="W5" s="78">
        <v>0.69099999999999995</v>
      </c>
      <c r="X5" s="78">
        <v>0.11600000000000001</v>
      </c>
      <c r="Y5" s="78">
        <f t="shared" ref="Y5:Y10" si="13">W5/X5</f>
        <v>5.956896551724137</v>
      </c>
      <c r="Z5" s="78">
        <v>0.39800000000000002</v>
      </c>
      <c r="AA5" s="78">
        <v>0.61199999999999999</v>
      </c>
      <c r="AB5" s="78">
        <f>AA5/F5</f>
        <v>0.35111876075731496</v>
      </c>
      <c r="AC5" s="78">
        <v>1.224</v>
      </c>
      <c r="AD5" s="78">
        <f>AC5/F5</f>
        <v>0.70223752151462993</v>
      </c>
      <c r="AE5" s="78">
        <v>9.9000000000000005E-2</v>
      </c>
      <c r="AF5" s="78">
        <f>AE5/K5</f>
        <v>0.11</v>
      </c>
      <c r="AG5" s="78">
        <f>AE5/P5</f>
        <v>6.2977099236641215E-2</v>
      </c>
      <c r="AH5" s="78">
        <f>AE5/N5</f>
        <v>0.81818181818181823</v>
      </c>
      <c r="AI5" s="79" t="s">
        <v>75</v>
      </c>
      <c r="AJ5" s="79" t="s">
        <v>75</v>
      </c>
      <c r="AK5" s="79" t="s">
        <v>75</v>
      </c>
      <c r="AL5" s="79" t="s">
        <v>75</v>
      </c>
      <c r="AM5" s="79" t="s">
        <v>75</v>
      </c>
      <c r="AN5" s="79" t="s">
        <v>75</v>
      </c>
      <c r="AO5" s="79" t="s">
        <v>75</v>
      </c>
      <c r="AP5" s="78">
        <v>0.191</v>
      </c>
      <c r="AQ5" s="78">
        <v>0.14299999999999999</v>
      </c>
      <c r="AR5" s="78">
        <f t="shared" si="6"/>
        <v>0.1095811818703385</v>
      </c>
      <c r="AS5" s="78">
        <f t="shared" si="7"/>
        <v>1.3356643356643358</v>
      </c>
      <c r="AT5" s="78">
        <f t="shared" si="8"/>
        <v>0.21222222222222223</v>
      </c>
      <c r="AU5" s="78">
        <v>0.113</v>
      </c>
      <c r="AV5" s="78">
        <v>0.127</v>
      </c>
      <c r="AW5" s="78">
        <f>AU5/AV5</f>
        <v>0.88976377952755903</v>
      </c>
      <c r="AX5" s="80">
        <f>AP5/AU5</f>
        <v>1.6902654867256637</v>
      </c>
      <c r="AY5" s="79" t="s">
        <v>75</v>
      </c>
      <c r="AZ5" s="79" t="s">
        <v>75</v>
      </c>
      <c r="BA5" s="79" t="s">
        <v>75</v>
      </c>
      <c r="BB5" s="79" t="s">
        <v>75</v>
      </c>
      <c r="BC5" s="81" t="s">
        <v>75</v>
      </c>
    </row>
    <row r="6" spans="2:55" ht="12.75" customHeight="1" x14ac:dyDescent="0.25">
      <c r="B6" s="75"/>
      <c r="C6" s="113"/>
      <c r="D6" s="113"/>
      <c r="E6" s="168"/>
      <c r="F6" s="151">
        <v>1.7430000000000001</v>
      </c>
      <c r="G6" s="80">
        <f t="shared" si="11"/>
        <v>3.2519999999999998</v>
      </c>
      <c r="H6" s="80">
        <f t="shared" si="12"/>
        <v>1.8657487091222029</v>
      </c>
      <c r="I6" s="78">
        <v>0.10299999999999999</v>
      </c>
      <c r="J6" s="78">
        <v>5.6000000000000001E-2</v>
      </c>
      <c r="K6" s="78">
        <v>0.91100000000000003</v>
      </c>
      <c r="L6" s="78">
        <v>0.67100000000000004</v>
      </c>
      <c r="M6" s="78">
        <v>0.61699999999999999</v>
      </c>
      <c r="N6" s="78">
        <v>0.123</v>
      </c>
      <c r="O6" s="78">
        <v>0.77100000000000002</v>
      </c>
      <c r="P6" s="78">
        <f t="shared" si="0"/>
        <v>0.89400000000000002</v>
      </c>
      <c r="Q6" s="80">
        <f t="shared" si="1"/>
        <v>0.98133918770581774</v>
      </c>
      <c r="R6" s="80">
        <f t="shared" si="2"/>
        <v>0.67727771679473103</v>
      </c>
      <c r="S6" s="80">
        <f t="shared" si="3"/>
        <v>0.73655323819978047</v>
      </c>
      <c r="T6" s="80">
        <f t="shared" si="4"/>
        <v>6.2682926829268295</v>
      </c>
      <c r="U6" s="78">
        <v>0.27900000000000003</v>
      </c>
      <c r="V6" s="78">
        <f t="shared" si="5"/>
        <v>11.655913978494622</v>
      </c>
      <c r="W6" s="78">
        <v>0.71199999999999997</v>
      </c>
      <c r="X6" s="78">
        <v>0.112</v>
      </c>
      <c r="Y6" s="78">
        <f t="shared" si="13"/>
        <v>6.3571428571428568</v>
      </c>
      <c r="Z6" s="79" t="s">
        <v>75</v>
      </c>
      <c r="AA6" s="79" t="s">
        <v>75</v>
      </c>
      <c r="AB6" s="79" t="s">
        <v>75</v>
      </c>
      <c r="AC6" s="79" t="s">
        <v>75</v>
      </c>
      <c r="AD6" s="79" t="s">
        <v>75</v>
      </c>
      <c r="AE6" s="79" t="s">
        <v>75</v>
      </c>
      <c r="AF6" s="79" t="s">
        <v>75</v>
      </c>
      <c r="AG6" s="79" t="s">
        <v>75</v>
      </c>
      <c r="AH6" s="79" t="s">
        <v>75</v>
      </c>
      <c r="AI6" s="79" t="s">
        <v>75</v>
      </c>
      <c r="AJ6" s="79" t="s">
        <v>75</v>
      </c>
      <c r="AK6" s="79" t="s">
        <v>75</v>
      </c>
      <c r="AL6" s="79" t="s">
        <v>75</v>
      </c>
      <c r="AM6" s="79" t="s">
        <v>75</v>
      </c>
      <c r="AN6" s="79" t="s">
        <v>75</v>
      </c>
      <c r="AO6" s="79" t="s">
        <v>75</v>
      </c>
      <c r="AP6" s="78">
        <v>0.19700000000000001</v>
      </c>
      <c r="AQ6" s="78">
        <v>0.14000000000000001</v>
      </c>
      <c r="AR6" s="78">
        <f t="shared" si="6"/>
        <v>0.11302352266207688</v>
      </c>
      <c r="AS6" s="78">
        <f t="shared" si="7"/>
        <v>1.407142857142857</v>
      </c>
      <c r="AT6" s="78">
        <f t="shared" si="8"/>
        <v>0.21624588364434688</v>
      </c>
      <c r="AU6" s="78">
        <v>0.113</v>
      </c>
      <c r="AV6" s="78">
        <v>0.127</v>
      </c>
      <c r="AW6" s="78">
        <f t="shared" ref="AW6" si="14">AU6/AV6</f>
        <v>0.88976377952755903</v>
      </c>
      <c r="AX6" s="80">
        <f t="shared" ref="AX6" si="15">AP6/AU6</f>
        <v>1.7433628318584071</v>
      </c>
      <c r="AY6" s="79" t="s">
        <v>75</v>
      </c>
      <c r="AZ6" s="79" t="s">
        <v>75</v>
      </c>
      <c r="BA6" s="79" t="s">
        <v>75</v>
      </c>
      <c r="BB6" s="79" t="s">
        <v>75</v>
      </c>
      <c r="BC6" s="81" t="s">
        <v>75</v>
      </c>
    </row>
    <row r="7" spans="2:55" ht="12.75" customHeight="1" x14ac:dyDescent="0.25">
      <c r="B7" s="83">
        <v>22143</v>
      </c>
      <c r="C7" s="116" t="s">
        <v>166</v>
      </c>
      <c r="D7" s="109" t="s">
        <v>164</v>
      </c>
      <c r="E7" s="167" t="s">
        <v>200</v>
      </c>
      <c r="F7" s="150">
        <v>1.4139999999999999</v>
      </c>
      <c r="G7" s="82">
        <f>I7+J7+K7+L7+M7+N7+O7</f>
        <v>3.375</v>
      </c>
      <c r="H7" s="82">
        <f>G7/F7</f>
        <v>2.3868458274398869</v>
      </c>
      <c r="I7" s="72">
        <v>9.7000000000000003E-2</v>
      </c>
      <c r="J7" s="72">
        <v>3.7999999999999999E-2</v>
      </c>
      <c r="K7" s="72">
        <v>0.90300000000000002</v>
      </c>
      <c r="L7" s="72">
        <v>0.71099999999999997</v>
      </c>
      <c r="M7" s="72">
        <v>0.69299999999999995</v>
      </c>
      <c r="N7" s="72">
        <v>0.14000000000000001</v>
      </c>
      <c r="O7" s="72">
        <f>0.358+0.213+0.103+0.119</f>
        <v>0.79299999999999993</v>
      </c>
      <c r="P7" s="72">
        <f t="shared" si="0"/>
        <v>0.93299999999999994</v>
      </c>
      <c r="Q7" s="82">
        <f t="shared" si="1"/>
        <v>1.0332225913621262</v>
      </c>
      <c r="R7" s="82">
        <f t="shared" si="2"/>
        <v>0.7674418604651162</v>
      </c>
      <c r="S7" s="82">
        <f t="shared" si="3"/>
        <v>0.78737541528239197</v>
      </c>
      <c r="T7" s="82">
        <f t="shared" si="4"/>
        <v>5.6642857142857128</v>
      </c>
      <c r="U7" s="72">
        <v>0.27100000000000002</v>
      </c>
      <c r="V7" s="72">
        <f t="shared" si="5"/>
        <v>12.453874538745387</v>
      </c>
      <c r="W7" s="72">
        <v>0.55500000000000005</v>
      </c>
      <c r="X7" s="72">
        <v>0.11600000000000001</v>
      </c>
      <c r="Y7" s="72">
        <f t="shared" si="13"/>
        <v>4.7844827586206895</v>
      </c>
      <c r="Z7" s="72">
        <v>0.42699999999999999</v>
      </c>
      <c r="AA7" s="72">
        <v>0.55700000000000005</v>
      </c>
      <c r="AB7" s="72">
        <f t="shared" ref="AB7:AB8" si="16">AA7/F7</f>
        <v>0.39391796322489397</v>
      </c>
      <c r="AC7" s="72">
        <v>1.141</v>
      </c>
      <c r="AD7" s="72">
        <f t="shared" ref="AD7:AD8" si="17">AC7/F7</f>
        <v>0.80693069306930698</v>
      </c>
      <c r="AE7" s="72">
        <v>9.9000000000000005E-2</v>
      </c>
      <c r="AF7" s="72">
        <f>AE7/K7</f>
        <v>0.10963455149501661</v>
      </c>
      <c r="AG7" s="72">
        <f>AE7/P7</f>
        <v>0.10610932475884245</v>
      </c>
      <c r="AH7" s="72">
        <f>AE7/N7</f>
        <v>0.70714285714285707</v>
      </c>
      <c r="AI7" s="72">
        <v>9.0999999999999998E-2</v>
      </c>
      <c r="AJ7" s="72">
        <v>5.2999999999999999E-2</v>
      </c>
      <c r="AK7" s="72">
        <f>AI7/AJ7</f>
        <v>1.7169811320754718</v>
      </c>
      <c r="AL7" s="72">
        <f>AI7/AE7</f>
        <v>0.91919191919191912</v>
      </c>
      <c r="AM7" s="72">
        <f t="shared" ref="AM7:AM8" si="18">AI7/N7</f>
        <v>0.64999999999999991</v>
      </c>
      <c r="AN7" s="72">
        <f>AI7/K7</f>
        <v>0.10077519379844961</v>
      </c>
      <c r="AO7" s="72">
        <f>AI7/AP7</f>
        <v>0.45049504950495045</v>
      </c>
      <c r="AP7" s="72">
        <v>0.20200000000000001</v>
      </c>
      <c r="AQ7" s="72">
        <v>0.127</v>
      </c>
      <c r="AR7" s="72">
        <f t="shared" si="6"/>
        <v>0.14285714285714288</v>
      </c>
      <c r="AS7" s="72">
        <f t="shared" si="7"/>
        <v>1.5905511811023623</v>
      </c>
      <c r="AT7" s="72">
        <f t="shared" si="8"/>
        <v>0.22369878183831673</v>
      </c>
      <c r="AU7" s="72">
        <v>9.5000000000000001E-2</v>
      </c>
      <c r="AV7" s="72">
        <v>0.105</v>
      </c>
      <c r="AW7" s="72">
        <f>AU7/AV7</f>
        <v>0.90476190476190477</v>
      </c>
      <c r="AX7" s="82">
        <f>AP7/AU7</f>
        <v>2.1263157894736842</v>
      </c>
      <c r="AY7" s="84">
        <v>5</v>
      </c>
      <c r="AZ7" s="84">
        <v>7</v>
      </c>
      <c r="BA7" s="84">
        <v>3</v>
      </c>
      <c r="BB7" s="84">
        <v>6</v>
      </c>
      <c r="BC7" s="85">
        <v>6</v>
      </c>
    </row>
    <row r="8" spans="2:55" ht="12.75" customHeight="1" x14ac:dyDescent="0.25">
      <c r="B8" s="69"/>
      <c r="C8" s="109"/>
      <c r="D8" s="109"/>
      <c r="E8" s="167"/>
      <c r="F8" s="150">
        <v>1.4139999999999999</v>
      </c>
      <c r="G8" s="82">
        <f>I8+J8+K8+L8+M8+N8+O8</f>
        <v>3.5960000000000001</v>
      </c>
      <c r="H8" s="82">
        <f>G8/F8</f>
        <v>2.5431400282885432</v>
      </c>
      <c r="I8" s="72">
        <v>0.09</v>
      </c>
      <c r="J8" s="72">
        <v>0.04</v>
      </c>
      <c r="K8" s="72">
        <v>0.90900000000000003</v>
      </c>
      <c r="L8" s="72">
        <v>0.69899999999999995</v>
      </c>
      <c r="M8" s="72">
        <v>0.64100000000000001</v>
      </c>
      <c r="N8" s="72">
        <v>0.14099999999999999</v>
      </c>
      <c r="O8" s="72">
        <f>0.422+0.34+0.314</f>
        <v>1.0760000000000001</v>
      </c>
      <c r="P8" s="72">
        <f t="shared" si="0"/>
        <v>1.2170000000000001</v>
      </c>
      <c r="Q8" s="82">
        <f t="shared" si="1"/>
        <v>1.3388338833883389</v>
      </c>
      <c r="R8" s="82">
        <f t="shared" si="2"/>
        <v>0.70517051705170519</v>
      </c>
      <c r="S8" s="82">
        <f t="shared" si="3"/>
        <v>0.76897689768976896</v>
      </c>
      <c r="T8" s="82">
        <f t="shared" si="4"/>
        <v>7.631205673758866</v>
      </c>
      <c r="U8" s="72">
        <v>0.27100000000000002</v>
      </c>
      <c r="V8" s="72">
        <f t="shared" si="5"/>
        <v>13.269372693726936</v>
      </c>
      <c r="W8" s="72">
        <v>0.53800000000000003</v>
      </c>
      <c r="X8" s="72">
        <v>0.109</v>
      </c>
      <c r="Y8" s="72">
        <f t="shared" si="13"/>
        <v>4.9357798165137616</v>
      </c>
      <c r="Z8" s="72">
        <v>0.41499999999999998</v>
      </c>
      <c r="AA8" s="72">
        <v>0.55100000000000005</v>
      </c>
      <c r="AB8" s="72">
        <f t="shared" si="16"/>
        <v>0.38967468175388975</v>
      </c>
      <c r="AC8" s="72">
        <v>1.131</v>
      </c>
      <c r="AD8" s="72">
        <f t="shared" si="17"/>
        <v>0.79985855728429989</v>
      </c>
      <c r="AE8" s="72">
        <v>9.5000000000000001E-2</v>
      </c>
      <c r="AF8" s="72">
        <f>AE8/K8</f>
        <v>0.10451045104510451</v>
      </c>
      <c r="AG8" s="72">
        <f>AE8/P8</f>
        <v>7.8060805258833188E-2</v>
      </c>
      <c r="AH8" s="72">
        <f>AE8/N8</f>
        <v>0.67375886524822703</v>
      </c>
      <c r="AI8" s="72">
        <v>9.0999999999999998E-2</v>
      </c>
      <c r="AJ8" s="72">
        <v>5.2999999999999999E-2</v>
      </c>
      <c r="AK8" s="72">
        <f>AI8/AJ8</f>
        <v>1.7169811320754718</v>
      </c>
      <c r="AL8" s="72">
        <f>AI8/AE8</f>
        <v>0.95789473684210524</v>
      </c>
      <c r="AM8" s="72">
        <f t="shared" si="18"/>
        <v>0.64539007092198586</v>
      </c>
      <c r="AN8" s="72">
        <f>AI8/K8</f>
        <v>0.1001100110011001</v>
      </c>
      <c r="AO8" s="72">
        <f>AI8/AP8</f>
        <v>0.489247311827957</v>
      </c>
      <c r="AP8" s="72">
        <v>0.186</v>
      </c>
      <c r="AQ8" s="72">
        <v>0.13200000000000001</v>
      </c>
      <c r="AR8" s="72">
        <f t="shared" si="6"/>
        <v>0.13154172560113156</v>
      </c>
      <c r="AS8" s="72">
        <f t="shared" si="7"/>
        <v>1.4090909090909089</v>
      </c>
      <c r="AT8" s="72">
        <f t="shared" si="8"/>
        <v>0.2046204620462046</v>
      </c>
      <c r="AU8" s="72">
        <v>9.5000000000000001E-2</v>
      </c>
      <c r="AV8" s="72">
        <v>0.105</v>
      </c>
      <c r="AW8" s="72">
        <f>AU8/AV8</f>
        <v>0.90476190476190477</v>
      </c>
      <c r="AX8" s="82">
        <f>AP8/AU8</f>
        <v>1.9578947368421051</v>
      </c>
      <c r="AY8" s="73" t="s">
        <v>75</v>
      </c>
      <c r="AZ8" s="84">
        <v>9</v>
      </c>
      <c r="BA8" s="73" t="s">
        <v>75</v>
      </c>
      <c r="BB8" s="73" t="s">
        <v>75</v>
      </c>
      <c r="BC8" s="74" t="s">
        <v>75</v>
      </c>
    </row>
    <row r="9" spans="2:55" ht="12.75" customHeight="1" x14ac:dyDescent="0.25">
      <c r="B9" s="86">
        <v>22143</v>
      </c>
      <c r="C9" s="112" t="s">
        <v>166</v>
      </c>
      <c r="D9" s="113" t="s">
        <v>164</v>
      </c>
      <c r="E9" s="168" t="s">
        <v>200</v>
      </c>
      <c r="F9" s="151">
        <f>1.325+0.596</f>
        <v>1.9209999999999998</v>
      </c>
      <c r="G9" s="80">
        <f>I9+J9+K9+L9+M9+N9+O9</f>
        <v>3.9689999999999994</v>
      </c>
      <c r="H9" s="80">
        <f>G9/F9</f>
        <v>2.0661114003123373</v>
      </c>
      <c r="I9" s="78">
        <v>8.5000000000000006E-2</v>
      </c>
      <c r="J9" s="78">
        <v>4.8000000000000001E-2</v>
      </c>
      <c r="K9" s="78">
        <f>0.461+0.357</f>
        <v>0.81800000000000006</v>
      </c>
      <c r="L9" s="78">
        <v>0.69499999999999995</v>
      </c>
      <c r="M9" s="78">
        <v>0.69099999999999995</v>
      </c>
      <c r="N9" s="78">
        <v>0.127</v>
      </c>
      <c r="O9" s="78">
        <f>0.625+0.468+0.412</f>
        <v>1.5049999999999999</v>
      </c>
      <c r="P9" s="78">
        <f t="shared" si="0"/>
        <v>1.6319999999999999</v>
      </c>
      <c r="Q9" s="80">
        <f t="shared" si="1"/>
        <v>1.9951100244498774</v>
      </c>
      <c r="R9" s="80">
        <f t="shared" si="2"/>
        <v>0.84474327628361845</v>
      </c>
      <c r="S9" s="80">
        <f t="shared" si="3"/>
        <v>0.84963325183374072</v>
      </c>
      <c r="T9" s="80">
        <f t="shared" si="4"/>
        <v>11.8503937007874</v>
      </c>
      <c r="U9" s="78">
        <v>0.28499999999999998</v>
      </c>
      <c r="V9" s="78">
        <f t="shared" si="5"/>
        <v>13.926315789473684</v>
      </c>
      <c r="W9" s="78">
        <v>0.63900000000000001</v>
      </c>
      <c r="X9" s="78">
        <v>0.127</v>
      </c>
      <c r="Y9" s="78">
        <f t="shared" si="13"/>
        <v>5.0314960629921259</v>
      </c>
      <c r="Z9" s="78">
        <v>0.40699999999999997</v>
      </c>
      <c r="AA9" s="78">
        <v>0.54700000000000004</v>
      </c>
      <c r="AB9" s="78">
        <f>AA9/F9</f>
        <v>0.28474752732951591</v>
      </c>
      <c r="AC9" s="78">
        <v>1.163</v>
      </c>
      <c r="AD9" s="78">
        <f>AC9/F9</f>
        <v>0.60541384695471112</v>
      </c>
      <c r="AE9" s="78">
        <v>0.1</v>
      </c>
      <c r="AF9" s="78">
        <f>AE9/K9</f>
        <v>0.12224938875305623</v>
      </c>
      <c r="AG9" s="78">
        <f>AE9/P9</f>
        <v>6.1274509803921573E-2</v>
      </c>
      <c r="AH9" s="78">
        <f>AE9/N9</f>
        <v>0.78740157480314965</v>
      </c>
      <c r="AI9" s="78">
        <v>8.6999999999999994E-2</v>
      </c>
      <c r="AJ9" s="78">
        <v>5.8999999999999997E-2</v>
      </c>
      <c r="AK9" s="78">
        <f>AI9/AJ9</f>
        <v>1.4745762711864407</v>
      </c>
      <c r="AL9" s="78">
        <f>AI9/AE9</f>
        <v>0.86999999999999988</v>
      </c>
      <c r="AM9" s="78">
        <f>AI9/N9</f>
        <v>0.68503937007874005</v>
      </c>
      <c r="AN9" s="78">
        <f>AI9/K9</f>
        <v>0.10635696821515891</v>
      </c>
      <c r="AO9" s="78">
        <f>AI9/AP9</f>
        <v>0.42028985507246375</v>
      </c>
      <c r="AP9" s="78">
        <v>0.20699999999999999</v>
      </c>
      <c r="AQ9" s="78">
        <v>0.15</v>
      </c>
      <c r="AR9" s="78">
        <f t="shared" si="6"/>
        <v>0.107756376887038</v>
      </c>
      <c r="AS9" s="78">
        <f t="shared" si="7"/>
        <v>1.38</v>
      </c>
      <c r="AT9" s="78">
        <f t="shared" si="8"/>
        <v>0.25305623471882638</v>
      </c>
      <c r="AU9" s="78">
        <v>8.5999999999999993E-2</v>
      </c>
      <c r="AV9" s="78">
        <v>0.14399999999999999</v>
      </c>
      <c r="AW9" s="78">
        <f>AU9/AV9</f>
        <v>0.59722222222222221</v>
      </c>
      <c r="AX9" s="80">
        <f>AP9/AU9</f>
        <v>2.4069767441860468</v>
      </c>
      <c r="AY9" s="87">
        <v>5</v>
      </c>
      <c r="AZ9" s="87">
        <v>6</v>
      </c>
      <c r="BA9" s="87">
        <v>4</v>
      </c>
      <c r="BB9" s="87">
        <v>5</v>
      </c>
      <c r="BC9" s="88">
        <v>7</v>
      </c>
    </row>
    <row r="10" spans="2:55" ht="12.75" customHeight="1" x14ac:dyDescent="0.25">
      <c r="B10" s="75"/>
      <c r="C10" s="113"/>
      <c r="D10" s="113"/>
      <c r="E10" s="168"/>
      <c r="F10" s="151">
        <f>1.325+0.596</f>
        <v>1.9209999999999998</v>
      </c>
      <c r="G10" s="80">
        <f>I10+J10+K10+L10+M10+N10+O10</f>
        <v>3.6909999999999998</v>
      </c>
      <c r="H10" s="80">
        <f>G10/F10</f>
        <v>1.9213951067152526</v>
      </c>
      <c r="I10" s="78">
        <v>8.5999999999999993E-2</v>
      </c>
      <c r="J10" s="78">
        <v>5.3999999999999999E-2</v>
      </c>
      <c r="K10" s="78">
        <v>0.85399999999999998</v>
      </c>
      <c r="L10" s="78">
        <v>0.67200000000000004</v>
      </c>
      <c r="M10" s="78">
        <v>0.66600000000000004</v>
      </c>
      <c r="N10" s="78">
        <v>0.13800000000000001</v>
      </c>
      <c r="O10" s="78">
        <f>0.625+0.596</f>
        <v>1.2210000000000001</v>
      </c>
      <c r="P10" s="78">
        <f t="shared" si="0"/>
        <v>1.359</v>
      </c>
      <c r="Q10" s="80">
        <f t="shared" si="1"/>
        <v>1.5913348946135832</v>
      </c>
      <c r="R10" s="80">
        <f t="shared" si="2"/>
        <v>0.77985948477751765</v>
      </c>
      <c r="S10" s="80">
        <f t="shared" si="3"/>
        <v>0.78688524590163944</v>
      </c>
      <c r="T10" s="80">
        <f t="shared" si="4"/>
        <v>8.8478260869565215</v>
      </c>
      <c r="U10" s="78">
        <v>0.28499999999999998</v>
      </c>
      <c r="V10" s="78">
        <f t="shared" si="5"/>
        <v>12.950877192982457</v>
      </c>
      <c r="W10" s="78">
        <v>0.63600000000000001</v>
      </c>
      <c r="X10" s="78">
        <v>0.128</v>
      </c>
      <c r="Y10" s="78">
        <f t="shared" si="13"/>
        <v>4.96875</v>
      </c>
      <c r="Z10" s="79" t="s">
        <v>75</v>
      </c>
      <c r="AA10" s="78">
        <v>0.53100000000000003</v>
      </c>
      <c r="AB10" s="78">
        <f>AA10/F10</f>
        <v>0.27641853201457578</v>
      </c>
      <c r="AC10" s="78">
        <v>1.1579999999999999</v>
      </c>
      <c r="AD10" s="78">
        <f>AC10/F10</f>
        <v>0.60281103591879226</v>
      </c>
      <c r="AE10" s="79" t="s">
        <v>75</v>
      </c>
      <c r="AF10" s="79" t="s">
        <v>75</v>
      </c>
      <c r="AG10" s="79" t="s">
        <v>75</v>
      </c>
      <c r="AH10" s="79" t="s">
        <v>75</v>
      </c>
      <c r="AI10" s="78">
        <v>8.6999999999999994E-2</v>
      </c>
      <c r="AJ10" s="78">
        <v>5.8999999999999997E-2</v>
      </c>
      <c r="AK10" s="78">
        <f>AI10/AJ10</f>
        <v>1.4745762711864407</v>
      </c>
      <c r="AL10" s="79" t="s">
        <v>75</v>
      </c>
      <c r="AM10" s="78">
        <f>AI10/N10</f>
        <v>0.63043478260869557</v>
      </c>
      <c r="AN10" s="78">
        <f>AI10/K10</f>
        <v>0.10187353629976581</v>
      </c>
      <c r="AO10" s="78">
        <f>AI10/AP10</f>
        <v>0.41232227488151657</v>
      </c>
      <c r="AP10" s="78">
        <v>0.21099999999999999</v>
      </c>
      <c r="AQ10" s="78">
        <v>0.13200000000000001</v>
      </c>
      <c r="AR10" s="78">
        <f t="shared" si="6"/>
        <v>0.10983862571577305</v>
      </c>
      <c r="AS10" s="78">
        <f t="shared" si="7"/>
        <v>1.5984848484848484</v>
      </c>
      <c r="AT10" s="78">
        <f t="shared" si="8"/>
        <v>0.24707259953161592</v>
      </c>
      <c r="AU10" s="78">
        <v>8.5999999999999993E-2</v>
      </c>
      <c r="AV10" s="78">
        <v>0.14399999999999999</v>
      </c>
      <c r="AW10" s="78">
        <f>AU10/AV10</f>
        <v>0.59722222222222221</v>
      </c>
      <c r="AX10" s="80">
        <f>AP10/AU10</f>
        <v>2.4534883720930232</v>
      </c>
      <c r="AY10" s="79" t="s">
        <v>75</v>
      </c>
      <c r="AZ10" s="87">
        <v>7</v>
      </c>
      <c r="BA10" s="79" t="s">
        <v>75</v>
      </c>
      <c r="BB10" s="79" t="s">
        <v>75</v>
      </c>
      <c r="BC10" s="81" t="s">
        <v>75</v>
      </c>
    </row>
    <row r="11" spans="2:55" ht="12.75" customHeight="1" x14ac:dyDescent="0.25">
      <c r="B11" s="83">
        <v>24374</v>
      </c>
      <c r="C11" s="116" t="s">
        <v>166</v>
      </c>
      <c r="D11" s="109" t="s">
        <v>197</v>
      </c>
      <c r="E11" s="167" t="s">
        <v>187</v>
      </c>
      <c r="F11" s="150">
        <f>1.422+0.765</f>
        <v>2.1869999999999998</v>
      </c>
      <c r="G11" s="73" t="s">
        <v>75</v>
      </c>
      <c r="H11" s="73" t="s">
        <v>75</v>
      </c>
      <c r="I11" s="72">
        <v>9.9000000000000005E-2</v>
      </c>
      <c r="J11" s="72">
        <v>4.3999999999999997E-2</v>
      </c>
      <c r="K11" s="72">
        <v>1.0329999999999999</v>
      </c>
      <c r="L11" s="72">
        <v>0.72799999999999998</v>
      </c>
      <c r="M11" s="72">
        <v>0.79800000000000004</v>
      </c>
      <c r="N11" s="72">
        <v>0.13700000000000001</v>
      </c>
      <c r="O11" s="73" t="s">
        <v>75</v>
      </c>
      <c r="P11" s="73" t="s">
        <v>75</v>
      </c>
      <c r="Q11" s="73" t="s">
        <v>75</v>
      </c>
      <c r="R11" s="82">
        <f t="shared" ref="R11:R20" si="19">M11/K11</f>
        <v>0.77250726040658291</v>
      </c>
      <c r="S11" s="82">
        <f t="shared" ref="S11:S20" si="20">L11/K11</f>
        <v>0.70474346563407553</v>
      </c>
      <c r="T11" s="73" t="s">
        <v>75</v>
      </c>
      <c r="U11" s="72">
        <v>0.22500000000000001</v>
      </c>
      <c r="V11" s="73" t="s">
        <v>75</v>
      </c>
      <c r="W11" s="72">
        <v>0.76</v>
      </c>
      <c r="X11" s="72">
        <v>0.10199999999999999</v>
      </c>
      <c r="Y11" s="72">
        <f t="shared" ref="Y11:Y20" si="21">W11/X11</f>
        <v>7.4509803921568629</v>
      </c>
      <c r="Z11" s="72">
        <v>0.48299999999999998</v>
      </c>
      <c r="AA11" s="72">
        <v>0.65400000000000003</v>
      </c>
      <c r="AB11" s="72">
        <f t="shared" ref="AB11:AB13" si="22">AA11/F11</f>
        <v>0.29903978052126201</v>
      </c>
      <c r="AC11" s="72">
        <v>1.377</v>
      </c>
      <c r="AD11" s="72">
        <f t="shared" ref="AD11:AD13" si="23">AC11/F11</f>
        <v>0.62962962962962965</v>
      </c>
      <c r="AE11" s="72">
        <v>9.8000000000000004E-2</v>
      </c>
      <c r="AF11" s="72">
        <f t="shared" ref="AF11:AF20" si="24">AE11/K11</f>
        <v>9.4869312681510179E-2</v>
      </c>
      <c r="AG11" s="73" t="s">
        <v>75</v>
      </c>
      <c r="AH11" s="72">
        <f>AE11/N11</f>
        <v>0.71532846715328469</v>
      </c>
      <c r="AI11" s="72">
        <v>0.10100000000000001</v>
      </c>
      <c r="AJ11" s="72">
        <v>6.3E-2</v>
      </c>
      <c r="AK11" s="72">
        <f t="shared" ref="AK11:AK22" si="25">AI11/AJ11</f>
        <v>1.6031746031746033</v>
      </c>
      <c r="AL11" s="72">
        <f>AI11/AE11</f>
        <v>1.0306122448979591</v>
      </c>
      <c r="AM11" s="72">
        <f>AI11/N11</f>
        <v>0.73722627737226276</v>
      </c>
      <c r="AN11" s="72">
        <f t="shared" ref="AN11:AN20" si="26">AI11/K11</f>
        <v>9.7773475314617636E-2</v>
      </c>
      <c r="AO11" s="72">
        <f t="shared" ref="AO11:AO22" si="27">AI11/AP11</f>
        <v>0.41056910569105692</v>
      </c>
      <c r="AP11" s="72">
        <v>0.246</v>
      </c>
      <c r="AQ11" s="72">
        <v>0.107</v>
      </c>
      <c r="AR11" s="72">
        <f t="shared" ref="AR11:AR22" si="28">AP11/F11</f>
        <v>0.11248285322359397</v>
      </c>
      <c r="AS11" s="72">
        <f t="shared" ref="AS11:AS22" si="29">AP11/AQ11</f>
        <v>2.2990654205607477</v>
      </c>
      <c r="AT11" s="72">
        <f t="shared" ref="AT11" si="30">AP11/K11</f>
        <v>0.23814133591481124</v>
      </c>
      <c r="AU11" s="72">
        <v>0.122</v>
      </c>
      <c r="AV11" s="72">
        <v>9.9000000000000005E-2</v>
      </c>
      <c r="AW11" s="72">
        <f t="shared" ref="AW11:AW21" si="31">AU11/AV11</f>
        <v>1.2323232323232323</v>
      </c>
      <c r="AX11" s="82">
        <f t="shared" ref="AX11:AX21" si="32">AP11/AU11</f>
        <v>2.0163934426229506</v>
      </c>
      <c r="AY11" s="84">
        <v>4</v>
      </c>
      <c r="AZ11" s="84">
        <v>6</v>
      </c>
      <c r="BA11" s="84">
        <v>6</v>
      </c>
      <c r="BB11" s="84">
        <v>6</v>
      </c>
      <c r="BC11" s="85">
        <v>6</v>
      </c>
    </row>
    <row r="12" spans="2:55" ht="12.75" customHeight="1" x14ac:dyDescent="0.25">
      <c r="B12" s="69"/>
      <c r="C12" s="109"/>
      <c r="D12" s="109"/>
      <c r="E12" s="167"/>
      <c r="F12" s="150">
        <f>1.422+0.765</f>
        <v>2.1869999999999998</v>
      </c>
      <c r="G12" s="73" t="s">
        <v>75</v>
      </c>
      <c r="H12" s="73" t="s">
        <v>75</v>
      </c>
      <c r="I12" s="72">
        <v>0.10100000000000001</v>
      </c>
      <c r="J12" s="72">
        <v>0.05</v>
      </c>
      <c r="K12" s="73" t="s">
        <v>75</v>
      </c>
      <c r="L12" s="73" t="s">
        <v>75</v>
      </c>
      <c r="M12" s="73" t="s">
        <v>75</v>
      </c>
      <c r="N12" s="73" t="s">
        <v>75</v>
      </c>
      <c r="O12" s="73" t="s">
        <v>75</v>
      </c>
      <c r="P12" s="73" t="s">
        <v>75</v>
      </c>
      <c r="Q12" s="73" t="s">
        <v>75</v>
      </c>
      <c r="R12" s="73" t="s">
        <v>75</v>
      </c>
      <c r="S12" s="73" t="s">
        <v>75</v>
      </c>
      <c r="T12" s="73" t="s">
        <v>75</v>
      </c>
      <c r="U12" s="72">
        <v>0.22500000000000001</v>
      </c>
      <c r="V12" s="73" t="s">
        <v>75</v>
      </c>
      <c r="W12" s="73" t="s">
        <v>75</v>
      </c>
      <c r="X12" s="73" t="s">
        <v>75</v>
      </c>
      <c r="Y12" s="73" t="s">
        <v>75</v>
      </c>
      <c r="Z12" s="72">
        <v>0.48799999999999999</v>
      </c>
      <c r="AA12" s="72">
        <v>0.67300000000000004</v>
      </c>
      <c r="AB12" s="72">
        <f t="shared" si="22"/>
        <v>0.30772748056698679</v>
      </c>
      <c r="AC12" s="72">
        <v>1.3859999999999999</v>
      </c>
      <c r="AD12" s="72">
        <f t="shared" si="23"/>
        <v>0.63374485596707819</v>
      </c>
      <c r="AE12" s="73" t="s">
        <v>75</v>
      </c>
      <c r="AF12" s="73" t="s">
        <v>75</v>
      </c>
      <c r="AG12" s="73" t="s">
        <v>75</v>
      </c>
      <c r="AH12" s="73" t="s">
        <v>75</v>
      </c>
      <c r="AI12" s="72">
        <v>0.10100000000000001</v>
      </c>
      <c r="AJ12" s="72">
        <v>6.3E-2</v>
      </c>
      <c r="AK12" s="72">
        <f t="shared" si="25"/>
        <v>1.6031746031746033</v>
      </c>
      <c r="AL12" s="73" t="s">
        <v>75</v>
      </c>
      <c r="AM12" s="73" t="s">
        <v>75</v>
      </c>
      <c r="AN12" s="73" t="s">
        <v>75</v>
      </c>
      <c r="AO12" s="72">
        <f t="shared" si="27"/>
        <v>0.39763779527559057</v>
      </c>
      <c r="AP12" s="72">
        <v>0.254</v>
      </c>
      <c r="AQ12" s="72">
        <v>0.124</v>
      </c>
      <c r="AR12" s="72">
        <f t="shared" si="28"/>
        <v>0.11614083219021491</v>
      </c>
      <c r="AS12" s="72">
        <f t="shared" si="29"/>
        <v>2.0483870967741935</v>
      </c>
      <c r="AT12" s="73" t="s">
        <v>75</v>
      </c>
      <c r="AU12" s="72">
        <v>0.122</v>
      </c>
      <c r="AV12" s="72">
        <v>9.9000000000000005E-2</v>
      </c>
      <c r="AW12" s="72">
        <f t="shared" ref="AW12" si="33">AU12/AV12</f>
        <v>1.2323232323232323</v>
      </c>
      <c r="AX12" s="82">
        <f t="shared" ref="AX12" si="34">AP12/AU12</f>
        <v>2.081967213114754</v>
      </c>
      <c r="AY12" s="73" t="s">
        <v>75</v>
      </c>
      <c r="AZ12" s="73" t="s">
        <v>75</v>
      </c>
      <c r="BA12" s="73" t="s">
        <v>75</v>
      </c>
      <c r="BB12" s="73" t="s">
        <v>75</v>
      </c>
      <c r="BC12" s="74" t="s">
        <v>75</v>
      </c>
    </row>
    <row r="13" spans="2:55" ht="12.75" customHeight="1" x14ac:dyDescent="0.25">
      <c r="B13" s="86">
        <v>24374</v>
      </c>
      <c r="C13" s="112" t="s">
        <v>166</v>
      </c>
      <c r="D13" s="113" t="s">
        <v>197</v>
      </c>
      <c r="E13" s="168" t="s">
        <v>187</v>
      </c>
      <c r="F13" s="151">
        <f>1.193+0.721</f>
        <v>1.9140000000000001</v>
      </c>
      <c r="G13" s="80">
        <f>I13+J13+K13+L13+M13+N13+O13</f>
        <v>3.4559999999999995</v>
      </c>
      <c r="H13" s="80">
        <f>G13/F13</f>
        <v>1.8056426332288398</v>
      </c>
      <c r="I13" s="78">
        <v>0.111</v>
      </c>
      <c r="J13" s="78">
        <v>5.1999999999999998E-2</v>
      </c>
      <c r="K13" s="78">
        <v>0.99199999999999999</v>
      </c>
      <c r="L13" s="78">
        <v>0.72099999999999997</v>
      </c>
      <c r="M13" s="78">
        <v>0.753</v>
      </c>
      <c r="N13" s="78">
        <v>0.13100000000000001</v>
      </c>
      <c r="O13" s="78">
        <v>0.69599999999999995</v>
      </c>
      <c r="P13" s="78">
        <f t="shared" ref="P13:P19" si="35">N13+O13</f>
        <v>0.82699999999999996</v>
      </c>
      <c r="Q13" s="80">
        <f t="shared" ref="Q13:Q19" si="36">(N13+O13)/K13</f>
        <v>0.83366935483870963</v>
      </c>
      <c r="R13" s="80">
        <f t="shared" si="19"/>
        <v>0.75907258064516125</v>
      </c>
      <c r="S13" s="80">
        <f t="shared" si="20"/>
        <v>0.72681451612903225</v>
      </c>
      <c r="T13" s="80">
        <f t="shared" ref="T13:T19" si="37">O13/N13</f>
        <v>5.3129770992366403</v>
      </c>
      <c r="U13" s="78">
        <v>0.28999999999999998</v>
      </c>
      <c r="V13" s="78">
        <f t="shared" ref="V13:V19" si="38">G13/U13</f>
        <v>11.917241379310344</v>
      </c>
      <c r="W13" s="78">
        <v>0.70099999999999996</v>
      </c>
      <c r="X13" s="78">
        <v>9.6000000000000002E-2</v>
      </c>
      <c r="Y13" s="78">
        <f t="shared" si="21"/>
        <v>7.302083333333333</v>
      </c>
      <c r="Z13" s="78">
        <v>0.45100000000000001</v>
      </c>
      <c r="AA13" s="78">
        <v>0.61399999999999999</v>
      </c>
      <c r="AB13" s="78">
        <f t="shared" si="22"/>
        <v>0.32079414838035525</v>
      </c>
      <c r="AC13" s="78">
        <v>1.2470000000000001</v>
      </c>
      <c r="AD13" s="78">
        <f t="shared" si="23"/>
        <v>0.65151515151515149</v>
      </c>
      <c r="AE13" s="78">
        <v>7.8E-2</v>
      </c>
      <c r="AF13" s="78">
        <f t="shared" si="24"/>
        <v>7.8629032258064516E-2</v>
      </c>
      <c r="AG13" s="78">
        <f t="shared" ref="AG13:AG19" si="39">AE13/P13</f>
        <v>9.4316807738814998E-2</v>
      </c>
      <c r="AH13" s="78">
        <f>AE13/N13</f>
        <v>0.59541984732824427</v>
      </c>
      <c r="AI13" s="78">
        <v>9.0999999999999998E-2</v>
      </c>
      <c r="AJ13" s="78">
        <v>5.0999999999999997E-2</v>
      </c>
      <c r="AK13" s="78">
        <f t="shared" si="25"/>
        <v>1.7843137254901962</v>
      </c>
      <c r="AL13" s="78">
        <f>AI13/AE13</f>
        <v>1.1666666666666667</v>
      </c>
      <c r="AM13" s="78">
        <f t="shared" ref="AM13:AM20" si="40">AI13/N13</f>
        <v>0.69465648854961826</v>
      </c>
      <c r="AN13" s="78">
        <f t="shared" si="26"/>
        <v>9.1733870967741937E-2</v>
      </c>
      <c r="AO13" s="78">
        <f t="shared" si="27"/>
        <v>0.38396624472573843</v>
      </c>
      <c r="AP13" s="78">
        <v>0.23699999999999999</v>
      </c>
      <c r="AQ13" s="78">
        <v>0.1</v>
      </c>
      <c r="AR13" s="78">
        <f t="shared" si="28"/>
        <v>0.12382445141065829</v>
      </c>
      <c r="AS13" s="78">
        <f t="shared" si="29"/>
        <v>2.3699999999999997</v>
      </c>
      <c r="AT13" s="78">
        <f t="shared" ref="AT13:AT20" si="41">AP13/K13</f>
        <v>0.23891129032258063</v>
      </c>
      <c r="AU13" s="78">
        <v>0.107</v>
      </c>
      <c r="AV13" s="78">
        <v>0.107</v>
      </c>
      <c r="AW13" s="78">
        <f t="shared" si="31"/>
        <v>1</v>
      </c>
      <c r="AX13" s="80">
        <f t="shared" si="32"/>
        <v>2.2149532710280373</v>
      </c>
      <c r="AY13" s="87">
        <v>4</v>
      </c>
      <c r="AZ13" s="87">
        <v>6</v>
      </c>
      <c r="BA13" s="87">
        <v>5</v>
      </c>
      <c r="BB13" s="87">
        <v>6</v>
      </c>
      <c r="BC13" s="88">
        <v>6</v>
      </c>
    </row>
    <row r="14" spans="2:55" ht="12.75" customHeight="1" x14ac:dyDescent="0.25">
      <c r="B14" s="75"/>
      <c r="C14" s="113"/>
      <c r="D14" s="113"/>
      <c r="E14" s="168"/>
      <c r="F14" s="151">
        <f>1.193+0.721</f>
        <v>1.9140000000000001</v>
      </c>
      <c r="G14" s="80">
        <f>I14+J14+K14+L14+M14+N14+O14</f>
        <v>3.7280000000000006</v>
      </c>
      <c r="H14" s="80">
        <f>G14/F14</f>
        <v>1.9477533960292583</v>
      </c>
      <c r="I14" s="78">
        <v>0.11700000000000001</v>
      </c>
      <c r="J14" s="78">
        <v>5.2999999999999999E-2</v>
      </c>
      <c r="K14" s="78">
        <v>0.93500000000000005</v>
      </c>
      <c r="L14" s="78">
        <v>0.72899999999999998</v>
      </c>
      <c r="M14" s="78">
        <v>0.749</v>
      </c>
      <c r="N14" s="78">
        <v>0.13600000000000001</v>
      </c>
      <c r="O14" s="78">
        <f>0.666+0.125+0.218</f>
        <v>1.0090000000000001</v>
      </c>
      <c r="P14" s="78">
        <f t="shared" si="35"/>
        <v>1.145</v>
      </c>
      <c r="Q14" s="80">
        <f t="shared" si="36"/>
        <v>1.2245989304812834</v>
      </c>
      <c r="R14" s="80">
        <f t="shared" si="19"/>
        <v>0.8010695187165775</v>
      </c>
      <c r="S14" s="80">
        <f t="shared" si="20"/>
        <v>0.77967914438502672</v>
      </c>
      <c r="T14" s="80">
        <f t="shared" si="37"/>
        <v>7.4191176470588243</v>
      </c>
      <c r="U14" s="78">
        <v>0.28999999999999998</v>
      </c>
      <c r="V14" s="78">
        <f t="shared" si="38"/>
        <v>12.855172413793106</v>
      </c>
      <c r="W14" s="78">
        <v>0.69299999999999995</v>
      </c>
      <c r="X14" s="78">
        <v>9.7000000000000003E-2</v>
      </c>
      <c r="Y14" s="78">
        <f t="shared" si="21"/>
        <v>7.144329896907216</v>
      </c>
      <c r="Z14" s="78">
        <v>0.433</v>
      </c>
      <c r="AA14" s="79" t="s">
        <v>75</v>
      </c>
      <c r="AB14" s="79" t="s">
        <v>75</v>
      </c>
      <c r="AC14" s="79" t="s">
        <v>75</v>
      </c>
      <c r="AD14" s="79" t="s">
        <v>75</v>
      </c>
      <c r="AE14" s="79" t="s">
        <v>75</v>
      </c>
      <c r="AF14" s="79" t="s">
        <v>75</v>
      </c>
      <c r="AG14" s="79" t="s">
        <v>75</v>
      </c>
      <c r="AH14" s="79" t="s">
        <v>75</v>
      </c>
      <c r="AI14" s="78">
        <v>9.0999999999999998E-2</v>
      </c>
      <c r="AJ14" s="78">
        <v>5.0999999999999997E-2</v>
      </c>
      <c r="AK14" s="78">
        <f t="shared" si="25"/>
        <v>1.7843137254901962</v>
      </c>
      <c r="AL14" s="79" t="s">
        <v>75</v>
      </c>
      <c r="AM14" s="78">
        <f t="shared" si="40"/>
        <v>0.66911764705882348</v>
      </c>
      <c r="AN14" s="78">
        <f t="shared" si="26"/>
        <v>9.7326203208556145E-2</v>
      </c>
      <c r="AO14" s="78">
        <f t="shared" si="27"/>
        <v>0.36693548387096775</v>
      </c>
      <c r="AP14" s="78">
        <v>0.248</v>
      </c>
      <c r="AQ14" s="78">
        <v>0.108</v>
      </c>
      <c r="AR14" s="78">
        <f t="shared" si="28"/>
        <v>0.12957157784743992</v>
      </c>
      <c r="AS14" s="78">
        <f t="shared" si="29"/>
        <v>2.2962962962962963</v>
      </c>
      <c r="AT14" s="78">
        <f t="shared" si="41"/>
        <v>0.26524064171122991</v>
      </c>
      <c r="AU14" s="78">
        <v>0.107</v>
      </c>
      <c r="AV14" s="78">
        <v>0.107</v>
      </c>
      <c r="AW14" s="78">
        <f t="shared" ref="AW14" si="42">AU14/AV14</f>
        <v>1</v>
      </c>
      <c r="AX14" s="80">
        <f t="shared" ref="AX14" si="43">AP14/AU14</f>
        <v>2.3177570093457942</v>
      </c>
      <c r="AY14" s="79" t="s">
        <v>75</v>
      </c>
      <c r="AZ14" s="79" t="s">
        <v>75</v>
      </c>
      <c r="BA14" s="79" t="s">
        <v>75</v>
      </c>
      <c r="BB14" s="79" t="s">
        <v>75</v>
      </c>
      <c r="BC14" s="81" t="s">
        <v>75</v>
      </c>
    </row>
    <row r="15" spans="2:55" ht="12.75" customHeight="1" x14ac:dyDescent="0.25">
      <c r="B15" s="83">
        <v>24370</v>
      </c>
      <c r="C15" s="116" t="s">
        <v>166</v>
      </c>
      <c r="D15" s="109" t="s">
        <v>198</v>
      </c>
      <c r="E15" s="167" t="s">
        <v>199</v>
      </c>
      <c r="F15" s="150">
        <f>1.419+0.639</f>
        <v>2.0579999999999998</v>
      </c>
      <c r="G15" s="73" t="s">
        <v>75</v>
      </c>
      <c r="H15" s="73" t="s">
        <v>75</v>
      </c>
      <c r="I15" s="72">
        <v>0.104</v>
      </c>
      <c r="J15" s="72">
        <v>5.6000000000000001E-2</v>
      </c>
      <c r="K15" s="72">
        <v>0.95399999999999996</v>
      </c>
      <c r="L15" s="72">
        <v>0.75800000000000001</v>
      </c>
      <c r="M15" s="72">
        <v>0.79500000000000004</v>
      </c>
      <c r="N15" s="72">
        <v>0.14899999999999999</v>
      </c>
      <c r="O15" s="73" t="s">
        <v>75</v>
      </c>
      <c r="P15" s="73" t="s">
        <v>75</v>
      </c>
      <c r="Q15" s="73" t="s">
        <v>75</v>
      </c>
      <c r="R15" s="82">
        <f t="shared" si="19"/>
        <v>0.83333333333333337</v>
      </c>
      <c r="S15" s="82">
        <f t="shared" si="20"/>
        <v>0.79454926624737954</v>
      </c>
      <c r="T15" s="73" t="s">
        <v>75</v>
      </c>
      <c r="U15" s="72">
        <v>0.29699999999999999</v>
      </c>
      <c r="V15" s="73" t="s">
        <v>75</v>
      </c>
      <c r="W15" s="72">
        <v>0.755</v>
      </c>
      <c r="X15" s="72">
        <v>9.7000000000000003E-2</v>
      </c>
      <c r="Y15" s="72">
        <f t="shared" si="21"/>
        <v>7.7835051546391751</v>
      </c>
      <c r="Z15" s="72">
        <v>0.47099999999999997</v>
      </c>
      <c r="AA15" s="72">
        <v>0.65900000000000003</v>
      </c>
      <c r="AB15" s="72">
        <f>AA15/F15</f>
        <v>0.32021379980563658</v>
      </c>
      <c r="AC15" s="72">
        <v>1.3740000000000001</v>
      </c>
      <c r="AD15" s="72">
        <f>AC15/F15</f>
        <v>0.66763848396501468</v>
      </c>
      <c r="AE15" s="72">
        <v>9.0999999999999998E-2</v>
      </c>
      <c r="AF15" s="72">
        <f t="shared" si="24"/>
        <v>9.5387840670859536E-2</v>
      </c>
      <c r="AG15" s="73" t="s">
        <v>75</v>
      </c>
      <c r="AH15" s="72">
        <f>AE15/N15</f>
        <v>0.61073825503355705</v>
      </c>
      <c r="AI15" s="72">
        <v>9.1999999999999998E-2</v>
      </c>
      <c r="AJ15" s="72">
        <v>5.3999999999999999E-2</v>
      </c>
      <c r="AK15" s="72">
        <f t="shared" si="25"/>
        <v>1.7037037037037037</v>
      </c>
      <c r="AL15" s="72">
        <f>AI15/AE15</f>
        <v>1.0109890109890109</v>
      </c>
      <c r="AM15" s="72">
        <f t="shared" si="40"/>
        <v>0.6174496644295302</v>
      </c>
      <c r="AN15" s="72">
        <f t="shared" si="26"/>
        <v>9.6436058700209645E-2</v>
      </c>
      <c r="AO15" s="72">
        <f t="shared" si="27"/>
        <v>0.36653386454183268</v>
      </c>
      <c r="AP15" s="72">
        <v>0.251</v>
      </c>
      <c r="AQ15" s="72">
        <v>0.122</v>
      </c>
      <c r="AR15" s="72">
        <f t="shared" si="28"/>
        <v>0.12196307094266279</v>
      </c>
      <c r="AS15" s="72">
        <f t="shared" si="29"/>
        <v>2.057377049180328</v>
      </c>
      <c r="AT15" s="72">
        <f t="shared" si="41"/>
        <v>0.26310272536687634</v>
      </c>
      <c r="AU15" s="72">
        <v>0.11700000000000001</v>
      </c>
      <c r="AV15" s="72">
        <v>0.10199999999999999</v>
      </c>
      <c r="AW15" s="72">
        <f t="shared" si="31"/>
        <v>1.1470588235294119</v>
      </c>
      <c r="AX15" s="82">
        <f t="shared" si="32"/>
        <v>2.1452991452991452</v>
      </c>
      <c r="AY15" s="84">
        <v>4</v>
      </c>
      <c r="AZ15" s="84">
        <v>8</v>
      </c>
      <c r="BA15" s="73" t="s">
        <v>75</v>
      </c>
      <c r="BB15" s="84">
        <v>6</v>
      </c>
      <c r="BC15" s="85">
        <v>6</v>
      </c>
    </row>
    <row r="16" spans="2:55" ht="12.75" customHeight="1" x14ac:dyDescent="0.25">
      <c r="B16" s="69"/>
      <c r="C16" s="109"/>
      <c r="D16" s="109"/>
      <c r="E16" s="167"/>
      <c r="F16" s="150">
        <f>1.419+0.639</f>
        <v>2.0579999999999998</v>
      </c>
      <c r="G16" s="73" t="s">
        <v>75</v>
      </c>
      <c r="H16" s="73" t="s">
        <v>75</v>
      </c>
      <c r="I16" s="72">
        <v>0.106</v>
      </c>
      <c r="J16" s="72">
        <v>5.7000000000000002E-2</v>
      </c>
      <c r="K16" s="72">
        <v>0.98599999999999999</v>
      </c>
      <c r="L16" s="72">
        <v>0.751</v>
      </c>
      <c r="M16" s="72">
        <v>0.79800000000000004</v>
      </c>
      <c r="N16" s="72">
        <v>0.14000000000000001</v>
      </c>
      <c r="O16" s="73" t="s">
        <v>75</v>
      </c>
      <c r="P16" s="73" t="s">
        <v>75</v>
      </c>
      <c r="Q16" s="73" t="s">
        <v>75</v>
      </c>
      <c r="R16" s="82">
        <f t="shared" si="19"/>
        <v>0.80933062880324547</v>
      </c>
      <c r="S16" s="82">
        <f t="shared" si="20"/>
        <v>0.76166328600405686</v>
      </c>
      <c r="T16" s="73" t="s">
        <v>75</v>
      </c>
      <c r="U16" s="72">
        <v>0.29699999999999999</v>
      </c>
      <c r="V16" s="73" t="s">
        <v>75</v>
      </c>
      <c r="W16" s="73" t="s">
        <v>75</v>
      </c>
      <c r="X16" s="73" t="s">
        <v>75</v>
      </c>
      <c r="Y16" s="73" t="s">
        <v>75</v>
      </c>
      <c r="Z16" s="73" t="s">
        <v>75</v>
      </c>
      <c r="AA16" s="73" t="s">
        <v>75</v>
      </c>
      <c r="AB16" s="73" t="s">
        <v>75</v>
      </c>
      <c r="AC16" s="73" t="s">
        <v>75</v>
      </c>
      <c r="AD16" s="73" t="s">
        <v>75</v>
      </c>
      <c r="AE16" s="73" t="s">
        <v>75</v>
      </c>
      <c r="AF16" s="73" t="s">
        <v>75</v>
      </c>
      <c r="AG16" s="73" t="s">
        <v>75</v>
      </c>
      <c r="AH16" s="73" t="s">
        <v>75</v>
      </c>
      <c r="AI16" s="72">
        <v>9.1999999999999998E-2</v>
      </c>
      <c r="AJ16" s="72">
        <v>5.3999999999999999E-2</v>
      </c>
      <c r="AK16" s="72">
        <f t="shared" si="25"/>
        <v>1.7037037037037037</v>
      </c>
      <c r="AL16" s="73" t="s">
        <v>75</v>
      </c>
      <c r="AM16" s="72">
        <f t="shared" si="40"/>
        <v>0.65714285714285703</v>
      </c>
      <c r="AN16" s="72">
        <f t="shared" si="26"/>
        <v>9.330628803245436E-2</v>
      </c>
      <c r="AO16" s="72">
        <f t="shared" si="27"/>
        <v>0.359375</v>
      </c>
      <c r="AP16" s="72">
        <v>0.25600000000000001</v>
      </c>
      <c r="AQ16" s="72">
        <v>9.7000000000000003E-2</v>
      </c>
      <c r="AR16" s="72">
        <f t="shared" si="28"/>
        <v>0.12439261418853256</v>
      </c>
      <c r="AS16" s="72">
        <f t="shared" si="29"/>
        <v>2.6391752577319587</v>
      </c>
      <c r="AT16" s="72">
        <f t="shared" si="41"/>
        <v>0.25963488843813387</v>
      </c>
      <c r="AU16" s="72">
        <v>0.11700000000000001</v>
      </c>
      <c r="AV16" s="72">
        <v>0.10199999999999999</v>
      </c>
      <c r="AW16" s="72">
        <f t="shared" ref="AW16" si="44">AU16/AV16</f>
        <v>1.1470588235294119</v>
      </c>
      <c r="AX16" s="82">
        <f t="shared" ref="AX16" si="45">AP16/AU16</f>
        <v>2.1880341880341878</v>
      </c>
      <c r="AY16" s="73" t="s">
        <v>75</v>
      </c>
      <c r="AZ16" s="84">
        <v>9</v>
      </c>
      <c r="BA16" s="73" t="s">
        <v>75</v>
      </c>
      <c r="BB16" s="73" t="s">
        <v>75</v>
      </c>
      <c r="BC16" s="74" t="s">
        <v>75</v>
      </c>
    </row>
    <row r="17" spans="2:55" ht="12.75" customHeight="1" x14ac:dyDescent="0.25">
      <c r="B17" s="86">
        <v>24370</v>
      </c>
      <c r="C17" s="112" t="s">
        <v>166</v>
      </c>
      <c r="D17" s="113" t="s">
        <v>198</v>
      </c>
      <c r="E17" s="168" t="s">
        <v>199</v>
      </c>
      <c r="F17" s="151">
        <f>1.344+0.441</f>
        <v>1.7850000000000001</v>
      </c>
      <c r="G17" s="80">
        <f>I17+J17+K17+L17+M17+N17+O17</f>
        <v>3.96</v>
      </c>
      <c r="H17" s="80">
        <f>G17/F17</f>
        <v>2.2184873949579829</v>
      </c>
      <c r="I17" s="78">
        <v>0.11799999999999999</v>
      </c>
      <c r="J17" s="78">
        <v>6.3E-2</v>
      </c>
      <c r="K17" s="78">
        <v>0.96299999999999997</v>
      </c>
      <c r="L17" s="78">
        <v>0.70599999999999996</v>
      </c>
      <c r="M17" s="78">
        <v>0.77500000000000002</v>
      </c>
      <c r="N17" s="78">
        <v>0.13400000000000001</v>
      </c>
      <c r="O17" s="78">
        <f>0.402+0.799</f>
        <v>1.2010000000000001</v>
      </c>
      <c r="P17" s="78">
        <f t="shared" si="35"/>
        <v>1.335</v>
      </c>
      <c r="Q17" s="80">
        <f t="shared" si="36"/>
        <v>1.3862928348909658</v>
      </c>
      <c r="R17" s="80">
        <f t="shared" si="19"/>
        <v>0.80477673935617866</v>
      </c>
      <c r="S17" s="80">
        <f t="shared" si="20"/>
        <v>0.73312564901349941</v>
      </c>
      <c r="T17" s="80">
        <f t="shared" si="37"/>
        <v>8.9626865671641784</v>
      </c>
      <c r="U17" s="78">
        <v>0.29499999999999998</v>
      </c>
      <c r="V17" s="78">
        <f t="shared" si="38"/>
        <v>13.423728813559322</v>
      </c>
      <c r="W17" s="78">
        <v>0.78600000000000003</v>
      </c>
      <c r="X17" s="78">
        <v>0.10100000000000001</v>
      </c>
      <c r="Y17" s="78">
        <f t="shared" si="21"/>
        <v>7.782178217821782</v>
      </c>
      <c r="Z17" s="78">
        <v>0.48399999999999999</v>
      </c>
      <c r="AA17" s="78">
        <v>0.67600000000000005</v>
      </c>
      <c r="AB17" s="78">
        <f>AA17/F17</f>
        <v>0.37871148459383752</v>
      </c>
      <c r="AC17" s="78">
        <v>1.4</v>
      </c>
      <c r="AD17" s="78">
        <f>AC17/F17</f>
        <v>0.78431372549019596</v>
      </c>
      <c r="AE17" s="78">
        <v>0.115</v>
      </c>
      <c r="AF17" s="78">
        <f t="shared" si="24"/>
        <v>0.11941848390446522</v>
      </c>
      <c r="AG17" s="78">
        <f t="shared" si="39"/>
        <v>8.6142322097378279E-2</v>
      </c>
      <c r="AH17" s="78">
        <f>AE17/N17</f>
        <v>0.85820895522388063</v>
      </c>
      <c r="AI17" s="78">
        <v>9.5000000000000001E-2</v>
      </c>
      <c r="AJ17" s="78">
        <v>0.06</v>
      </c>
      <c r="AK17" s="78">
        <f t="shared" si="25"/>
        <v>1.5833333333333335</v>
      </c>
      <c r="AL17" s="78">
        <f>AI17/AE17</f>
        <v>0.82608695652173914</v>
      </c>
      <c r="AM17" s="78">
        <f t="shared" si="40"/>
        <v>0.70895522388059695</v>
      </c>
      <c r="AN17" s="78">
        <f t="shared" si="26"/>
        <v>9.8650051921079965E-2</v>
      </c>
      <c r="AO17" s="78">
        <f t="shared" si="27"/>
        <v>0.34172661870503596</v>
      </c>
      <c r="AP17" s="78">
        <v>0.27800000000000002</v>
      </c>
      <c r="AQ17" s="78">
        <v>0.121</v>
      </c>
      <c r="AR17" s="78">
        <f t="shared" si="28"/>
        <v>0.15574229691876751</v>
      </c>
      <c r="AS17" s="78">
        <f t="shared" si="29"/>
        <v>2.2975206611570251</v>
      </c>
      <c r="AT17" s="78">
        <f t="shared" si="41"/>
        <v>0.28868120456905505</v>
      </c>
      <c r="AU17" s="78">
        <v>0.11700000000000001</v>
      </c>
      <c r="AV17" s="78">
        <v>0.14499999999999999</v>
      </c>
      <c r="AW17" s="78">
        <f t="shared" si="31"/>
        <v>0.80689655172413799</v>
      </c>
      <c r="AX17" s="80">
        <f t="shared" si="32"/>
        <v>2.3760683760683761</v>
      </c>
      <c r="AY17" s="87">
        <v>4</v>
      </c>
      <c r="AZ17" s="87">
        <v>5</v>
      </c>
      <c r="BA17" s="87">
        <v>5</v>
      </c>
      <c r="BB17" s="87">
        <v>6</v>
      </c>
      <c r="BC17" s="88">
        <v>9</v>
      </c>
    </row>
    <row r="18" spans="2:55" ht="12.75" customHeight="1" x14ac:dyDescent="0.25">
      <c r="B18" s="75"/>
      <c r="C18" s="113"/>
      <c r="D18" s="113"/>
      <c r="E18" s="168"/>
      <c r="F18" s="151">
        <f>1.344+0.441</f>
        <v>1.7850000000000001</v>
      </c>
      <c r="G18" s="80">
        <f>I18+J18+K18+L18+M18+N18+O18</f>
        <v>4.194</v>
      </c>
      <c r="H18" s="80">
        <f>G18/F18</f>
        <v>2.3495798319327728</v>
      </c>
      <c r="I18" s="78">
        <v>0.11600000000000001</v>
      </c>
      <c r="J18" s="78">
        <v>0.06</v>
      </c>
      <c r="K18" s="78">
        <v>0.96</v>
      </c>
      <c r="L18" s="78">
        <v>0.72699999999999998</v>
      </c>
      <c r="M18" s="78">
        <v>0.77200000000000002</v>
      </c>
      <c r="N18" s="78">
        <v>0.13</v>
      </c>
      <c r="O18" s="78">
        <f>0.215+0.172+0.363+0.155+0.524</f>
        <v>1.429</v>
      </c>
      <c r="P18" s="78">
        <f t="shared" si="35"/>
        <v>1.5590000000000002</v>
      </c>
      <c r="Q18" s="80">
        <f t="shared" si="36"/>
        <v>1.6239583333333336</v>
      </c>
      <c r="R18" s="80">
        <f t="shared" si="19"/>
        <v>0.8041666666666667</v>
      </c>
      <c r="S18" s="80">
        <f t="shared" si="20"/>
        <v>0.7572916666666667</v>
      </c>
      <c r="T18" s="80">
        <f t="shared" si="37"/>
        <v>10.992307692307692</v>
      </c>
      <c r="U18" s="78">
        <v>0.29499999999999998</v>
      </c>
      <c r="V18" s="78">
        <f t="shared" si="38"/>
        <v>14.216949152542373</v>
      </c>
      <c r="W18" s="78">
        <v>0.77100000000000002</v>
      </c>
      <c r="X18" s="78">
        <v>0.10299999999999999</v>
      </c>
      <c r="Y18" s="78">
        <f t="shared" si="21"/>
        <v>7.4854368932038842</v>
      </c>
      <c r="Z18" s="78">
        <v>0.48399999999999999</v>
      </c>
      <c r="AA18" s="78">
        <v>0.69899999999999995</v>
      </c>
      <c r="AB18" s="78">
        <f>AA18/F18</f>
        <v>0.39159663865546213</v>
      </c>
      <c r="AC18" s="78">
        <v>1.375</v>
      </c>
      <c r="AD18" s="78">
        <f>AC18/F18</f>
        <v>0.77030812324929965</v>
      </c>
      <c r="AE18" s="78">
        <v>0.112</v>
      </c>
      <c r="AF18" s="78">
        <f t="shared" si="24"/>
        <v>0.11666666666666667</v>
      </c>
      <c r="AG18" s="78">
        <f t="shared" si="39"/>
        <v>7.1840923669018592E-2</v>
      </c>
      <c r="AH18" s="78">
        <f>AE18/N18</f>
        <v>0.86153846153846148</v>
      </c>
      <c r="AI18" s="78">
        <v>9.5000000000000001E-2</v>
      </c>
      <c r="AJ18" s="78">
        <v>0.06</v>
      </c>
      <c r="AK18" s="78">
        <f t="shared" si="25"/>
        <v>1.5833333333333335</v>
      </c>
      <c r="AL18" s="78">
        <f>AI18/AE18</f>
        <v>0.8482142857142857</v>
      </c>
      <c r="AM18" s="78">
        <f t="shared" si="40"/>
        <v>0.73076923076923073</v>
      </c>
      <c r="AN18" s="78">
        <f t="shared" si="26"/>
        <v>9.8958333333333343E-2</v>
      </c>
      <c r="AO18" s="78">
        <f t="shared" si="27"/>
        <v>0.35055350553505532</v>
      </c>
      <c r="AP18" s="78">
        <v>0.27100000000000002</v>
      </c>
      <c r="AQ18" s="78">
        <v>0.13400000000000001</v>
      </c>
      <c r="AR18" s="78">
        <f t="shared" si="28"/>
        <v>0.15182072829131651</v>
      </c>
      <c r="AS18" s="78">
        <f t="shared" si="29"/>
        <v>2.0223880597014925</v>
      </c>
      <c r="AT18" s="78">
        <f t="shared" si="41"/>
        <v>0.28229166666666672</v>
      </c>
      <c r="AU18" s="78">
        <v>0.11700000000000001</v>
      </c>
      <c r="AV18" s="78">
        <v>0.14499999999999999</v>
      </c>
      <c r="AW18" s="78">
        <f t="shared" ref="AW18" si="46">AU18/AV18</f>
        <v>0.80689655172413799</v>
      </c>
      <c r="AX18" s="80">
        <f t="shared" ref="AX18" si="47">AP18/AU18</f>
        <v>2.3162393162393164</v>
      </c>
      <c r="AY18" s="79" t="s">
        <v>75</v>
      </c>
      <c r="AZ18" s="87">
        <v>7</v>
      </c>
      <c r="BA18" s="79" t="s">
        <v>75</v>
      </c>
      <c r="BB18" s="79" t="s">
        <v>75</v>
      </c>
      <c r="BC18" s="81" t="s">
        <v>75</v>
      </c>
    </row>
    <row r="19" spans="2:55" ht="12.75" customHeight="1" x14ac:dyDescent="0.25">
      <c r="B19" s="83">
        <v>21397</v>
      </c>
      <c r="C19" s="116" t="s">
        <v>166</v>
      </c>
      <c r="D19" s="109" t="s">
        <v>165</v>
      </c>
      <c r="E19" s="167" t="s">
        <v>188</v>
      </c>
      <c r="F19" s="150">
        <f>1.328+0.75</f>
        <v>2.0780000000000003</v>
      </c>
      <c r="G19" s="82">
        <f>I19+J19+K19+L19+M19+N19+O19</f>
        <v>4.6780000000000008</v>
      </c>
      <c r="H19" s="82">
        <f>G19/F19</f>
        <v>2.2512030798845046</v>
      </c>
      <c r="I19" s="72">
        <v>0.104</v>
      </c>
      <c r="J19" s="72">
        <v>5.0999999999999997E-2</v>
      </c>
      <c r="K19" s="72">
        <v>0.93100000000000005</v>
      </c>
      <c r="L19" s="72">
        <v>0.79100000000000004</v>
      </c>
      <c r="M19" s="72">
        <v>0.91800000000000004</v>
      </c>
      <c r="N19" s="72">
        <v>0.16500000000000001</v>
      </c>
      <c r="O19" s="72">
        <v>1.718</v>
      </c>
      <c r="P19" s="72">
        <f t="shared" si="35"/>
        <v>1.883</v>
      </c>
      <c r="Q19" s="82">
        <f t="shared" si="36"/>
        <v>2.0225563909774436</v>
      </c>
      <c r="R19" s="82">
        <f t="shared" si="19"/>
        <v>0.9860365198711063</v>
      </c>
      <c r="S19" s="82">
        <f t="shared" si="20"/>
        <v>0.84962406015037595</v>
      </c>
      <c r="T19" s="82">
        <f t="shared" si="37"/>
        <v>10.412121212121212</v>
      </c>
      <c r="U19" s="72">
        <v>0.223</v>
      </c>
      <c r="V19" s="72">
        <f t="shared" si="38"/>
        <v>20.977578475336326</v>
      </c>
      <c r="W19" s="72">
        <v>0.68600000000000005</v>
      </c>
      <c r="X19" s="72">
        <v>0.12</v>
      </c>
      <c r="Y19" s="72">
        <f t="shared" si="21"/>
        <v>5.7166666666666677</v>
      </c>
      <c r="Z19" s="72">
        <v>0.41199999999999998</v>
      </c>
      <c r="AA19" s="72">
        <v>0.59499999999999997</v>
      </c>
      <c r="AB19" s="72">
        <f>AA19/F19</f>
        <v>0.28633301251203075</v>
      </c>
      <c r="AC19" s="72">
        <v>1.2370000000000001</v>
      </c>
      <c r="AD19" s="72">
        <f>AC19/F19</f>
        <v>0.59528392685274301</v>
      </c>
      <c r="AE19" s="72">
        <v>0.11</v>
      </c>
      <c r="AF19" s="72">
        <f t="shared" si="24"/>
        <v>0.11815252416756175</v>
      </c>
      <c r="AG19" s="72">
        <f t="shared" si="39"/>
        <v>5.8417419012214554E-2</v>
      </c>
      <c r="AH19" s="72">
        <f>AE19/N19</f>
        <v>0.66666666666666663</v>
      </c>
      <c r="AI19" s="72">
        <v>9.5000000000000001E-2</v>
      </c>
      <c r="AJ19" s="72">
        <v>5.2999999999999999E-2</v>
      </c>
      <c r="AK19" s="72">
        <f t="shared" si="25"/>
        <v>1.7924528301886793</v>
      </c>
      <c r="AL19" s="72">
        <f>AI19/AE19</f>
        <v>0.86363636363636365</v>
      </c>
      <c r="AM19" s="72">
        <f t="shared" si="40"/>
        <v>0.57575757575757569</v>
      </c>
      <c r="AN19" s="72">
        <f t="shared" si="26"/>
        <v>0.10204081632653061</v>
      </c>
      <c r="AO19" s="72">
        <f t="shared" si="27"/>
        <v>0.43181818181818182</v>
      </c>
      <c r="AP19" s="72">
        <v>0.22</v>
      </c>
      <c r="AQ19" s="72">
        <v>0.13400000000000001</v>
      </c>
      <c r="AR19" s="72">
        <f t="shared" si="28"/>
        <v>0.10587102983638112</v>
      </c>
      <c r="AS19" s="72">
        <f t="shared" si="29"/>
        <v>1.6417910447761193</v>
      </c>
      <c r="AT19" s="72">
        <f t="shared" si="41"/>
        <v>0.2363050483351235</v>
      </c>
      <c r="AU19" s="73" t="s">
        <v>75</v>
      </c>
      <c r="AV19" s="73" t="s">
        <v>75</v>
      </c>
      <c r="AW19" s="73" t="s">
        <v>75</v>
      </c>
      <c r="AX19" s="73" t="s">
        <v>75</v>
      </c>
      <c r="AY19" s="73" t="s">
        <v>75</v>
      </c>
      <c r="AZ19" s="84">
        <v>5</v>
      </c>
      <c r="BA19" s="73" t="s">
        <v>75</v>
      </c>
      <c r="BB19" s="84">
        <v>11</v>
      </c>
      <c r="BC19" s="85">
        <v>8</v>
      </c>
    </row>
    <row r="20" spans="2:55" ht="12.75" customHeight="1" x14ac:dyDescent="0.25">
      <c r="B20" s="69"/>
      <c r="C20" s="109"/>
      <c r="D20" s="109"/>
      <c r="E20" s="167"/>
      <c r="F20" s="150">
        <f>1.328+0.75</f>
        <v>2.0780000000000003</v>
      </c>
      <c r="G20" s="73" t="s">
        <v>75</v>
      </c>
      <c r="H20" s="73" t="s">
        <v>75</v>
      </c>
      <c r="I20" s="72">
        <v>0.10299999999999999</v>
      </c>
      <c r="J20" s="72">
        <v>5.8000000000000003E-2</v>
      </c>
      <c r="K20" s="72">
        <v>0.96499999999999997</v>
      </c>
      <c r="L20" s="72">
        <v>0.76700000000000002</v>
      </c>
      <c r="M20" s="72">
        <v>0.73199999999999998</v>
      </c>
      <c r="N20" s="72">
        <v>0.126</v>
      </c>
      <c r="O20" s="73" t="s">
        <v>75</v>
      </c>
      <c r="P20" s="73" t="s">
        <v>75</v>
      </c>
      <c r="Q20" s="73" t="s">
        <v>75</v>
      </c>
      <c r="R20" s="82">
        <f t="shared" si="19"/>
        <v>0.75854922279792747</v>
      </c>
      <c r="S20" s="82">
        <f t="shared" si="20"/>
        <v>0.79481865284974096</v>
      </c>
      <c r="T20" s="73" t="s">
        <v>75</v>
      </c>
      <c r="U20" s="72">
        <v>0.223</v>
      </c>
      <c r="V20" s="73" t="s">
        <v>75</v>
      </c>
      <c r="W20" s="72">
        <v>0.68</v>
      </c>
      <c r="X20" s="72">
        <v>0.115</v>
      </c>
      <c r="Y20" s="72">
        <f t="shared" si="21"/>
        <v>5.9130434782608701</v>
      </c>
      <c r="Z20" s="72">
        <v>0.43099999999999999</v>
      </c>
      <c r="AA20" s="72">
        <v>0.60499999999999998</v>
      </c>
      <c r="AB20" s="72">
        <f>AA20/F20</f>
        <v>0.29114533205004806</v>
      </c>
      <c r="AC20" s="72">
        <v>1.2490000000000001</v>
      </c>
      <c r="AD20" s="72">
        <f>AC20/F20</f>
        <v>0.60105871029836377</v>
      </c>
      <c r="AE20" s="72">
        <v>0.10199999999999999</v>
      </c>
      <c r="AF20" s="72">
        <f t="shared" si="24"/>
        <v>0.10569948186528497</v>
      </c>
      <c r="AG20" s="73" t="s">
        <v>75</v>
      </c>
      <c r="AH20" s="72">
        <f>AE20/N20</f>
        <v>0.80952380952380942</v>
      </c>
      <c r="AI20" s="72">
        <v>9.5000000000000001E-2</v>
      </c>
      <c r="AJ20" s="72">
        <v>5.2999999999999999E-2</v>
      </c>
      <c r="AK20" s="72">
        <f t="shared" si="25"/>
        <v>1.7924528301886793</v>
      </c>
      <c r="AL20" s="72">
        <f>AI20/AE20</f>
        <v>0.93137254901960786</v>
      </c>
      <c r="AM20" s="72">
        <f t="shared" si="40"/>
        <v>0.75396825396825395</v>
      </c>
      <c r="AN20" s="72">
        <f t="shared" si="26"/>
        <v>9.8445595854922283E-2</v>
      </c>
      <c r="AO20" s="72">
        <f t="shared" si="27"/>
        <v>0.42035398230088494</v>
      </c>
      <c r="AP20" s="72">
        <v>0.22600000000000001</v>
      </c>
      <c r="AQ20" s="72">
        <v>0.125</v>
      </c>
      <c r="AR20" s="72">
        <f t="shared" si="28"/>
        <v>0.10875842155919152</v>
      </c>
      <c r="AS20" s="72">
        <f t="shared" si="29"/>
        <v>1.8080000000000001</v>
      </c>
      <c r="AT20" s="72">
        <f t="shared" si="41"/>
        <v>0.23419689119170986</v>
      </c>
      <c r="AU20" s="73" t="s">
        <v>75</v>
      </c>
      <c r="AV20" s="73" t="s">
        <v>75</v>
      </c>
      <c r="AW20" s="73" t="s">
        <v>75</v>
      </c>
      <c r="AX20" s="73" t="s">
        <v>75</v>
      </c>
      <c r="AY20" s="73" t="s">
        <v>75</v>
      </c>
      <c r="AZ20" s="84">
        <v>8</v>
      </c>
      <c r="BA20" s="73" t="s">
        <v>75</v>
      </c>
      <c r="BB20" s="73" t="s">
        <v>75</v>
      </c>
      <c r="BC20" s="74" t="s">
        <v>75</v>
      </c>
    </row>
    <row r="21" spans="2:55" ht="12.75" customHeight="1" x14ac:dyDescent="0.25">
      <c r="B21" s="86">
        <v>21397</v>
      </c>
      <c r="C21" s="112" t="s">
        <v>166</v>
      </c>
      <c r="D21" s="113" t="s">
        <v>165</v>
      </c>
      <c r="E21" s="168" t="s">
        <v>188</v>
      </c>
      <c r="F21" s="151">
        <f>1.325+0.553</f>
        <v>1.8780000000000001</v>
      </c>
      <c r="G21" s="79" t="s">
        <v>75</v>
      </c>
      <c r="H21" s="79" t="s">
        <v>75</v>
      </c>
      <c r="I21" s="78">
        <v>0.10100000000000001</v>
      </c>
      <c r="J21" s="78">
        <v>5.7000000000000002E-2</v>
      </c>
      <c r="K21" s="79" t="s">
        <v>75</v>
      </c>
      <c r="L21" s="79" t="s">
        <v>75</v>
      </c>
      <c r="M21" s="79" t="s">
        <v>75</v>
      </c>
      <c r="N21" s="79" t="s">
        <v>75</v>
      </c>
      <c r="O21" s="79" t="s">
        <v>75</v>
      </c>
      <c r="P21" s="79" t="s">
        <v>75</v>
      </c>
      <c r="Q21" s="79" t="s">
        <v>75</v>
      </c>
      <c r="R21" s="79" t="s">
        <v>75</v>
      </c>
      <c r="S21" s="79" t="s">
        <v>75</v>
      </c>
      <c r="T21" s="79" t="s">
        <v>75</v>
      </c>
      <c r="U21" s="79" t="s">
        <v>75</v>
      </c>
      <c r="V21" s="79" t="s">
        <v>75</v>
      </c>
      <c r="W21" s="79" t="s">
        <v>75</v>
      </c>
      <c r="X21" s="79" t="s">
        <v>75</v>
      </c>
      <c r="Y21" s="79" t="s">
        <v>75</v>
      </c>
      <c r="Z21" s="79" t="s">
        <v>75</v>
      </c>
      <c r="AA21" s="79" t="s">
        <v>75</v>
      </c>
      <c r="AB21" s="79" t="s">
        <v>75</v>
      </c>
      <c r="AC21" s="79" t="s">
        <v>75</v>
      </c>
      <c r="AD21" s="79" t="s">
        <v>75</v>
      </c>
      <c r="AE21" s="79" t="s">
        <v>75</v>
      </c>
      <c r="AF21" s="79" t="s">
        <v>75</v>
      </c>
      <c r="AG21" s="79" t="s">
        <v>75</v>
      </c>
      <c r="AH21" s="79" t="s">
        <v>75</v>
      </c>
      <c r="AI21" s="78">
        <v>8.4000000000000005E-2</v>
      </c>
      <c r="AJ21" s="78">
        <v>7.0000000000000007E-2</v>
      </c>
      <c r="AK21" s="78">
        <f t="shared" si="25"/>
        <v>1.2</v>
      </c>
      <c r="AL21" s="79" t="s">
        <v>75</v>
      </c>
      <c r="AM21" s="79" t="s">
        <v>75</v>
      </c>
      <c r="AN21" s="79" t="s">
        <v>75</v>
      </c>
      <c r="AO21" s="78">
        <f t="shared" si="27"/>
        <v>0.375</v>
      </c>
      <c r="AP21" s="78">
        <v>0.224</v>
      </c>
      <c r="AQ21" s="78">
        <v>0.124</v>
      </c>
      <c r="AR21" s="78">
        <f t="shared" si="28"/>
        <v>0.11927582534611288</v>
      </c>
      <c r="AS21" s="78">
        <f t="shared" si="29"/>
        <v>1.8064516129032258</v>
      </c>
      <c r="AT21" s="79" t="s">
        <v>75</v>
      </c>
      <c r="AU21" s="78">
        <v>9.5000000000000001E-2</v>
      </c>
      <c r="AV21" s="78">
        <v>0.106</v>
      </c>
      <c r="AW21" s="78">
        <f t="shared" si="31"/>
        <v>0.89622641509433965</v>
      </c>
      <c r="AX21" s="80">
        <f t="shared" si="32"/>
        <v>2.3578947368421055</v>
      </c>
      <c r="AY21" s="87">
        <v>5</v>
      </c>
      <c r="AZ21" s="87">
        <v>7</v>
      </c>
      <c r="BA21" s="79" t="s">
        <v>75</v>
      </c>
      <c r="BB21" s="87">
        <v>5</v>
      </c>
      <c r="BC21" s="88">
        <v>4</v>
      </c>
    </row>
    <row r="22" spans="2:55" ht="12.75" customHeight="1" x14ac:dyDescent="0.25">
      <c r="B22" s="153"/>
      <c r="C22" s="154"/>
      <c r="D22" s="154"/>
      <c r="E22" s="169"/>
      <c r="F22" s="152">
        <f>1.325+0.553</f>
        <v>1.8780000000000001</v>
      </c>
      <c r="G22" s="93" t="s">
        <v>75</v>
      </c>
      <c r="H22" s="93" t="s">
        <v>75</v>
      </c>
      <c r="I22" s="92">
        <v>0.104</v>
      </c>
      <c r="J22" s="92">
        <v>5.8000000000000003E-2</v>
      </c>
      <c r="K22" s="93" t="s">
        <v>75</v>
      </c>
      <c r="L22" s="93" t="s">
        <v>75</v>
      </c>
      <c r="M22" s="93" t="s">
        <v>75</v>
      </c>
      <c r="N22" s="93" t="s">
        <v>75</v>
      </c>
      <c r="O22" s="93" t="s">
        <v>75</v>
      </c>
      <c r="P22" s="93" t="s">
        <v>75</v>
      </c>
      <c r="Q22" s="93" t="s">
        <v>75</v>
      </c>
      <c r="R22" s="93" t="s">
        <v>75</v>
      </c>
      <c r="S22" s="93" t="s">
        <v>75</v>
      </c>
      <c r="T22" s="93" t="s">
        <v>75</v>
      </c>
      <c r="U22" s="93" t="s">
        <v>75</v>
      </c>
      <c r="V22" s="93" t="s">
        <v>75</v>
      </c>
      <c r="W22" s="93" t="s">
        <v>75</v>
      </c>
      <c r="X22" s="93" t="s">
        <v>75</v>
      </c>
      <c r="Y22" s="93" t="s">
        <v>75</v>
      </c>
      <c r="Z22" s="93" t="s">
        <v>75</v>
      </c>
      <c r="AA22" s="93" t="s">
        <v>75</v>
      </c>
      <c r="AB22" s="93" t="s">
        <v>75</v>
      </c>
      <c r="AC22" s="93" t="s">
        <v>75</v>
      </c>
      <c r="AD22" s="93" t="s">
        <v>75</v>
      </c>
      <c r="AE22" s="93" t="s">
        <v>75</v>
      </c>
      <c r="AF22" s="93" t="s">
        <v>75</v>
      </c>
      <c r="AG22" s="93" t="s">
        <v>75</v>
      </c>
      <c r="AH22" s="93" t="s">
        <v>75</v>
      </c>
      <c r="AI22" s="92">
        <v>8.4000000000000005E-2</v>
      </c>
      <c r="AJ22" s="92">
        <v>7.0000000000000007E-2</v>
      </c>
      <c r="AK22" s="92">
        <f t="shared" si="25"/>
        <v>1.2</v>
      </c>
      <c r="AL22" s="93" t="s">
        <v>75</v>
      </c>
      <c r="AM22" s="93" t="s">
        <v>75</v>
      </c>
      <c r="AN22" s="93" t="s">
        <v>75</v>
      </c>
      <c r="AO22" s="92">
        <f t="shared" si="27"/>
        <v>0.37333333333333335</v>
      </c>
      <c r="AP22" s="92">
        <v>0.22500000000000001</v>
      </c>
      <c r="AQ22" s="92">
        <v>0.11899999999999999</v>
      </c>
      <c r="AR22" s="92">
        <f t="shared" si="28"/>
        <v>0.11980830670926518</v>
      </c>
      <c r="AS22" s="92">
        <f t="shared" si="29"/>
        <v>1.8907563025210086</v>
      </c>
      <c r="AT22" s="93" t="s">
        <v>75</v>
      </c>
      <c r="AU22" s="92">
        <v>9.5000000000000001E-2</v>
      </c>
      <c r="AV22" s="92">
        <v>0.106</v>
      </c>
      <c r="AW22" s="92">
        <f t="shared" ref="AW22" si="48">AU22/AV22</f>
        <v>0.89622641509433965</v>
      </c>
      <c r="AX22" s="94">
        <f t="shared" ref="AX22" si="49">AP22/AU22</f>
        <v>2.3684210526315788</v>
      </c>
      <c r="AY22" s="93" t="s">
        <v>75</v>
      </c>
      <c r="AZ22" s="148">
        <v>8</v>
      </c>
      <c r="BA22" s="93" t="s">
        <v>75</v>
      </c>
      <c r="BB22" s="93" t="s">
        <v>75</v>
      </c>
      <c r="BC22" s="95" t="s">
        <v>75</v>
      </c>
    </row>
    <row r="23" spans="2:55" ht="12.75" customHeight="1" x14ac:dyDescent="0.25">
      <c r="E23" s="2" t="s">
        <v>25</v>
      </c>
      <c r="F23" s="8">
        <f t="shared" ref="F23:AK23" si="50">MIN(F3:F22)</f>
        <v>1.4139999999999999</v>
      </c>
      <c r="G23" s="8">
        <f t="shared" si="50"/>
        <v>3.1720000000000002</v>
      </c>
      <c r="H23" s="8">
        <f t="shared" si="50"/>
        <v>1.8056426332288398</v>
      </c>
      <c r="I23" s="8">
        <f t="shared" si="50"/>
        <v>8.5000000000000006E-2</v>
      </c>
      <c r="J23" s="8">
        <f t="shared" si="50"/>
        <v>3.7999999999999999E-2</v>
      </c>
      <c r="K23" s="8">
        <f t="shared" si="50"/>
        <v>0.81800000000000006</v>
      </c>
      <c r="L23" s="8">
        <f t="shared" si="50"/>
        <v>0.64700000000000002</v>
      </c>
      <c r="M23" s="8">
        <f t="shared" si="50"/>
        <v>0.61599999999999999</v>
      </c>
      <c r="N23" s="8">
        <f t="shared" si="50"/>
        <v>0.121</v>
      </c>
      <c r="O23" s="8">
        <f t="shared" si="50"/>
        <v>0.69599999999999995</v>
      </c>
      <c r="P23" s="8">
        <f t="shared" si="50"/>
        <v>0.82699999999999996</v>
      </c>
      <c r="Q23" s="8">
        <f t="shared" si="50"/>
        <v>0.83366935483870963</v>
      </c>
      <c r="R23" s="8">
        <f t="shared" si="50"/>
        <v>0.67727771679473103</v>
      </c>
      <c r="S23" s="8">
        <f t="shared" si="50"/>
        <v>0.70474346563407553</v>
      </c>
      <c r="T23" s="8">
        <f t="shared" si="50"/>
        <v>5.3129770992366403</v>
      </c>
      <c r="U23" s="8">
        <f t="shared" si="50"/>
        <v>0.223</v>
      </c>
      <c r="V23" s="8">
        <f t="shared" si="50"/>
        <v>11.655913978494622</v>
      </c>
      <c r="W23" s="8">
        <f t="shared" si="50"/>
        <v>0.53800000000000003</v>
      </c>
      <c r="X23" s="8">
        <f t="shared" si="50"/>
        <v>9.6000000000000002E-2</v>
      </c>
      <c r="Y23" s="8">
        <f t="shared" si="50"/>
        <v>4.7844827586206895</v>
      </c>
      <c r="Z23" s="8">
        <f t="shared" si="50"/>
        <v>0.34599999999999997</v>
      </c>
      <c r="AA23" s="8">
        <f t="shared" si="50"/>
        <v>0.49299999999999999</v>
      </c>
      <c r="AB23" s="8">
        <f t="shared" si="50"/>
        <v>0.27641853201457578</v>
      </c>
      <c r="AC23" s="8">
        <f t="shared" si="50"/>
        <v>1.105</v>
      </c>
      <c r="AD23" s="8">
        <f t="shared" si="50"/>
        <v>0.59528392685274301</v>
      </c>
      <c r="AE23" s="8">
        <f t="shared" si="50"/>
        <v>7.8E-2</v>
      </c>
      <c r="AF23" s="8">
        <f t="shared" si="50"/>
        <v>7.8629032258064516E-2</v>
      </c>
      <c r="AG23" s="8">
        <f t="shared" si="50"/>
        <v>5.8417419012214554E-2</v>
      </c>
      <c r="AH23" s="8">
        <f t="shared" si="50"/>
        <v>0.59541984732824427</v>
      </c>
      <c r="AI23" s="8">
        <f t="shared" si="50"/>
        <v>8.3000000000000004E-2</v>
      </c>
      <c r="AJ23" s="8">
        <f t="shared" si="50"/>
        <v>5.0999999999999997E-2</v>
      </c>
      <c r="AK23" s="8">
        <f t="shared" si="50"/>
        <v>1.2</v>
      </c>
      <c r="AL23" s="8">
        <f t="shared" ref="AL23:BC23" si="51">MIN(AL3:AL22)</f>
        <v>0.82608695652173914</v>
      </c>
      <c r="AM23" s="8">
        <f t="shared" si="51"/>
        <v>0.57575757575757569</v>
      </c>
      <c r="AN23" s="8">
        <f t="shared" si="51"/>
        <v>9.1733870967741937E-2</v>
      </c>
      <c r="AO23" s="8">
        <f t="shared" si="51"/>
        <v>0.34172661870503596</v>
      </c>
      <c r="AP23" s="8">
        <f t="shared" si="51"/>
        <v>0.17699999999999999</v>
      </c>
      <c r="AQ23" s="8">
        <f t="shared" si="51"/>
        <v>9.7000000000000003E-2</v>
      </c>
      <c r="AR23" s="8">
        <f t="shared" si="51"/>
        <v>0.10587102983638112</v>
      </c>
      <c r="AS23" s="8">
        <f t="shared" si="51"/>
        <v>1.3356643356643358</v>
      </c>
      <c r="AT23" s="8">
        <f t="shared" si="51"/>
        <v>0.2046204620462046</v>
      </c>
      <c r="AU23" s="8">
        <f t="shared" si="51"/>
        <v>8.5999999999999993E-2</v>
      </c>
      <c r="AV23" s="8">
        <f t="shared" si="51"/>
        <v>9.9000000000000005E-2</v>
      </c>
      <c r="AW23" s="8">
        <f t="shared" si="51"/>
        <v>0.59722222222222221</v>
      </c>
      <c r="AX23" s="8">
        <f t="shared" si="51"/>
        <v>1.6902654867256637</v>
      </c>
      <c r="AY23" s="9">
        <f t="shared" si="51"/>
        <v>4</v>
      </c>
      <c r="AZ23" s="9">
        <f t="shared" si="51"/>
        <v>5</v>
      </c>
      <c r="BA23" s="9">
        <f t="shared" si="51"/>
        <v>3</v>
      </c>
      <c r="BB23" s="9">
        <f t="shared" si="51"/>
        <v>5</v>
      </c>
      <c r="BC23" s="9">
        <f t="shared" si="51"/>
        <v>4</v>
      </c>
    </row>
    <row r="24" spans="2:55" ht="12.75" customHeight="1" x14ac:dyDescent="0.25">
      <c r="E24" s="2" t="s">
        <v>26</v>
      </c>
      <c r="F24" s="8">
        <f t="shared" ref="F24:AK24" si="52">MAX(F3:F22)</f>
        <v>2.1869999999999998</v>
      </c>
      <c r="G24" s="8">
        <f t="shared" si="52"/>
        <v>4.6780000000000008</v>
      </c>
      <c r="H24" s="8">
        <f t="shared" si="52"/>
        <v>2.5431400282885432</v>
      </c>
      <c r="I24" s="8">
        <f t="shared" si="52"/>
        <v>0.11799999999999999</v>
      </c>
      <c r="J24" s="8">
        <f t="shared" si="52"/>
        <v>6.3E-2</v>
      </c>
      <c r="K24" s="8">
        <f t="shared" si="52"/>
        <v>1.0329999999999999</v>
      </c>
      <c r="L24" s="8">
        <f t="shared" si="52"/>
        <v>0.79100000000000004</v>
      </c>
      <c r="M24" s="8">
        <f t="shared" si="52"/>
        <v>0.91800000000000004</v>
      </c>
      <c r="N24" s="8">
        <f t="shared" si="52"/>
        <v>0.16500000000000001</v>
      </c>
      <c r="O24" s="8">
        <f t="shared" si="52"/>
        <v>1.718</v>
      </c>
      <c r="P24" s="8">
        <f t="shared" si="52"/>
        <v>1.883</v>
      </c>
      <c r="Q24" s="8">
        <f t="shared" si="52"/>
        <v>2.0225563909774436</v>
      </c>
      <c r="R24" s="8">
        <f t="shared" si="52"/>
        <v>0.9860365198711063</v>
      </c>
      <c r="S24" s="8">
        <f t="shared" si="52"/>
        <v>0.84963325183374072</v>
      </c>
      <c r="T24" s="8">
        <f t="shared" si="52"/>
        <v>11.991735537190083</v>
      </c>
      <c r="U24" s="8">
        <f t="shared" si="52"/>
        <v>0.29699999999999999</v>
      </c>
      <c r="V24" s="8">
        <f t="shared" si="52"/>
        <v>20.977578475336326</v>
      </c>
      <c r="W24" s="8">
        <f t="shared" si="52"/>
        <v>0.78600000000000003</v>
      </c>
      <c r="X24" s="8">
        <f t="shared" si="52"/>
        <v>0.128</v>
      </c>
      <c r="Y24" s="8">
        <f t="shared" si="52"/>
        <v>7.7835051546391751</v>
      </c>
      <c r="Z24" s="8">
        <f t="shared" si="52"/>
        <v>0.48799999999999999</v>
      </c>
      <c r="AA24" s="8">
        <f t="shared" si="52"/>
        <v>0.69899999999999995</v>
      </c>
      <c r="AB24" s="8">
        <f t="shared" si="52"/>
        <v>0.39391796322489397</v>
      </c>
      <c r="AC24" s="8">
        <f t="shared" si="52"/>
        <v>1.4</v>
      </c>
      <c r="AD24" s="8">
        <f t="shared" si="52"/>
        <v>0.80693069306930698</v>
      </c>
      <c r="AE24" s="8">
        <f t="shared" si="52"/>
        <v>0.115</v>
      </c>
      <c r="AF24" s="8">
        <f t="shared" si="52"/>
        <v>0.12224938875305623</v>
      </c>
      <c r="AG24" s="8">
        <f t="shared" si="52"/>
        <v>0.11382113821138212</v>
      </c>
      <c r="AH24" s="8">
        <f t="shared" si="52"/>
        <v>0.86153846153846148</v>
      </c>
      <c r="AI24" s="8">
        <f t="shared" si="52"/>
        <v>0.10100000000000001</v>
      </c>
      <c r="AJ24" s="8">
        <f t="shared" si="52"/>
        <v>7.0000000000000007E-2</v>
      </c>
      <c r="AK24" s="8">
        <f t="shared" si="52"/>
        <v>1.7924528301886793</v>
      </c>
      <c r="AL24" s="8">
        <f t="shared" ref="AL24:BC24" si="53">MAX(AL3:AL22)</f>
        <v>1.1666666666666667</v>
      </c>
      <c r="AM24" s="8">
        <f t="shared" si="53"/>
        <v>0.75396825396825395</v>
      </c>
      <c r="AN24" s="8">
        <f t="shared" si="53"/>
        <v>0.10635696821515891</v>
      </c>
      <c r="AO24" s="8">
        <f t="shared" si="53"/>
        <v>0.489247311827957</v>
      </c>
      <c r="AP24" s="8">
        <f t="shared" si="53"/>
        <v>0.27800000000000002</v>
      </c>
      <c r="AQ24" s="8">
        <f t="shared" si="53"/>
        <v>0.15</v>
      </c>
      <c r="AR24" s="8">
        <f t="shared" si="53"/>
        <v>0.15574229691876751</v>
      </c>
      <c r="AS24" s="8">
        <f t="shared" si="53"/>
        <v>2.6391752577319587</v>
      </c>
      <c r="AT24" s="8">
        <f t="shared" si="53"/>
        <v>0.28868120456905505</v>
      </c>
      <c r="AU24" s="8">
        <f t="shared" si="53"/>
        <v>0.122</v>
      </c>
      <c r="AV24" s="8">
        <f t="shared" si="53"/>
        <v>0.14499999999999999</v>
      </c>
      <c r="AW24" s="8">
        <f t="shared" si="53"/>
        <v>1.2323232323232323</v>
      </c>
      <c r="AX24" s="8">
        <f t="shared" si="53"/>
        <v>2.4534883720930232</v>
      </c>
      <c r="AY24" s="9">
        <f t="shared" si="53"/>
        <v>5</v>
      </c>
      <c r="AZ24" s="9">
        <f t="shared" si="53"/>
        <v>9</v>
      </c>
      <c r="BA24" s="9">
        <f t="shared" si="53"/>
        <v>6</v>
      </c>
      <c r="BB24" s="9">
        <f t="shared" si="53"/>
        <v>11</v>
      </c>
      <c r="BC24" s="9">
        <f t="shared" si="53"/>
        <v>9</v>
      </c>
    </row>
    <row r="25" spans="2:55" ht="12.75" customHeight="1" x14ac:dyDescent="0.25"/>
    <row r="26" spans="2:55" ht="12.75" customHeight="1" x14ac:dyDescent="0.25"/>
    <row r="27" spans="2:55" ht="12.75" customHeigh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BC43"/>
  <sheetViews>
    <sheetView zoomScaleNormal="100" workbookViewId="0"/>
  </sheetViews>
  <sheetFormatPr defaultColWidth="9.140625" defaultRowHeight="12.75" x14ac:dyDescent="0.25"/>
  <cols>
    <col min="1" max="1" width="1.7109375" style="5" customWidth="1"/>
    <col min="2" max="4" width="18.7109375" style="5" customWidth="1"/>
    <col min="5" max="5" width="36.7109375" style="5" customWidth="1"/>
    <col min="6" max="52" width="8.7109375" style="5" customWidth="1"/>
    <col min="53" max="55" width="10.7109375" style="5" customWidth="1"/>
    <col min="56" max="16384" width="9.140625" style="5"/>
  </cols>
  <sheetData>
    <row r="1" spans="2:55" ht="12" customHeight="1" x14ac:dyDescent="0.25"/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5">
      <c r="B3" s="61">
        <v>14779</v>
      </c>
      <c r="C3" s="107" t="s">
        <v>28</v>
      </c>
      <c r="D3" s="108" t="s">
        <v>142</v>
      </c>
      <c r="E3" s="108" t="s">
        <v>196</v>
      </c>
      <c r="F3" s="64">
        <v>1.41</v>
      </c>
      <c r="G3" s="65" t="s">
        <v>75</v>
      </c>
      <c r="H3" s="65" t="s">
        <v>75</v>
      </c>
      <c r="I3" s="64">
        <v>0.109</v>
      </c>
      <c r="J3" s="64">
        <v>5.0999999999999997E-2</v>
      </c>
      <c r="K3" s="64">
        <v>0.79800000000000004</v>
      </c>
      <c r="L3" s="64">
        <v>0.64100000000000001</v>
      </c>
      <c r="M3" s="64">
        <v>0.51700000000000002</v>
      </c>
      <c r="N3" s="64" t="s">
        <v>75</v>
      </c>
      <c r="O3" s="64" t="s">
        <v>75</v>
      </c>
      <c r="P3" s="64" t="s">
        <v>75</v>
      </c>
      <c r="Q3" s="65" t="s">
        <v>75</v>
      </c>
      <c r="R3" s="65">
        <f>M3/K3</f>
        <v>0.6478696741854636</v>
      </c>
      <c r="S3" s="65">
        <f>L3/K3</f>
        <v>0.80325814536340845</v>
      </c>
      <c r="T3" s="65" t="s">
        <v>75</v>
      </c>
      <c r="U3" s="64">
        <v>0.26700000000000002</v>
      </c>
      <c r="V3" s="64" t="s">
        <v>75</v>
      </c>
      <c r="W3" s="64">
        <v>0.53</v>
      </c>
      <c r="X3" s="64">
        <v>8.5999999999999993E-2</v>
      </c>
      <c r="Y3" s="64">
        <f>W:W/X:X</f>
        <v>6.1627906976744198</v>
      </c>
      <c r="Z3" s="64">
        <v>0.35199999999999998</v>
      </c>
      <c r="AA3" s="64">
        <v>0.46400000000000002</v>
      </c>
      <c r="AB3" s="64">
        <f>AA3/F3</f>
        <v>0.32907801418439719</v>
      </c>
      <c r="AC3" s="64">
        <v>1.0309999999999999</v>
      </c>
      <c r="AD3" s="64">
        <f>AC3/F3</f>
        <v>0.73120567375886525</v>
      </c>
      <c r="AE3" s="64" t="s">
        <v>75</v>
      </c>
      <c r="AF3" s="64" t="s">
        <v>75</v>
      </c>
      <c r="AG3" s="64" t="s">
        <v>75</v>
      </c>
      <c r="AH3" s="64" t="s">
        <v>75</v>
      </c>
      <c r="AI3" s="64">
        <v>8.1000000000000003E-2</v>
      </c>
      <c r="AJ3" s="64" t="s">
        <v>75</v>
      </c>
      <c r="AK3" s="64" t="s">
        <v>75</v>
      </c>
      <c r="AL3" s="64" t="s">
        <v>75</v>
      </c>
      <c r="AM3" s="64" t="s">
        <v>75</v>
      </c>
      <c r="AN3" s="64">
        <f>AI3/K3</f>
        <v>0.10150375939849623</v>
      </c>
      <c r="AO3" s="64">
        <f>AI3/AP3</f>
        <v>0.48214285714285715</v>
      </c>
      <c r="AP3" s="64">
        <v>0.16800000000000001</v>
      </c>
      <c r="AQ3" s="64">
        <v>8.8999999999999996E-2</v>
      </c>
      <c r="AR3" s="64">
        <f>AP3/F3</f>
        <v>0.11914893617021279</v>
      </c>
      <c r="AS3" s="64">
        <f>AP3/AQ3</f>
        <v>1.8876404494382024</v>
      </c>
      <c r="AT3" s="64">
        <f>AP3/K3</f>
        <v>0.21052631578947367</v>
      </c>
      <c r="AU3" s="64">
        <v>0.17499999999999999</v>
      </c>
      <c r="AV3" s="64">
        <v>0.16300000000000001</v>
      </c>
      <c r="AW3" s="64">
        <f>AU3/AV3</f>
        <v>1.0736196319018403</v>
      </c>
      <c r="AX3" s="65">
        <f>AP3/AU3</f>
        <v>0.96000000000000008</v>
      </c>
      <c r="AY3" s="67" t="s">
        <v>75</v>
      </c>
      <c r="AZ3" s="67">
        <v>10</v>
      </c>
      <c r="BA3" s="67" t="s">
        <v>75</v>
      </c>
      <c r="BB3" s="67" t="s">
        <v>75</v>
      </c>
      <c r="BC3" s="183" t="s">
        <v>75</v>
      </c>
    </row>
    <row r="4" spans="2:55" ht="12.75" customHeight="1" x14ac:dyDescent="0.25">
      <c r="B4" s="69"/>
      <c r="C4" s="109"/>
      <c r="D4" s="109"/>
      <c r="E4" s="109"/>
      <c r="F4" s="72">
        <v>1.41</v>
      </c>
      <c r="G4" s="82" t="s">
        <v>75</v>
      </c>
      <c r="H4" s="82" t="s">
        <v>75</v>
      </c>
      <c r="I4" s="72" t="s">
        <v>75</v>
      </c>
      <c r="J4" s="72" t="s">
        <v>75</v>
      </c>
      <c r="K4" s="72">
        <v>0.78500000000000003</v>
      </c>
      <c r="L4" s="72">
        <v>0.57299999999999995</v>
      </c>
      <c r="M4" s="72" t="s">
        <v>75</v>
      </c>
      <c r="N4" s="72" t="s">
        <v>75</v>
      </c>
      <c r="O4" s="72" t="s">
        <v>75</v>
      </c>
      <c r="P4" s="72" t="s">
        <v>75</v>
      </c>
      <c r="Q4" s="82" t="s">
        <v>75</v>
      </c>
      <c r="R4" s="82" t="s">
        <v>75</v>
      </c>
      <c r="S4" s="82">
        <f>L4/K4</f>
        <v>0.72993630573248403</v>
      </c>
      <c r="T4" s="82" t="s">
        <v>75</v>
      </c>
      <c r="U4" s="72">
        <v>0.26700000000000002</v>
      </c>
      <c r="V4" s="72" t="s">
        <v>75</v>
      </c>
      <c r="W4" s="72">
        <v>0.54100000000000004</v>
      </c>
      <c r="X4" s="72">
        <v>8.6999999999999994E-2</v>
      </c>
      <c r="Y4" s="72">
        <f>W:W/X:X</f>
        <v>6.2183908045977017</v>
      </c>
      <c r="Z4" s="72" t="s">
        <v>75</v>
      </c>
      <c r="AA4" s="72">
        <v>0.45400000000000001</v>
      </c>
      <c r="AB4" s="72">
        <f>AA4/F4</f>
        <v>0.3219858156028369</v>
      </c>
      <c r="AC4" s="72" t="s">
        <v>75</v>
      </c>
      <c r="AD4" s="72" t="s">
        <v>75</v>
      </c>
      <c r="AE4" s="72" t="s">
        <v>75</v>
      </c>
      <c r="AF4" s="72" t="s">
        <v>75</v>
      </c>
      <c r="AG4" s="72" t="s">
        <v>75</v>
      </c>
      <c r="AH4" s="72" t="s">
        <v>75</v>
      </c>
      <c r="AI4" s="72">
        <v>8.1000000000000003E-2</v>
      </c>
      <c r="AJ4" s="72" t="s">
        <v>75</v>
      </c>
      <c r="AK4" s="72" t="s">
        <v>75</v>
      </c>
      <c r="AL4" s="72" t="s">
        <v>75</v>
      </c>
      <c r="AM4" s="72" t="s">
        <v>75</v>
      </c>
      <c r="AN4" s="72">
        <f>AI4/K4</f>
        <v>0.10318471337579618</v>
      </c>
      <c r="AO4" s="72">
        <f t="shared" ref="AO4:AO38" si="0">AI4/AP4</f>
        <v>0.49090909090909091</v>
      </c>
      <c r="AP4" s="72">
        <v>0.16500000000000001</v>
      </c>
      <c r="AQ4" s="72">
        <v>7.5999999999999998E-2</v>
      </c>
      <c r="AR4" s="72">
        <f>AP4/F4</f>
        <v>0.1170212765957447</v>
      </c>
      <c r="AS4" s="72">
        <f t="shared" ref="AS4:AS38" si="1">AP4/AQ4</f>
        <v>2.1710526315789473</v>
      </c>
      <c r="AT4" s="72">
        <f>AP4/K4</f>
        <v>0.21019108280254778</v>
      </c>
      <c r="AU4" s="72">
        <v>0.17499999999999999</v>
      </c>
      <c r="AV4" s="72">
        <v>0.16300000000000001</v>
      </c>
      <c r="AW4" s="72">
        <f>AU4/AV4</f>
        <v>1.0736196319018403</v>
      </c>
      <c r="AX4" s="82">
        <f>AP4/AU4</f>
        <v>0.94285714285714295</v>
      </c>
      <c r="AY4" s="84" t="s">
        <v>75</v>
      </c>
      <c r="AZ4" s="84">
        <v>13</v>
      </c>
      <c r="BA4" s="84" t="s">
        <v>75</v>
      </c>
      <c r="BB4" s="84" t="s">
        <v>75</v>
      </c>
      <c r="BC4" s="85" t="s">
        <v>75</v>
      </c>
    </row>
    <row r="5" spans="2:55" ht="12.75" customHeight="1" x14ac:dyDescent="0.25">
      <c r="B5" s="86">
        <v>14779</v>
      </c>
      <c r="C5" s="112" t="s">
        <v>28</v>
      </c>
      <c r="D5" s="113" t="s">
        <v>142</v>
      </c>
      <c r="E5" s="113" t="s">
        <v>196</v>
      </c>
      <c r="F5" s="78">
        <v>1.4570000000000001</v>
      </c>
      <c r="G5" s="80" t="s">
        <v>75</v>
      </c>
      <c r="H5" s="80" t="s">
        <v>75</v>
      </c>
      <c r="I5" s="78">
        <v>9.4E-2</v>
      </c>
      <c r="J5" s="78">
        <v>5.6000000000000001E-2</v>
      </c>
      <c r="K5" s="78">
        <v>0.95699999999999996</v>
      </c>
      <c r="L5" s="78">
        <v>0.66700000000000004</v>
      </c>
      <c r="M5" s="78">
        <v>0.68899999999999995</v>
      </c>
      <c r="N5" s="78">
        <v>0.13500000000000001</v>
      </c>
      <c r="O5" s="78" t="s">
        <v>75</v>
      </c>
      <c r="P5" s="78" t="s">
        <v>75</v>
      </c>
      <c r="Q5" s="80" t="s">
        <v>75</v>
      </c>
      <c r="R5" s="80">
        <f>M5/K5</f>
        <v>0.71995820271682343</v>
      </c>
      <c r="S5" s="80">
        <f>L5/K5</f>
        <v>0.69696969696969702</v>
      </c>
      <c r="T5" s="80" t="s">
        <v>75</v>
      </c>
      <c r="U5" s="78" t="s">
        <v>75</v>
      </c>
      <c r="V5" s="78" t="s">
        <v>75</v>
      </c>
      <c r="W5" s="78" t="s">
        <v>75</v>
      </c>
      <c r="X5" s="78">
        <v>0.11</v>
      </c>
      <c r="Y5" s="78" t="s">
        <v>75</v>
      </c>
      <c r="Z5" s="78" t="s">
        <v>75</v>
      </c>
      <c r="AA5" s="78" t="s">
        <v>75</v>
      </c>
      <c r="AB5" s="78" t="s">
        <v>75</v>
      </c>
      <c r="AC5" s="78" t="s">
        <v>75</v>
      </c>
      <c r="AD5" s="78" t="s">
        <v>75</v>
      </c>
      <c r="AE5" s="78" t="s">
        <v>75</v>
      </c>
      <c r="AF5" s="78" t="s">
        <v>75</v>
      </c>
      <c r="AG5" s="78" t="s">
        <v>75</v>
      </c>
      <c r="AH5" s="78" t="s">
        <v>75</v>
      </c>
      <c r="AI5" s="78" t="s">
        <v>75</v>
      </c>
      <c r="AJ5" s="78" t="s">
        <v>75</v>
      </c>
      <c r="AK5" s="78" t="s">
        <v>75</v>
      </c>
      <c r="AL5" s="78" t="s">
        <v>75</v>
      </c>
      <c r="AM5" s="78" t="s">
        <v>75</v>
      </c>
      <c r="AN5" s="78" t="s">
        <v>75</v>
      </c>
      <c r="AO5" s="78" t="s">
        <v>75</v>
      </c>
      <c r="AP5" s="78" t="s">
        <v>75</v>
      </c>
      <c r="AQ5" s="78" t="s">
        <v>75</v>
      </c>
      <c r="AR5" s="78" t="s">
        <v>75</v>
      </c>
      <c r="AS5" s="78" t="s">
        <v>75</v>
      </c>
      <c r="AT5" s="78" t="s">
        <v>75</v>
      </c>
      <c r="AU5" s="78" t="s">
        <v>75</v>
      </c>
      <c r="AV5" s="78" t="s">
        <v>75</v>
      </c>
      <c r="AW5" s="78" t="s">
        <v>75</v>
      </c>
      <c r="AX5" s="80" t="s">
        <v>75</v>
      </c>
      <c r="AY5" s="87" t="s">
        <v>75</v>
      </c>
      <c r="AZ5" s="87">
        <v>11</v>
      </c>
      <c r="BA5" s="87" t="s">
        <v>75</v>
      </c>
      <c r="BB5" s="87" t="s">
        <v>75</v>
      </c>
      <c r="BC5" s="88" t="s">
        <v>75</v>
      </c>
    </row>
    <row r="6" spans="2:55" ht="12.75" customHeight="1" x14ac:dyDescent="0.25">
      <c r="B6" s="75"/>
      <c r="C6" s="113"/>
      <c r="D6" s="113"/>
      <c r="E6" s="113"/>
      <c r="F6" s="78">
        <v>1.4570000000000001</v>
      </c>
      <c r="G6" s="80" t="s">
        <v>75</v>
      </c>
      <c r="H6" s="80" t="s">
        <v>75</v>
      </c>
      <c r="I6" s="78">
        <v>9.6000000000000002E-2</v>
      </c>
      <c r="J6" s="78">
        <v>6.2E-2</v>
      </c>
      <c r="K6" s="78" t="s">
        <v>75</v>
      </c>
      <c r="L6" s="78" t="s">
        <v>75</v>
      </c>
      <c r="M6" s="78" t="s">
        <v>75</v>
      </c>
      <c r="N6" s="78" t="s">
        <v>75</v>
      </c>
      <c r="O6" s="78" t="s">
        <v>75</v>
      </c>
      <c r="P6" s="78" t="s">
        <v>75</v>
      </c>
      <c r="Q6" s="80" t="s">
        <v>75</v>
      </c>
      <c r="R6" s="80" t="s">
        <v>75</v>
      </c>
      <c r="S6" s="80" t="s">
        <v>75</v>
      </c>
      <c r="T6" s="80" t="s">
        <v>75</v>
      </c>
      <c r="U6" s="78" t="s">
        <v>75</v>
      </c>
      <c r="V6" s="78" t="s">
        <v>75</v>
      </c>
      <c r="W6" s="78" t="s">
        <v>75</v>
      </c>
      <c r="X6" s="78" t="s">
        <v>75</v>
      </c>
      <c r="Y6" s="78" t="s">
        <v>75</v>
      </c>
      <c r="Z6" s="78" t="s">
        <v>75</v>
      </c>
      <c r="AA6" s="78" t="s">
        <v>75</v>
      </c>
      <c r="AB6" s="78" t="s">
        <v>75</v>
      </c>
      <c r="AC6" s="78" t="s">
        <v>75</v>
      </c>
      <c r="AD6" s="78" t="s">
        <v>75</v>
      </c>
      <c r="AE6" s="78" t="s">
        <v>75</v>
      </c>
      <c r="AF6" s="78" t="s">
        <v>75</v>
      </c>
      <c r="AG6" s="78" t="s">
        <v>75</v>
      </c>
      <c r="AH6" s="78" t="s">
        <v>75</v>
      </c>
      <c r="AI6" s="78" t="s">
        <v>75</v>
      </c>
      <c r="AJ6" s="78" t="s">
        <v>75</v>
      </c>
      <c r="AK6" s="78" t="s">
        <v>75</v>
      </c>
      <c r="AL6" s="78" t="s">
        <v>75</v>
      </c>
      <c r="AM6" s="78" t="s">
        <v>75</v>
      </c>
      <c r="AN6" s="78" t="s">
        <v>75</v>
      </c>
      <c r="AO6" s="78" t="s">
        <v>75</v>
      </c>
      <c r="AP6" s="78" t="s">
        <v>75</v>
      </c>
      <c r="AQ6" s="78" t="s">
        <v>75</v>
      </c>
      <c r="AR6" s="78" t="s">
        <v>75</v>
      </c>
      <c r="AS6" s="78" t="s">
        <v>75</v>
      </c>
      <c r="AT6" s="78" t="s">
        <v>75</v>
      </c>
      <c r="AU6" s="78" t="s">
        <v>75</v>
      </c>
      <c r="AV6" s="78" t="s">
        <v>75</v>
      </c>
      <c r="AW6" s="78" t="s">
        <v>75</v>
      </c>
      <c r="AX6" s="80" t="s">
        <v>75</v>
      </c>
      <c r="AY6" s="87" t="s">
        <v>75</v>
      </c>
      <c r="AZ6" s="87" t="s">
        <v>75</v>
      </c>
      <c r="BA6" s="87" t="s">
        <v>75</v>
      </c>
      <c r="BB6" s="87" t="s">
        <v>75</v>
      </c>
      <c r="BC6" s="88" t="s">
        <v>75</v>
      </c>
    </row>
    <row r="7" spans="2:55" ht="12.75" customHeight="1" x14ac:dyDescent="0.25">
      <c r="B7" s="83">
        <v>14779</v>
      </c>
      <c r="C7" s="116" t="s">
        <v>28</v>
      </c>
      <c r="D7" s="109" t="s">
        <v>142</v>
      </c>
      <c r="E7" s="109" t="s">
        <v>196</v>
      </c>
      <c r="F7" s="82" t="s">
        <v>75</v>
      </c>
      <c r="G7" s="82" t="s">
        <v>75</v>
      </c>
      <c r="H7" s="82" t="s">
        <v>75</v>
      </c>
      <c r="I7" s="72">
        <v>0.104</v>
      </c>
      <c r="J7" s="72">
        <v>5.3999999999999999E-2</v>
      </c>
      <c r="K7" s="72">
        <v>0.81299999999999994</v>
      </c>
      <c r="L7" s="72" t="s">
        <v>75</v>
      </c>
      <c r="M7" s="72" t="s">
        <v>75</v>
      </c>
      <c r="N7" s="72" t="s">
        <v>75</v>
      </c>
      <c r="O7" s="72" t="s">
        <v>75</v>
      </c>
      <c r="P7" s="72" t="s">
        <v>75</v>
      </c>
      <c r="Q7" s="82" t="s">
        <v>75</v>
      </c>
      <c r="R7" s="82" t="s">
        <v>75</v>
      </c>
      <c r="S7" s="82" t="s">
        <v>75</v>
      </c>
      <c r="T7" s="82" t="s">
        <v>75</v>
      </c>
      <c r="U7" s="72">
        <v>0.20200000000000001</v>
      </c>
      <c r="V7" s="72" t="s">
        <v>75</v>
      </c>
      <c r="W7" s="72">
        <v>0.54900000000000004</v>
      </c>
      <c r="X7" s="72">
        <v>9.1999999999999998E-2</v>
      </c>
      <c r="Y7" s="72">
        <f>W:W/X:X</f>
        <v>5.9673913043478271</v>
      </c>
      <c r="Z7" s="72">
        <v>0.376</v>
      </c>
      <c r="AA7" s="72" t="s">
        <v>75</v>
      </c>
      <c r="AB7" s="72" t="s">
        <v>75</v>
      </c>
      <c r="AC7" s="72" t="s">
        <v>75</v>
      </c>
      <c r="AD7" s="72" t="s">
        <v>75</v>
      </c>
      <c r="AE7" s="72" t="s">
        <v>75</v>
      </c>
      <c r="AF7" s="72" t="s">
        <v>75</v>
      </c>
      <c r="AG7" s="72" t="s">
        <v>75</v>
      </c>
      <c r="AH7" s="72" t="s">
        <v>75</v>
      </c>
      <c r="AI7" s="72" t="s">
        <v>75</v>
      </c>
      <c r="AJ7" s="72" t="s">
        <v>75</v>
      </c>
      <c r="AK7" s="72" t="s">
        <v>75</v>
      </c>
      <c r="AL7" s="72" t="s">
        <v>75</v>
      </c>
      <c r="AM7" s="72" t="s">
        <v>75</v>
      </c>
      <c r="AN7" s="72" t="s">
        <v>75</v>
      </c>
      <c r="AO7" s="72" t="s">
        <v>75</v>
      </c>
      <c r="AP7" s="72">
        <v>0.16500000000000001</v>
      </c>
      <c r="AQ7" s="72" t="s">
        <v>75</v>
      </c>
      <c r="AR7" s="72" t="s">
        <v>75</v>
      </c>
      <c r="AS7" s="72" t="s">
        <v>75</v>
      </c>
      <c r="AT7" s="72">
        <f>AP7/K7</f>
        <v>0.20295202952029523</v>
      </c>
      <c r="AU7" s="72" t="s">
        <v>75</v>
      </c>
      <c r="AV7" s="72" t="s">
        <v>75</v>
      </c>
      <c r="AW7" s="72" t="s">
        <v>75</v>
      </c>
      <c r="AX7" s="82" t="s">
        <v>75</v>
      </c>
      <c r="AY7" s="84" t="s">
        <v>75</v>
      </c>
      <c r="AZ7" s="84" t="s">
        <v>75</v>
      </c>
      <c r="BA7" s="84" t="s">
        <v>75</v>
      </c>
      <c r="BB7" s="84" t="s">
        <v>75</v>
      </c>
      <c r="BC7" s="85" t="s">
        <v>75</v>
      </c>
    </row>
    <row r="8" spans="2:55" ht="12.75" customHeight="1" x14ac:dyDescent="0.25">
      <c r="B8" s="69"/>
      <c r="C8" s="109"/>
      <c r="D8" s="109"/>
      <c r="E8" s="109"/>
      <c r="F8" s="82" t="s">
        <v>75</v>
      </c>
      <c r="G8" s="82" t="s">
        <v>75</v>
      </c>
      <c r="H8" s="82" t="s">
        <v>75</v>
      </c>
      <c r="I8" s="72">
        <v>9.7000000000000003E-2</v>
      </c>
      <c r="J8" s="72">
        <v>4.8000000000000001E-2</v>
      </c>
      <c r="K8" s="72">
        <v>0.77400000000000002</v>
      </c>
      <c r="L8" s="72">
        <v>0.59</v>
      </c>
      <c r="M8" s="72">
        <v>0.54</v>
      </c>
      <c r="N8" s="72">
        <v>0.115</v>
      </c>
      <c r="O8" s="72" t="s">
        <v>75</v>
      </c>
      <c r="P8" s="72" t="s">
        <v>75</v>
      </c>
      <c r="Q8" s="82" t="s">
        <v>75</v>
      </c>
      <c r="R8" s="82">
        <f>M8/K8</f>
        <v>0.69767441860465118</v>
      </c>
      <c r="S8" s="82">
        <f>L8/K8</f>
        <v>0.76227390180878551</v>
      </c>
      <c r="T8" s="82" t="s">
        <v>75</v>
      </c>
      <c r="U8" s="72">
        <v>0.20200000000000001</v>
      </c>
      <c r="V8" s="72" t="s">
        <v>75</v>
      </c>
      <c r="W8" s="72" t="s">
        <v>75</v>
      </c>
      <c r="X8" s="72" t="s">
        <v>75</v>
      </c>
      <c r="Y8" s="72" t="s">
        <v>75</v>
      </c>
      <c r="Z8" s="72" t="s">
        <v>75</v>
      </c>
      <c r="AA8" s="72" t="s">
        <v>75</v>
      </c>
      <c r="AB8" s="72" t="s">
        <v>75</v>
      </c>
      <c r="AC8" s="72" t="s">
        <v>75</v>
      </c>
      <c r="AD8" s="72" t="s">
        <v>75</v>
      </c>
      <c r="AE8" s="72" t="s">
        <v>75</v>
      </c>
      <c r="AF8" s="72" t="s">
        <v>75</v>
      </c>
      <c r="AG8" s="72" t="s">
        <v>75</v>
      </c>
      <c r="AH8" s="72" t="s">
        <v>75</v>
      </c>
      <c r="AI8" s="72" t="s">
        <v>75</v>
      </c>
      <c r="AJ8" s="72" t="s">
        <v>75</v>
      </c>
      <c r="AK8" s="72" t="s">
        <v>75</v>
      </c>
      <c r="AL8" s="72" t="s">
        <v>75</v>
      </c>
      <c r="AM8" s="72" t="s">
        <v>75</v>
      </c>
      <c r="AN8" s="72" t="s">
        <v>75</v>
      </c>
      <c r="AO8" s="72" t="s">
        <v>75</v>
      </c>
      <c r="AP8" s="72" t="s">
        <v>75</v>
      </c>
      <c r="AQ8" s="72" t="s">
        <v>75</v>
      </c>
      <c r="AR8" s="72" t="s">
        <v>75</v>
      </c>
      <c r="AS8" s="72" t="s">
        <v>75</v>
      </c>
      <c r="AT8" s="72" t="s">
        <v>75</v>
      </c>
      <c r="AU8" s="72" t="s">
        <v>75</v>
      </c>
      <c r="AV8" s="72" t="s">
        <v>75</v>
      </c>
      <c r="AW8" s="72" t="s">
        <v>75</v>
      </c>
      <c r="AX8" s="82" t="s">
        <v>75</v>
      </c>
      <c r="AY8" s="84" t="s">
        <v>75</v>
      </c>
      <c r="AZ8" s="84" t="s">
        <v>75</v>
      </c>
      <c r="BA8" s="84" t="s">
        <v>75</v>
      </c>
      <c r="BB8" s="84" t="s">
        <v>75</v>
      </c>
      <c r="BC8" s="85" t="s">
        <v>75</v>
      </c>
    </row>
    <row r="9" spans="2:55" ht="12.75" customHeight="1" x14ac:dyDescent="0.25">
      <c r="B9" s="86">
        <v>14779</v>
      </c>
      <c r="C9" s="112" t="s">
        <v>28</v>
      </c>
      <c r="D9" s="113" t="s">
        <v>142</v>
      </c>
      <c r="E9" s="113" t="s">
        <v>196</v>
      </c>
      <c r="F9" s="78">
        <v>1.2350000000000001</v>
      </c>
      <c r="G9" s="80" t="s">
        <v>75</v>
      </c>
      <c r="H9" s="80" t="s">
        <v>75</v>
      </c>
      <c r="I9" s="78" t="s">
        <v>75</v>
      </c>
      <c r="J9" s="78" t="s">
        <v>75</v>
      </c>
      <c r="K9" s="78" t="s">
        <v>75</v>
      </c>
      <c r="L9" s="78" t="s">
        <v>75</v>
      </c>
      <c r="M9" s="78" t="s">
        <v>75</v>
      </c>
      <c r="N9" s="78" t="s">
        <v>75</v>
      </c>
      <c r="O9" s="78" t="s">
        <v>75</v>
      </c>
      <c r="P9" s="78" t="s">
        <v>75</v>
      </c>
      <c r="Q9" s="80" t="s">
        <v>75</v>
      </c>
      <c r="R9" s="80" t="s">
        <v>75</v>
      </c>
      <c r="S9" s="80" t="s">
        <v>75</v>
      </c>
      <c r="T9" s="80" t="s">
        <v>75</v>
      </c>
      <c r="U9" s="78">
        <v>0.245</v>
      </c>
      <c r="V9" s="78" t="s">
        <v>75</v>
      </c>
      <c r="W9" s="78" t="s">
        <v>75</v>
      </c>
      <c r="X9" s="78" t="s">
        <v>75</v>
      </c>
      <c r="Y9" s="78" t="s">
        <v>75</v>
      </c>
      <c r="Z9" s="78" t="s">
        <v>75</v>
      </c>
      <c r="AA9" s="78" t="s">
        <v>75</v>
      </c>
      <c r="AB9" s="78" t="s">
        <v>75</v>
      </c>
      <c r="AC9" s="78" t="s">
        <v>75</v>
      </c>
      <c r="AD9" s="78" t="s">
        <v>75</v>
      </c>
      <c r="AE9" s="78" t="s">
        <v>75</v>
      </c>
      <c r="AF9" s="78" t="s">
        <v>75</v>
      </c>
      <c r="AG9" s="78" t="s">
        <v>75</v>
      </c>
      <c r="AH9" s="78" t="s">
        <v>75</v>
      </c>
      <c r="AI9" s="78" t="s">
        <v>75</v>
      </c>
      <c r="AJ9" s="78" t="s">
        <v>75</v>
      </c>
      <c r="AK9" s="78" t="s">
        <v>75</v>
      </c>
      <c r="AL9" s="78" t="s">
        <v>75</v>
      </c>
      <c r="AM9" s="78" t="s">
        <v>75</v>
      </c>
      <c r="AN9" s="78" t="s">
        <v>75</v>
      </c>
      <c r="AO9" s="78" t="s">
        <v>75</v>
      </c>
      <c r="AP9" s="78">
        <v>0.16900000000000001</v>
      </c>
      <c r="AQ9" s="78">
        <v>8.3000000000000004E-2</v>
      </c>
      <c r="AR9" s="78">
        <f>AP9/F9</f>
        <v>0.1368421052631579</v>
      </c>
      <c r="AS9" s="78">
        <f t="shared" si="1"/>
        <v>2.036144578313253</v>
      </c>
      <c r="AT9" s="78" t="s">
        <v>75</v>
      </c>
      <c r="AU9" s="78">
        <v>0.10100000000000001</v>
      </c>
      <c r="AV9" s="78">
        <v>0.114</v>
      </c>
      <c r="AW9" s="78">
        <f t="shared" ref="AW9:AW27" si="2">AU9/AV9</f>
        <v>0.88596491228070173</v>
      </c>
      <c r="AX9" s="80">
        <f t="shared" ref="AX9:AX37" si="3">AP9/AU9</f>
        <v>1.6732673267326732</v>
      </c>
      <c r="AY9" s="87" t="s">
        <v>75</v>
      </c>
      <c r="AZ9" s="87" t="s">
        <v>75</v>
      </c>
      <c r="BA9" s="87" t="s">
        <v>75</v>
      </c>
      <c r="BB9" s="87" t="s">
        <v>75</v>
      </c>
      <c r="BC9" s="88" t="s">
        <v>75</v>
      </c>
    </row>
    <row r="10" spans="2:55" ht="12.75" customHeight="1" x14ac:dyDescent="0.25">
      <c r="B10" s="75"/>
      <c r="C10" s="113"/>
      <c r="D10" s="113"/>
      <c r="E10" s="113"/>
      <c r="F10" s="78">
        <v>1.2350000000000001</v>
      </c>
      <c r="G10" s="80" t="s">
        <v>75</v>
      </c>
      <c r="H10" s="80" t="s">
        <v>75</v>
      </c>
      <c r="I10" s="78" t="s">
        <v>75</v>
      </c>
      <c r="J10" s="78" t="s">
        <v>75</v>
      </c>
      <c r="K10" s="78" t="s">
        <v>75</v>
      </c>
      <c r="L10" s="78" t="s">
        <v>75</v>
      </c>
      <c r="M10" s="78" t="s">
        <v>75</v>
      </c>
      <c r="N10" s="78" t="s">
        <v>75</v>
      </c>
      <c r="O10" s="78" t="s">
        <v>75</v>
      </c>
      <c r="P10" s="78" t="s">
        <v>75</v>
      </c>
      <c r="Q10" s="80" t="s">
        <v>75</v>
      </c>
      <c r="R10" s="80" t="s">
        <v>75</v>
      </c>
      <c r="S10" s="80" t="s">
        <v>75</v>
      </c>
      <c r="T10" s="80" t="s">
        <v>75</v>
      </c>
      <c r="U10" s="78">
        <v>0.245</v>
      </c>
      <c r="V10" s="78" t="s">
        <v>75</v>
      </c>
      <c r="W10" s="78" t="s">
        <v>75</v>
      </c>
      <c r="X10" s="78" t="s">
        <v>75</v>
      </c>
      <c r="Y10" s="78" t="s">
        <v>75</v>
      </c>
      <c r="Z10" s="78" t="s">
        <v>75</v>
      </c>
      <c r="AA10" s="78" t="s">
        <v>75</v>
      </c>
      <c r="AB10" s="78" t="s">
        <v>75</v>
      </c>
      <c r="AC10" s="78" t="s">
        <v>75</v>
      </c>
      <c r="AD10" s="78" t="s">
        <v>75</v>
      </c>
      <c r="AE10" s="78" t="s">
        <v>75</v>
      </c>
      <c r="AF10" s="78" t="s">
        <v>75</v>
      </c>
      <c r="AG10" s="78" t="s">
        <v>75</v>
      </c>
      <c r="AH10" s="78" t="s">
        <v>75</v>
      </c>
      <c r="AI10" s="78" t="s">
        <v>75</v>
      </c>
      <c r="AJ10" s="78" t="s">
        <v>75</v>
      </c>
      <c r="AK10" s="78" t="s">
        <v>75</v>
      </c>
      <c r="AL10" s="78" t="s">
        <v>75</v>
      </c>
      <c r="AM10" s="78" t="s">
        <v>75</v>
      </c>
      <c r="AN10" s="78" t="s">
        <v>75</v>
      </c>
      <c r="AO10" s="78" t="s">
        <v>75</v>
      </c>
      <c r="AP10" s="78" t="s">
        <v>75</v>
      </c>
      <c r="AQ10" s="78" t="s">
        <v>75</v>
      </c>
      <c r="AR10" s="78" t="s">
        <v>75</v>
      </c>
      <c r="AS10" s="78" t="s">
        <v>75</v>
      </c>
      <c r="AT10" s="78" t="s">
        <v>75</v>
      </c>
      <c r="AU10" s="78">
        <v>0.10100000000000001</v>
      </c>
      <c r="AV10" s="78">
        <v>0.114</v>
      </c>
      <c r="AW10" s="78">
        <f t="shared" ref="AW10" si="4">AU10/AV10</f>
        <v>0.88596491228070173</v>
      </c>
      <c r="AX10" s="80" t="s">
        <v>75</v>
      </c>
      <c r="AY10" s="87" t="s">
        <v>75</v>
      </c>
      <c r="AZ10" s="87" t="s">
        <v>75</v>
      </c>
      <c r="BA10" s="87" t="s">
        <v>75</v>
      </c>
      <c r="BB10" s="87" t="s">
        <v>75</v>
      </c>
      <c r="BC10" s="88" t="s">
        <v>75</v>
      </c>
    </row>
    <row r="11" spans="2:55" ht="12.75" customHeight="1" x14ac:dyDescent="0.25">
      <c r="B11" s="83">
        <v>14779</v>
      </c>
      <c r="C11" s="116" t="s">
        <v>28</v>
      </c>
      <c r="D11" s="109" t="s">
        <v>159</v>
      </c>
      <c r="E11" s="109" t="s">
        <v>196</v>
      </c>
      <c r="F11" s="72">
        <v>1.3340000000000001</v>
      </c>
      <c r="G11" s="82" t="s">
        <v>75</v>
      </c>
      <c r="H11" s="82" t="s">
        <v>75</v>
      </c>
      <c r="I11" s="72">
        <v>9.4E-2</v>
      </c>
      <c r="J11" s="72">
        <v>5.3999999999999999E-2</v>
      </c>
      <c r="K11" s="72">
        <v>0.78800000000000003</v>
      </c>
      <c r="L11" s="72">
        <v>0.51400000000000001</v>
      </c>
      <c r="M11" s="72">
        <v>0.54900000000000004</v>
      </c>
      <c r="N11" s="72">
        <v>0.123</v>
      </c>
      <c r="O11" s="82" t="s">
        <v>75</v>
      </c>
      <c r="P11" s="72" t="s">
        <v>75</v>
      </c>
      <c r="Q11" s="82" t="s">
        <v>75</v>
      </c>
      <c r="R11" s="82">
        <f>M11/K11</f>
        <v>0.6967005076142132</v>
      </c>
      <c r="S11" s="82">
        <f>L11/K11</f>
        <v>0.65228426395939088</v>
      </c>
      <c r="T11" s="82" t="s">
        <v>75</v>
      </c>
      <c r="U11" s="72" t="s">
        <v>75</v>
      </c>
      <c r="V11" s="72" t="s">
        <v>75</v>
      </c>
      <c r="W11" s="72" t="s">
        <v>75</v>
      </c>
      <c r="X11" s="72" t="s">
        <v>75</v>
      </c>
      <c r="Y11" s="72" t="s">
        <v>75</v>
      </c>
      <c r="Z11" s="72" t="s">
        <v>75</v>
      </c>
      <c r="AA11" s="72" t="s">
        <v>75</v>
      </c>
      <c r="AB11" s="72" t="s">
        <v>75</v>
      </c>
      <c r="AC11" s="72" t="s">
        <v>75</v>
      </c>
      <c r="AD11" s="72" t="s">
        <v>75</v>
      </c>
      <c r="AE11" s="72" t="s">
        <v>75</v>
      </c>
      <c r="AF11" s="72" t="s">
        <v>75</v>
      </c>
      <c r="AG11" s="72" t="s">
        <v>75</v>
      </c>
      <c r="AH11" s="72" t="s">
        <v>75</v>
      </c>
      <c r="AI11" s="72">
        <v>8.4000000000000005E-2</v>
      </c>
      <c r="AJ11" s="72">
        <v>4.7E-2</v>
      </c>
      <c r="AK11" s="72">
        <f>AI11/AJ11</f>
        <v>1.7872340425531916</v>
      </c>
      <c r="AL11" s="72" t="s">
        <v>75</v>
      </c>
      <c r="AM11" s="72">
        <f>AI11/N11</f>
        <v>0.68292682926829273</v>
      </c>
      <c r="AN11" s="72">
        <f>AI11/K11</f>
        <v>0.1065989847715736</v>
      </c>
      <c r="AO11" s="72">
        <f>AI11/AP11</f>
        <v>0.50299401197604787</v>
      </c>
      <c r="AP11" s="72">
        <v>0.16700000000000001</v>
      </c>
      <c r="AQ11" s="72">
        <v>9.4E-2</v>
      </c>
      <c r="AR11" s="72">
        <f>AP11/F11</f>
        <v>0.12518740629685157</v>
      </c>
      <c r="AS11" s="72">
        <f>AP11/AQ11</f>
        <v>1.7765957446808511</v>
      </c>
      <c r="AT11" s="72">
        <f>AP11/K11</f>
        <v>0.21192893401015228</v>
      </c>
      <c r="AU11" s="72" t="s">
        <v>75</v>
      </c>
      <c r="AV11" s="72" t="s">
        <v>75</v>
      </c>
      <c r="AW11" s="72" t="s">
        <v>75</v>
      </c>
      <c r="AX11" s="82" t="s">
        <v>75</v>
      </c>
      <c r="AY11" s="84" t="s">
        <v>75</v>
      </c>
      <c r="AZ11" s="84" t="s">
        <v>75</v>
      </c>
      <c r="BA11" s="84">
        <v>3</v>
      </c>
      <c r="BB11" s="84" t="s">
        <v>75</v>
      </c>
      <c r="BC11" s="85" t="s">
        <v>75</v>
      </c>
    </row>
    <row r="12" spans="2:55" ht="12.75" customHeight="1" x14ac:dyDescent="0.25">
      <c r="B12" s="69"/>
      <c r="C12" s="109"/>
      <c r="D12" s="109"/>
      <c r="E12" s="109"/>
      <c r="F12" s="72">
        <v>1.3340000000000001</v>
      </c>
      <c r="G12" s="82" t="s">
        <v>75</v>
      </c>
      <c r="H12" s="82" t="s">
        <v>75</v>
      </c>
      <c r="I12" s="72" t="s">
        <v>75</v>
      </c>
      <c r="J12" s="72" t="s">
        <v>75</v>
      </c>
      <c r="K12" s="72" t="s">
        <v>75</v>
      </c>
      <c r="L12" s="72" t="s">
        <v>75</v>
      </c>
      <c r="M12" s="72" t="s">
        <v>75</v>
      </c>
      <c r="N12" s="72" t="s">
        <v>75</v>
      </c>
      <c r="O12" s="82" t="s">
        <v>75</v>
      </c>
      <c r="P12" s="72" t="s">
        <v>75</v>
      </c>
      <c r="Q12" s="82" t="s">
        <v>75</v>
      </c>
      <c r="R12" s="82" t="s">
        <v>75</v>
      </c>
      <c r="S12" s="82" t="s">
        <v>75</v>
      </c>
      <c r="T12" s="82" t="s">
        <v>75</v>
      </c>
      <c r="U12" s="72" t="s">
        <v>75</v>
      </c>
      <c r="V12" s="72" t="s">
        <v>75</v>
      </c>
      <c r="W12" s="72" t="s">
        <v>75</v>
      </c>
      <c r="X12" s="72" t="s">
        <v>75</v>
      </c>
      <c r="Y12" s="72" t="s">
        <v>75</v>
      </c>
      <c r="Z12" s="72" t="s">
        <v>75</v>
      </c>
      <c r="AA12" s="72" t="s">
        <v>75</v>
      </c>
      <c r="AB12" s="72" t="s">
        <v>75</v>
      </c>
      <c r="AC12" s="72" t="s">
        <v>75</v>
      </c>
      <c r="AD12" s="72" t="s">
        <v>75</v>
      </c>
      <c r="AE12" s="72" t="s">
        <v>75</v>
      </c>
      <c r="AF12" s="72" t="s">
        <v>75</v>
      </c>
      <c r="AG12" s="72" t="s">
        <v>75</v>
      </c>
      <c r="AH12" s="72" t="s">
        <v>75</v>
      </c>
      <c r="AI12" s="72">
        <v>8.4000000000000005E-2</v>
      </c>
      <c r="AJ12" s="72">
        <v>4.7E-2</v>
      </c>
      <c r="AK12" s="72">
        <f>AI12/AJ12</f>
        <v>1.7872340425531916</v>
      </c>
      <c r="AL12" s="72" t="s">
        <v>75</v>
      </c>
      <c r="AM12" s="72" t="s">
        <v>75</v>
      </c>
      <c r="AN12" s="72" t="s">
        <v>75</v>
      </c>
      <c r="AO12" s="72" t="s">
        <v>75</v>
      </c>
      <c r="AP12" s="72" t="s">
        <v>75</v>
      </c>
      <c r="AQ12" s="72" t="s">
        <v>75</v>
      </c>
      <c r="AR12" s="72" t="s">
        <v>75</v>
      </c>
      <c r="AS12" s="72" t="s">
        <v>75</v>
      </c>
      <c r="AT12" s="72" t="s">
        <v>75</v>
      </c>
      <c r="AU12" s="72" t="s">
        <v>75</v>
      </c>
      <c r="AV12" s="72" t="s">
        <v>75</v>
      </c>
      <c r="AW12" s="72" t="s">
        <v>75</v>
      </c>
      <c r="AX12" s="82" t="s">
        <v>75</v>
      </c>
      <c r="AY12" s="84" t="s">
        <v>75</v>
      </c>
      <c r="AZ12" s="84" t="s">
        <v>75</v>
      </c>
      <c r="BA12" s="84" t="s">
        <v>75</v>
      </c>
      <c r="BB12" s="84" t="s">
        <v>75</v>
      </c>
      <c r="BC12" s="85" t="s">
        <v>75</v>
      </c>
    </row>
    <row r="13" spans="2:55" ht="12.75" customHeight="1" x14ac:dyDescent="0.25">
      <c r="B13" s="86">
        <v>14779</v>
      </c>
      <c r="C13" s="112" t="s">
        <v>28</v>
      </c>
      <c r="D13" s="113" t="s">
        <v>159</v>
      </c>
      <c r="E13" s="113" t="s">
        <v>196</v>
      </c>
      <c r="F13" s="78">
        <f>1.367+0.078</f>
        <v>1.4450000000000001</v>
      </c>
      <c r="G13" s="80" t="s">
        <v>75</v>
      </c>
      <c r="H13" s="80" t="s">
        <v>75</v>
      </c>
      <c r="I13" s="78">
        <v>0.10100000000000001</v>
      </c>
      <c r="J13" s="78">
        <v>5.1999999999999998E-2</v>
      </c>
      <c r="K13" s="78">
        <v>0.82599999999999996</v>
      </c>
      <c r="L13" s="78">
        <v>0.627</v>
      </c>
      <c r="M13" s="78">
        <v>0.66900000000000004</v>
      </c>
      <c r="N13" s="78">
        <v>0.13900000000000001</v>
      </c>
      <c r="O13" s="80" t="s">
        <v>75</v>
      </c>
      <c r="P13" s="78" t="s">
        <v>75</v>
      </c>
      <c r="Q13" s="80" t="s">
        <v>75</v>
      </c>
      <c r="R13" s="80">
        <f>M13/K13</f>
        <v>0.80992736077481853</v>
      </c>
      <c r="S13" s="80">
        <f>L13/K13</f>
        <v>0.7590799031476998</v>
      </c>
      <c r="T13" s="80" t="s">
        <v>75</v>
      </c>
      <c r="U13" s="78">
        <v>0.29599999999999999</v>
      </c>
      <c r="V13" s="78" t="s">
        <v>75</v>
      </c>
      <c r="W13" s="78">
        <v>0.61599999999999999</v>
      </c>
      <c r="X13" s="78">
        <v>0.373</v>
      </c>
      <c r="Y13" s="78" t="s">
        <v>75</v>
      </c>
      <c r="Z13" s="78">
        <v>0.54900000000000004</v>
      </c>
      <c r="AA13" s="78" t="s">
        <v>75</v>
      </c>
      <c r="AB13" s="78" t="s">
        <v>75</v>
      </c>
      <c r="AC13" s="78" t="s">
        <v>75</v>
      </c>
      <c r="AD13" s="78" t="s">
        <v>75</v>
      </c>
      <c r="AE13" s="78" t="s">
        <v>75</v>
      </c>
      <c r="AF13" s="78" t="s">
        <v>75</v>
      </c>
      <c r="AG13" s="78" t="s">
        <v>75</v>
      </c>
      <c r="AH13" s="78" t="s">
        <v>75</v>
      </c>
      <c r="AI13" s="78" t="s">
        <v>75</v>
      </c>
      <c r="AJ13" s="78" t="s">
        <v>75</v>
      </c>
      <c r="AK13" s="78" t="s">
        <v>75</v>
      </c>
      <c r="AL13" s="78" t="s">
        <v>75</v>
      </c>
      <c r="AM13" s="78" t="s">
        <v>75</v>
      </c>
      <c r="AN13" s="78" t="s">
        <v>75</v>
      </c>
      <c r="AO13" s="78" t="s">
        <v>75</v>
      </c>
      <c r="AP13" s="78">
        <v>0.189</v>
      </c>
      <c r="AQ13" s="78">
        <v>9.4E-2</v>
      </c>
      <c r="AR13" s="78">
        <f>AP13/F13</f>
        <v>0.13079584775086506</v>
      </c>
      <c r="AS13" s="78">
        <f>AP13/AQ13</f>
        <v>2.0106382978723403</v>
      </c>
      <c r="AT13" s="78">
        <f>AP13/K13</f>
        <v>0.2288135593220339</v>
      </c>
      <c r="AU13" s="78" t="s">
        <v>75</v>
      </c>
      <c r="AV13" s="78" t="s">
        <v>75</v>
      </c>
      <c r="AW13" s="78" t="s">
        <v>75</v>
      </c>
      <c r="AX13" s="80" t="s">
        <v>75</v>
      </c>
      <c r="AY13" s="87" t="s">
        <v>75</v>
      </c>
      <c r="AZ13" s="87">
        <v>10</v>
      </c>
      <c r="BA13" s="87" t="s">
        <v>75</v>
      </c>
      <c r="BB13" s="87" t="s">
        <v>75</v>
      </c>
      <c r="BC13" s="88" t="s">
        <v>75</v>
      </c>
    </row>
    <row r="14" spans="2:55" ht="12.75" customHeight="1" x14ac:dyDescent="0.25">
      <c r="B14" s="75"/>
      <c r="C14" s="113"/>
      <c r="D14" s="113"/>
      <c r="E14" s="113"/>
      <c r="F14" s="78">
        <f>1.367+0.078</f>
        <v>1.4450000000000001</v>
      </c>
      <c r="G14" s="80" t="s">
        <v>75</v>
      </c>
      <c r="H14" s="80" t="s">
        <v>75</v>
      </c>
      <c r="I14" s="78">
        <v>0.105</v>
      </c>
      <c r="J14" s="78">
        <v>5.2999999999999999E-2</v>
      </c>
      <c r="K14" s="78"/>
      <c r="L14" s="78"/>
      <c r="M14" s="78"/>
      <c r="N14" s="78"/>
      <c r="O14" s="80" t="s">
        <v>75</v>
      </c>
      <c r="P14" s="78" t="s">
        <v>75</v>
      </c>
      <c r="Q14" s="80" t="s">
        <v>75</v>
      </c>
      <c r="R14" s="80" t="s">
        <v>75</v>
      </c>
      <c r="S14" s="80" t="s">
        <v>75</v>
      </c>
      <c r="T14" s="80" t="s">
        <v>75</v>
      </c>
      <c r="U14" s="78">
        <v>0.29599999999999999</v>
      </c>
      <c r="V14" s="78" t="s">
        <v>75</v>
      </c>
      <c r="W14" s="78" t="s">
        <v>75</v>
      </c>
      <c r="X14" s="78" t="s">
        <v>75</v>
      </c>
      <c r="Y14" s="78" t="s">
        <v>75</v>
      </c>
      <c r="Z14" s="78">
        <v>0.55500000000000005</v>
      </c>
      <c r="AA14" s="78" t="s">
        <v>75</v>
      </c>
      <c r="AB14" s="78" t="s">
        <v>75</v>
      </c>
      <c r="AC14" s="78" t="s">
        <v>75</v>
      </c>
      <c r="AD14" s="78" t="s">
        <v>75</v>
      </c>
      <c r="AE14" s="78" t="s">
        <v>75</v>
      </c>
      <c r="AF14" s="78" t="s">
        <v>75</v>
      </c>
      <c r="AG14" s="78" t="s">
        <v>75</v>
      </c>
      <c r="AH14" s="78" t="s">
        <v>75</v>
      </c>
      <c r="AI14" s="78" t="s">
        <v>75</v>
      </c>
      <c r="AJ14" s="78" t="s">
        <v>75</v>
      </c>
      <c r="AK14" s="78" t="s">
        <v>75</v>
      </c>
      <c r="AL14" s="78" t="s">
        <v>75</v>
      </c>
      <c r="AM14" s="78" t="s">
        <v>75</v>
      </c>
      <c r="AN14" s="78" t="s">
        <v>75</v>
      </c>
      <c r="AO14" s="78" t="s">
        <v>75</v>
      </c>
      <c r="AP14" s="78">
        <v>0.19400000000000001</v>
      </c>
      <c r="AQ14" s="78">
        <v>0.1</v>
      </c>
      <c r="AR14" s="78">
        <f>AP14/F14</f>
        <v>0.1342560553633218</v>
      </c>
      <c r="AS14" s="78">
        <f>AP14/AQ14</f>
        <v>1.94</v>
      </c>
      <c r="AT14" s="78" t="s">
        <v>75</v>
      </c>
      <c r="AU14" s="78" t="s">
        <v>75</v>
      </c>
      <c r="AV14" s="78" t="s">
        <v>75</v>
      </c>
      <c r="AW14" s="78" t="s">
        <v>75</v>
      </c>
      <c r="AX14" s="80" t="s">
        <v>75</v>
      </c>
      <c r="AY14" s="87" t="s">
        <v>75</v>
      </c>
      <c r="AZ14" s="87" t="s">
        <v>75</v>
      </c>
      <c r="BA14" s="87" t="s">
        <v>75</v>
      </c>
      <c r="BB14" s="87" t="s">
        <v>75</v>
      </c>
      <c r="BC14" s="88" t="s">
        <v>75</v>
      </c>
    </row>
    <row r="15" spans="2:55" ht="12.75" customHeight="1" x14ac:dyDescent="0.25">
      <c r="B15" s="184" t="s">
        <v>192</v>
      </c>
      <c r="C15" s="116" t="s">
        <v>28</v>
      </c>
      <c r="D15" s="109" t="s">
        <v>193</v>
      </c>
      <c r="E15" s="109" t="s">
        <v>189</v>
      </c>
      <c r="F15" s="82">
        <f>1.298+0.787</f>
        <v>2.085</v>
      </c>
      <c r="G15" s="82">
        <f>I15+J15+K15+L15+M15+N15+P15</f>
        <v>4.4049999999999994</v>
      </c>
      <c r="H15" s="82">
        <f>G15/F15</f>
        <v>2.1127098321342923</v>
      </c>
      <c r="I15" s="82">
        <v>0.11</v>
      </c>
      <c r="J15" s="82">
        <v>5.8999999999999997E-2</v>
      </c>
      <c r="K15" s="82">
        <v>1.17</v>
      </c>
      <c r="L15" s="82">
        <v>0.7</v>
      </c>
      <c r="M15" s="82">
        <v>0.70599999999999996</v>
      </c>
      <c r="N15" s="82">
        <v>0.15</v>
      </c>
      <c r="O15" s="82">
        <f>P:P+N:N</f>
        <v>1.66</v>
      </c>
      <c r="P15" s="82">
        <f>0.69+0.468+0.163+0.189</f>
        <v>1.51</v>
      </c>
      <c r="Q15" s="82">
        <f>P15/K15</f>
        <v>1.2905982905982907</v>
      </c>
      <c r="R15" s="82">
        <f>M15/K15</f>
        <v>0.60341880341880338</v>
      </c>
      <c r="S15" s="82">
        <f>L15/K15</f>
        <v>0.59829059829059827</v>
      </c>
      <c r="T15" s="82">
        <f>O15/N15</f>
        <v>11.066666666666666</v>
      </c>
      <c r="U15" s="82">
        <v>0.36</v>
      </c>
      <c r="V15" s="72">
        <f>G15/U15</f>
        <v>12.236111111111109</v>
      </c>
      <c r="W15" s="82" t="s">
        <v>75</v>
      </c>
      <c r="X15" s="82" t="s">
        <v>75</v>
      </c>
      <c r="Y15" s="72" t="s">
        <v>75</v>
      </c>
      <c r="Z15" s="82" t="s">
        <v>75</v>
      </c>
      <c r="AA15" s="82">
        <v>0.68</v>
      </c>
      <c r="AB15" s="72">
        <f>AA15/F15</f>
        <v>0.32613908872901681</v>
      </c>
      <c r="AC15" s="82">
        <v>1.28</v>
      </c>
      <c r="AD15" s="72">
        <f>AC15/F15</f>
        <v>0.61390887290167873</v>
      </c>
      <c r="AE15" s="82">
        <v>0.12</v>
      </c>
      <c r="AF15" s="72">
        <f t="shared" ref="AF15:AF38" si="5">AE15/J15</f>
        <v>2.0338983050847457</v>
      </c>
      <c r="AG15" s="72">
        <f>AE:AE/O:O</f>
        <v>7.2289156626506021E-2</v>
      </c>
      <c r="AH15" s="72">
        <f>AE15/N15</f>
        <v>0.8</v>
      </c>
      <c r="AI15" s="82" t="s">
        <v>75</v>
      </c>
      <c r="AJ15" s="82" t="s">
        <v>75</v>
      </c>
      <c r="AK15" s="72" t="s">
        <v>75</v>
      </c>
      <c r="AL15" s="72" t="s">
        <v>75</v>
      </c>
      <c r="AM15" s="72" t="s">
        <v>75</v>
      </c>
      <c r="AN15" s="72" t="s">
        <v>75</v>
      </c>
      <c r="AO15" s="72" t="s">
        <v>75</v>
      </c>
      <c r="AP15" s="82">
        <v>0.21</v>
      </c>
      <c r="AQ15" s="82" t="s">
        <v>75</v>
      </c>
      <c r="AR15" s="72">
        <f>AP15/F15</f>
        <v>0.10071942446043165</v>
      </c>
      <c r="AS15" s="72" t="s">
        <v>75</v>
      </c>
      <c r="AT15" s="72">
        <f>AP15/K15</f>
        <v>0.17948717948717949</v>
      </c>
      <c r="AU15" s="82" t="s">
        <v>75</v>
      </c>
      <c r="AV15" s="82" t="s">
        <v>75</v>
      </c>
      <c r="AW15" s="72" t="s">
        <v>75</v>
      </c>
      <c r="AX15" s="82" t="s">
        <v>75</v>
      </c>
      <c r="AY15" s="185" t="s">
        <v>75</v>
      </c>
      <c r="AZ15" s="185">
        <v>14</v>
      </c>
      <c r="BA15" s="84" t="s">
        <v>75</v>
      </c>
      <c r="BB15" s="84" t="s">
        <v>75</v>
      </c>
      <c r="BC15" s="85" t="s">
        <v>75</v>
      </c>
    </row>
    <row r="16" spans="2:55" ht="12.75" customHeight="1" x14ac:dyDescent="0.25">
      <c r="B16" s="184"/>
      <c r="C16" s="116"/>
      <c r="D16" s="109"/>
      <c r="E16" s="109"/>
      <c r="F16" s="82" t="s">
        <v>75</v>
      </c>
      <c r="G16" s="82" t="s">
        <v>75</v>
      </c>
      <c r="H16" s="82" t="s">
        <v>75</v>
      </c>
      <c r="I16" s="82" t="s">
        <v>75</v>
      </c>
      <c r="J16" s="82" t="s">
        <v>75</v>
      </c>
      <c r="K16" s="82" t="s">
        <v>75</v>
      </c>
      <c r="L16" s="82" t="s">
        <v>75</v>
      </c>
      <c r="M16" s="82" t="s">
        <v>75</v>
      </c>
      <c r="N16" s="82" t="s">
        <v>75</v>
      </c>
      <c r="O16" s="82" t="s">
        <v>75</v>
      </c>
      <c r="P16" s="82" t="s">
        <v>75</v>
      </c>
      <c r="Q16" s="82" t="s">
        <v>75</v>
      </c>
      <c r="R16" s="82" t="s">
        <v>75</v>
      </c>
      <c r="S16" s="82" t="s">
        <v>75</v>
      </c>
      <c r="T16" s="82" t="s">
        <v>75</v>
      </c>
      <c r="U16" s="82">
        <v>0.36</v>
      </c>
      <c r="V16" s="72" t="s">
        <v>75</v>
      </c>
      <c r="W16" s="82" t="s">
        <v>75</v>
      </c>
      <c r="X16" s="82" t="s">
        <v>75</v>
      </c>
      <c r="Y16" s="72" t="s">
        <v>75</v>
      </c>
      <c r="Z16" s="82" t="s">
        <v>75</v>
      </c>
      <c r="AA16" s="82" t="s">
        <v>75</v>
      </c>
      <c r="AB16" s="72" t="s">
        <v>75</v>
      </c>
      <c r="AC16" s="82" t="s">
        <v>75</v>
      </c>
      <c r="AD16" s="72" t="s">
        <v>75</v>
      </c>
      <c r="AE16" s="82" t="s">
        <v>75</v>
      </c>
      <c r="AF16" s="72" t="s">
        <v>75</v>
      </c>
      <c r="AG16" s="72" t="s">
        <v>75</v>
      </c>
      <c r="AH16" s="72" t="s">
        <v>75</v>
      </c>
      <c r="AI16" s="82" t="s">
        <v>75</v>
      </c>
      <c r="AJ16" s="82" t="s">
        <v>75</v>
      </c>
      <c r="AK16" s="72" t="s">
        <v>75</v>
      </c>
      <c r="AL16" s="72" t="s">
        <v>75</v>
      </c>
      <c r="AM16" s="72" t="s">
        <v>75</v>
      </c>
      <c r="AN16" s="72" t="s">
        <v>75</v>
      </c>
      <c r="AO16" s="72" t="s">
        <v>75</v>
      </c>
      <c r="AP16" s="82" t="s">
        <v>75</v>
      </c>
      <c r="AQ16" s="82" t="s">
        <v>75</v>
      </c>
      <c r="AR16" s="72" t="s">
        <v>75</v>
      </c>
      <c r="AS16" s="72" t="s">
        <v>75</v>
      </c>
      <c r="AT16" s="72" t="s">
        <v>75</v>
      </c>
      <c r="AU16" s="82" t="s">
        <v>75</v>
      </c>
      <c r="AV16" s="82" t="s">
        <v>75</v>
      </c>
      <c r="AW16" s="72" t="s">
        <v>75</v>
      </c>
      <c r="AX16" s="82" t="s">
        <v>75</v>
      </c>
      <c r="AY16" s="185" t="s">
        <v>75</v>
      </c>
      <c r="AZ16" s="185">
        <v>15</v>
      </c>
      <c r="BA16" s="84" t="s">
        <v>75</v>
      </c>
      <c r="BB16" s="84" t="s">
        <v>75</v>
      </c>
      <c r="BC16" s="85" t="s">
        <v>75</v>
      </c>
    </row>
    <row r="17" spans="2:55" ht="12.75" customHeight="1" x14ac:dyDescent="0.25">
      <c r="B17" s="179" t="s">
        <v>192</v>
      </c>
      <c r="C17" s="112" t="s">
        <v>28</v>
      </c>
      <c r="D17" s="113" t="s">
        <v>193</v>
      </c>
      <c r="E17" s="113" t="s">
        <v>189</v>
      </c>
      <c r="F17" s="80">
        <f>1.375+1.043</f>
        <v>2.4180000000000001</v>
      </c>
      <c r="G17" s="80">
        <f>I17+J17+K17+L17+M17+N17+P17</f>
        <v>4.2620000000000005</v>
      </c>
      <c r="H17" s="80">
        <f>G17/F17</f>
        <v>1.7626137303556659</v>
      </c>
      <c r="I17" s="80">
        <v>0.11</v>
      </c>
      <c r="J17" s="80">
        <v>6.2E-2</v>
      </c>
      <c r="K17" s="80">
        <f>0.66+0.35</f>
        <v>1.01</v>
      </c>
      <c r="L17" s="80">
        <f>0.34+0.37</f>
        <v>0.71</v>
      </c>
      <c r="M17" s="80">
        <v>0.78</v>
      </c>
      <c r="N17" s="80">
        <v>0.156</v>
      </c>
      <c r="O17" s="80">
        <f>P:P+N:N</f>
        <v>1.59</v>
      </c>
      <c r="P17" s="80">
        <f>0.909+0.185+0.2+0.14</f>
        <v>1.4340000000000002</v>
      </c>
      <c r="Q17" s="80">
        <f t="shared" ref="Q17:Q38" si="6">P17/K17</f>
        <v>1.41980198019802</v>
      </c>
      <c r="R17" s="80">
        <f>M17/K17</f>
        <v>0.7722772277227723</v>
      </c>
      <c r="S17" s="80">
        <f>L17/K17</f>
        <v>0.70297029702970293</v>
      </c>
      <c r="T17" s="80">
        <f t="shared" ref="T17:T38" si="7">O17/N17</f>
        <v>10.192307692307693</v>
      </c>
      <c r="U17" s="80">
        <v>0.35299999999999998</v>
      </c>
      <c r="V17" s="78">
        <f>G17/U17</f>
        <v>12.073654390934847</v>
      </c>
      <c r="W17" s="80" t="s">
        <v>75</v>
      </c>
      <c r="X17" s="80" t="s">
        <v>75</v>
      </c>
      <c r="Y17" s="78" t="s">
        <v>75</v>
      </c>
      <c r="Z17" s="80" t="s">
        <v>75</v>
      </c>
      <c r="AA17" s="80">
        <v>0.77500000000000002</v>
      </c>
      <c r="AB17" s="78">
        <f>AA17/F17</f>
        <v>0.32051282051282048</v>
      </c>
      <c r="AC17" s="80">
        <v>1.33</v>
      </c>
      <c r="AD17" s="78">
        <f>AC17/F17</f>
        <v>0.55004135649296937</v>
      </c>
      <c r="AE17" s="80">
        <v>0.125</v>
      </c>
      <c r="AF17" s="78">
        <f t="shared" si="5"/>
        <v>2.0161290322580645</v>
      </c>
      <c r="AG17" s="78">
        <f>AE:AE/O:O</f>
        <v>7.8616352201257858E-2</v>
      </c>
      <c r="AH17" s="78">
        <f>AE17/N17</f>
        <v>0.80128205128205132</v>
      </c>
      <c r="AI17" s="80" t="s">
        <v>75</v>
      </c>
      <c r="AJ17" s="80" t="s">
        <v>75</v>
      </c>
      <c r="AK17" s="78" t="s">
        <v>75</v>
      </c>
      <c r="AL17" s="78" t="s">
        <v>75</v>
      </c>
      <c r="AM17" s="78" t="s">
        <v>75</v>
      </c>
      <c r="AN17" s="78" t="s">
        <v>75</v>
      </c>
      <c r="AO17" s="78" t="s">
        <v>75</v>
      </c>
      <c r="AP17" s="80">
        <v>0.21</v>
      </c>
      <c r="AQ17" s="80" t="s">
        <v>75</v>
      </c>
      <c r="AR17" s="78">
        <f>AP17/F17</f>
        <v>8.6848635235731997E-2</v>
      </c>
      <c r="AS17" s="78" t="s">
        <v>75</v>
      </c>
      <c r="AT17" s="78">
        <f>AP17/K17</f>
        <v>0.20792079207920791</v>
      </c>
      <c r="AU17" s="80" t="s">
        <v>75</v>
      </c>
      <c r="AV17" s="80" t="s">
        <v>75</v>
      </c>
      <c r="AW17" s="78" t="s">
        <v>75</v>
      </c>
      <c r="AX17" s="80" t="s">
        <v>75</v>
      </c>
      <c r="AY17" s="180" t="s">
        <v>75</v>
      </c>
      <c r="AZ17" s="180">
        <v>15</v>
      </c>
      <c r="BA17" s="180" t="s">
        <v>75</v>
      </c>
      <c r="BB17" s="180" t="s">
        <v>75</v>
      </c>
      <c r="BC17" s="181" t="s">
        <v>75</v>
      </c>
    </row>
    <row r="18" spans="2:55" ht="12.75" customHeight="1" x14ac:dyDescent="0.25">
      <c r="B18" s="75"/>
      <c r="C18" s="113"/>
      <c r="D18" s="113"/>
      <c r="E18" s="113"/>
      <c r="F18" s="80">
        <f>1.375+1.043</f>
        <v>2.4180000000000001</v>
      </c>
      <c r="G18" s="80" t="s">
        <v>75</v>
      </c>
      <c r="H18" s="80" t="s">
        <v>75</v>
      </c>
      <c r="I18" s="80" t="s">
        <v>75</v>
      </c>
      <c r="J18" s="80" t="s">
        <v>75</v>
      </c>
      <c r="K18" s="80" t="s">
        <v>75</v>
      </c>
      <c r="L18" s="80" t="s">
        <v>75</v>
      </c>
      <c r="M18" s="80" t="s">
        <v>75</v>
      </c>
      <c r="N18" s="80" t="s">
        <v>75</v>
      </c>
      <c r="O18" s="80" t="s">
        <v>75</v>
      </c>
      <c r="P18" s="80" t="s">
        <v>75</v>
      </c>
      <c r="Q18" s="80" t="s">
        <v>75</v>
      </c>
      <c r="R18" s="80" t="s">
        <v>75</v>
      </c>
      <c r="S18" s="80" t="s">
        <v>75</v>
      </c>
      <c r="T18" s="80" t="s">
        <v>75</v>
      </c>
      <c r="U18" s="80">
        <v>0.35299999999999998</v>
      </c>
      <c r="V18" s="78" t="s">
        <v>75</v>
      </c>
      <c r="W18" s="80" t="s">
        <v>75</v>
      </c>
      <c r="X18" s="80" t="s">
        <v>75</v>
      </c>
      <c r="Y18" s="78" t="s">
        <v>75</v>
      </c>
      <c r="Z18" s="80" t="s">
        <v>75</v>
      </c>
      <c r="AA18" s="80" t="s">
        <v>75</v>
      </c>
      <c r="AB18" s="78" t="s">
        <v>75</v>
      </c>
      <c r="AC18" s="80" t="s">
        <v>75</v>
      </c>
      <c r="AD18" s="78" t="s">
        <v>75</v>
      </c>
      <c r="AE18" s="80" t="s">
        <v>75</v>
      </c>
      <c r="AF18" s="78" t="s">
        <v>75</v>
      </c>
      <c r="AG18" s="78" t="s">
        <v>75</v>
      </c>
      <c r="AH18" s="78" t="s">
        <v>75</v>
      </c>
      <c r="AI18" s="80" t="s">
        <v>75</v>
      </c>
      <c r="AJ18" s="80" t="s">
        <v>75</v>
      </c>
      <c r="AK18" s="78" t="s">
        <v>75</v>
      </c>
      <c r="AL18" s="78" t="s">
        <v>75</v>
      </c>
      <c r="AM18" s="78" t="s">
        <v>75</v>
      </c>
      <c r="AN18" s="78" t="s">
        <v>75</v>
      </c>
      <c r="AO18" s="78" t="s">
        <v>75</v>
      </c>
      <c r="AP18" s="80" t="s">
        <v>75</v>
      </c>
      <c r="AQ18" s="80" t="s">
        <v>75</v>
      </c>
      <c r="AR18" s="78" t="s">
        <v>75</v>
      </c>
      <c r="AS18" s="78" t="s">
        <v>75</v>
      </c>
      <c r="AT18" s="78" t="s">
        <v>75</v>
      </c>
      <c r="AU18" s="80" t="s">
        <v>75</v>
      </c>
      <c r="AV18" s="80" t="s">
        <v>75</v>
      </c>
      <c r="AW18" s="78" t="s">
        <v>75</v>
      </c>
      <c r="AX18" s="80" t="s">
        <v>75</v>
      </c>
      <c r="AY18" s="180" t="s">
        <v>75</v>
      </c>
      <c r="AZ18" s="180">
        <v>10</v>
      </c>
      <c r="BA18" s="180" t="s">
        <v>75</v>
      </c>
      <c r="BB18" s="180" t="s">
        <v>75</v>
      </c>
      <c r="BC18" s="181" t="s">
        <v>75</v>
      </c>
    </row>
    <row r="19" spans="2:55" ht="12.75" customHeight="1" x14ac:dyDescent="0.25">
      <c r="B19" s="83">
        <v>19233</v>
      </c>
      <c r="C19" s="116" t="s">
        <v>28</v>
      </c>
      <c r="D19" s="109" t="s">
        <v>194</v>
      </c>
      <c r="E19" s="109" t="s">
        <v>190</v>
      </c>
      <c r="F19" s="82">
        <f>1.37+1.46</f>
        <v>2.83</v>
      </c>
      <c r="G19" s="82">
        <f>I19+J19+K19+L19+M19+N19+P19</f>
        <v>4.0919999999999996</v>
      </c>
      <c r="H19" s="82">
        <f>G19/F19</f>
        <v>1.4459363957597171</v>
      </c>
      <c r="I19" s="82">
        <v>0.121</v>
      </c>
      <c r="J19" s="82">
        <v>0.06</v>
      </c>
      <c r="K19" s="82">
        <v>1.1499999999999999</v>
      </c>
      <c r="L19" s="82">
        <v>0.82499999999999996</v>
      </c>
      <c r="M19" s="82">
        <f>0.576+0.295</f>
        <v>0.871</v>
      </c>
      <c r="N19" s="82">
        <v>0.19</v>
      </c>
      <c r="O19" s="82">
        <f>P:P+N:N</f>
        <v>1.0649999999999999</v>
      </c>
      <c r="P19" s="82">
        <f>0.075+0.141+0.36+0.069+0.23</f>
        <v>0.875</v>
      </c>
      <c r="Q19" s="82">
        <f t="shared" si="6"/>
        <v>0.76086956521739135</v>
      </c>
      <c r="R19" s="82">
        <f t="shared" ref="R19:R38" si="8">M19/K19</f>
        <v>0.75739130434782609</v>
      </c>
      <c r="S19" s="82">
        <f t="shared" ref="S19:S38" si="9">L19/K19</f>
        <v>0.71739130434782605</v>
      </c>
      <c r="T19" s="82">
        <f t="shared" si="7"/>
        <v>5.6052631578947363</v>
      </c>
      <c r="U19" s="82">
        <v>0.33</v>
      </c>
      <c r="V19" s="72">
        <f>G19/U19</f>
        <v>12.399999999999999</v>
      </c>
      <c r="W19" s="82">
        <v>0.77500000000000002</v>
      </c>
      <c r="X19" s="82">
        <v>0.161</v>
      </c>
      <c r="Y19" s="72">
        <f t="shared" ref="Y19:Y25" si="10">W:W/X:X</f>
        <v>4.8136645962732922</v>
      </c>
      <c r="Z19" s="82">
        <v>0.49</v>
      </c>
      <c r="AA19" s="82">
        <v>0.8</v>
      </c>
      <c r="AB19" s="72">
        <f t="shared" ref="AB19:AB31" si="11">AA19/F19</f>
        <v>0.28268551236749118</v>
      </c>
      <c r="AC19" s="82">
        <v>1.48</v>
      </c>
      <c r="AD19" s="72">
        <f t="shared" ref="AD19:AD31" si="12">AC19/F19</f>
        <v>0.5229681978798586</v>
      </c>
      <c r="AE19" s="82">
        <v>0.113</v>
      </c>
      <c r="AF19" s="72">
        <f t="shared" si="5"/>
        <v>1.8833333333333335</v>
      </c>
      <c r="AG19" s="72">
        <f>AE:AE/O:O</f>
        <v>0.10610328638497653</v>
      </c>
      <c r="AH19" s="72">
        <f t="shared" ref="AH19:AH30" si="13">AE19/N19</f>
        <v>0.59473684210526312</v>
      </c>
      <c r="AI19" s="82" t="s">
        <v>75</v>
      </c>
      <c r="AJ19" s="82" t="s">
        <v>75</v>
      </c>
      <c r="AK19" s="72" t="s">
        <v>75</v>
      </c>
      <c r="AL19" s="72" t="s">
        <v>75</v>
      </c>
      <c r="AM19" s="72" t="s">
        <v>75</v>
      </c>
      <c r="AN19" s="72" t="s">
        <v>75</v>
      </c>
      <c r="AO19" s="72" t="s">
        <v>75</v>
      </c>
      <c r="AP19" s="82">
        <v>0.26</v>
      </c>
      <c r="AQ19" s="82">
        <v>0.11</v>
      </c>
      <c r="AR19" s="72">
        <f t="shared" ref="AR19:AR38" si="14">AP19/F19</f>
        <v>9.187279151943463E-2</v>
      </c>
      <c r="AS19" s="72">
        <f t="shared" si="1"/>
        <v>2.3636363636363638</v>
      </c>
      <c r="AT19" s="72">
        <f t="shared" ref="AT19:AT36" si="15">AP19/K19</f>
        <v>0.22608695652173916</v>
      </c>
      <c r="AU19" s="82">
        <v>0.17399999999999999</v>
      </c>
      <c r="AV19" s="82">
        <v>0.14499999999999999</v>
      </c>
      <c r="AW19" s="72">
        <f t="shared" si="2"/>
        <v>1.2</v>
      </c>
      <c r="AX19" s="82">
        <f t="shared" si="3"/>
        <v>1.4942528735632186</v>
      </c>
      <c r="AY19" s="185">
        <v>5</v>
      </c>
      <c r="AZ19" s="185">
        <v>10</v>
      </c>
      <c r="BA19" s="185" t="s">
        <v>75</v>
      </c>
      <c r="BB19" s="185">
        <v>5</v>
      </c>
      <c r="BC19" s="186">
        <v>5</v>
      </c>
    </row>
    <row r="20" spans="2:55" ht="12.75" customHeight="1" x14ac:dyDescent="0.25">
      <c r="B20" s="69"/>
      <c r="C20" s="109"/>
      <c r="D20" s="109"/>
      <c r="E20" s="109"/>
      <c r="F20" s="82">
        <f>1.37+1.46</f>
        <v>2.83</v>
      </c>
      <c r="G20" s="82" t="s">
        <v>75</v>
      </c>
      <c r="H20" s="82" t="s">
        <v>75</v>
      </c>
      <c r="I20" s="82">
        <v>0.12</v>
      </c>
      <c r="J20" s="82">
        <v>6.7000000000000004E-2</v>
      </c>
      <c r="K20" s="82">
        <v>1.1599999999999999</v>
      </c>
      <c r="L20" s="82">
        <v>0.89</v>
      </c>
      <c r="M20" s="82">
        <v>0.84</v>
      </c>
      <c r="N20" s="82">
        <v>0.18</v>
      </c>
      <c r="O20" s="82" t="s">
        <v>75</v>
      </c>
      <c r="P20" s="82" t="s">
        <v>75</v>
      </c>
      <c r="Q20" s="82" t="s">
        <v>75</v>
      </c>
      <c r="R20" s="82">
        <f t="shared" si="8"/>
        <v>0.72413793103448276</v>
      </c>
      <c r="S20" s="82">
        <f t="shared" si="9"/>
        <v>0.76724137931034486</v>
      </c>
      <c r="T20" s="82" t="s">
        <v>75</v>
      </c>
      <c r="U20" s="82">
        <v>0.33</v>
      </c>
      <c r="V20" s="72" t="s">
        <v>75</v>
      </c>
      <c r="W20" s="82">
        <v>0.76300000000000001</v>
      </c>
      <c r="X20" s="82">
        <v>0.16</v>
      </c>
      <c r="Y20" s="72">
        <f t="shared" si="10"/>
        <v>4.7687499999999998</v>
      </c>
      <c r="Z20" s="82">
        <v>0.47</v>
      </c>
      <c r="AA20" s="82">
        <v>0.78</v>
      </c>
      <c r="AB20" s="72">
        <f t="shared" si="11"/>
        <v>0.2756183745583039</v>
      </c>
      <c r="AC20" s="82">
        <v>1.5</v>
      </c>
      <c r="AD20" s="72">
        <f t="shared" si="12"/>
        <v>0.53003533568904593</v>
      </c>
      <c r="AE20" s="82">
        <v>0.12</v>
      </c>
      <c r="AF20" s="72">
        <f t="shared" si="5"/>
        <v>1.7910447761194028</v>
      </c>
      <c r="AG20" s="72" t="s">
        <v>75</v>
      </c>
      <c r="AH20" s="72">
        <f t="shared" si="13"/>
        <v>0.66666666666666663</v>
      </c>
      <c r="AI20" s="82" t="s">
        <v>75</v>
      </c>
      <c r="AJ20" s="82" t="s">
        <v>75</v>
      </c>
      <c r="AK20" s="72" t="s">
        <v>75</v>
      </c>
      <c r="AL20" s="72" t="s">
        <v>75</v>
      </c>
      <c r="AM20" s="72" t="s">
        <v>75</v>
      </c>
      <c r="AN20" s="72" t="s">
        <v>75</v>
      </c>
      <c r="AO20" s="72" t="s">
        <v>75</v>
      </c>
      <c r="AP20" s="82">
        <v>0.25</v>
      </c>
      <c r="AQ20" s="82">
        <v>0.1</v>
      </c>
      <c r="AR20" s="72">
        <f t="shared" si="14"/>
        <v>8.8339222614840993E-2</v>
      </c>
      <c r="AS20" s="72">
        <f t="shared" si="1"/>
        <v>2.5</v>
      </c>
      <c r="AT20" s="72">
        <f t="shared" si="15"/>
        <v>0.21551724137931036</v>
      </c>
      <c r="AU20" s="82">
        <v>0.17399999999999999</v>
      </c>
      <c r="AV20" s="82">
        <v>0.14499999999999999</v>
      </c>
      <c r="AW20" s="72">
        <f t="shared" ref="AW20" si="16">AU20/AV20</f>
        <v>1.2</v>
      </c>
      <c r="AX20" s="82">
        <f t="shared" ref="AX20" si="17">AP20/AU20</f>
        <v>1.4367816091954024</v>
      </c>
      <c r="AY20" s="185" t="s">
        <v>75</v>
      </c>
      <c r="AZ20" s="185">
        <v>12</v>
      </c>
      <c r="BA20" s="185" t="s">
        <v>75</v>
      </c>
      <c r="BB20" s="185" t="s">
        <v>75</v>
      </c>
      <c r="BC20" s="186" t="s">
        <v>75</v>
      </c>
    </row>
    <row r="21" spans="2:55" ht="12.75" customHeight="1" x14ac:dyDescent="0.25">
      <c r="B21" s="86">
        <v>25823</v>
      </c>
      <c r="C21" s="112" t="s">
        <v>28</v>
      </c>
      <c r="D21" s="113" t="s">
        <v>195</v>
      </c>
      <c r="E21" s="113" t="s">
        <v>191</v>
      </c>
      <c r="F21" s="78">
        <f>1.06+1.265</f>
        <v>2.3250000000000002</v>
      </c>
      <c r="G21" s="80">
        <f t="shared" ref="G21:G30" si="18">I21+J21+K21+L21+M21+N21+P21</f>
        <v>3.9790000000000001</v>
      </c>
      <c r="H21" s="80">
        <f t="shared" ref="H21:H38" si="19">G21/F21</f>
        <v>1.7113978494623654</v>
      </c>
      <c r="I21" s="78">
        <v>0.122</v>
      </c>
      <c r="J21" s="78">
        <v>5.7000000000000002E-2</v>
      </c>
      <c r="K21" s="78">
        <v>0.95799999999999996</v>
      </c>
      <c r="L21" s="78">
        <v>0.69299999999999995</v>
      </c>
      <c r="M21" s="78">
        <v>0.68799999999999994</v>
      </c>
      <c r="N21" s="78">
        <v>0.152</v>
      </c>
      <c r="O21" s="80">
        <f t="shared" ref="O21:O30" si="20">P:P+N:N</f>
        <v>1.4609999999999999</v>
      </c>
      <c r="P21" s="78">
        <v>1.3089999999999999</v>
      </c>
      <c r="Q21" s="80">
        <f t="shared" si="6"/>
        <v>1.3663883089770354</v>
      </c>
      <c r="R21" s="80">
        <f t="shared" si="8"/>
        <v>0.71816283924843416</v>
      </c>
      <c r="S21" s="80">
        <f t="shared" si="9"/>
        <v>0.72338204592901878</v>
      </c>
      <c r="T21" s="80">
        <f t="shared" si="7"/>
        <v>9.6118421052631575</v>
      </c>
      <c r="U21" s="78">
        <v>0.372</v>
      </c>
      <c r="V21" s="78">
        <f t="shared" ref="V21:V30" si="21">G21/U21</f>
        <v>10.696236559139786</v>
      </c>
      <c r="W21" s="78">
        <v>0.72199999999999998</v>
      </c>
      <c r="X21" s="78">
        <v>0.11799999999999999</v>
      </c>
      <c r="Y21" s="78">
        <f t="shared" si="10"/>
        <v>6.1186440677966099</v>
      </c>
      <c r="Z21" s="78">
        <v>0.48899999999999999</v>
      </c>
      <c r="AA21" s="78">
        <v>0.66100000000000003</v>
      </c>
      <c r="AB21" s="78">
        <f t="shared" si="11"/>
        <v>0.2843010752688172</v>
      </c>
      <c r="AC21" s="78">
        <v>1.3440000000000001</v>
      </c>
      <c r="AD21" s="78">
        <f t="shared" si="12"/>
        <v>0.5780645161290322</v>
      </c>
      <c r="AE21" s="78">
        <v>0.122</v>
      </c>
      <c r="AF21" s="78">
        <f t="shared" si="5"/>
        <v>2.1403508771929824</v>
      </c>
      <c r="AG21" s="78">
        <f>AE:AE/O:O</f>
        <v>8.3504449007529097E-2</v>
      </c>
      <c r="AH21" s="78">
        <f t="shared" si="13"/>
        <v>0.80263157894736847</v>
      </c>
      <c r="AI21" s="78">
        <v>9.0999999999999998E-2</v>
      </c>
      <c r="AJ21" s="78">
        <v>6.9000000000000006E-2</v>
      </c>
      <c r="AK21" s="78">
        <f t="shared" ref="AK21:AK37" si="22">AI21/AJ21</f>
        <v>1.3188405797101448</v>
      </c>
      <c r="AL21" s="78">
        <f>AI21/AE21</f>
        <v>0.74590163934426235</v>
      </c>
      <c r="AM21" s="78">
        <f>AI21/N21</f>
        <v>0.59868421052631582</v>
      </c>
      <c r="AN21" s="78">
        <f t="shared" ref="AN21:AN38" si="23">AI21/K21</f>
        <v>9.4989561586638835E-2</v>
      </c>
      <c r="AO21" s="78">
        <f t="shared" si="0"/>
        <v>0.44390243902439025</v>
      </c>
      <c r="AP21" s="78">
        <v>0.20499999999999999</v>
      </c>
      <c r="AQ21" s="78">
        <v>0.11</v>
      </c>
      <c r="AR21" s="78">
        <f t="shared" si="14"/>
        <v>8.8172043010752682E-2</v>
      </c>
      <c r="AS21" s="78">
        <f t="shared" si="1"/>
        <v>1.8636363636363635</v>
      </c>
      <c r="AT21" s="78">
        <f t="shared" si="15"/>
        <v>0.21398747390396658</v>
      </c>
      <c r="AU21" s="78">
        <v>0.14799999999999999</v>
      </c>
      <c r="AV21" s="78">
        <v>0.14899999999999999</v>
      </c>
      <c r="AW21" s="78">
        <f t="shared" si="2"/>
        <v>0.99328859060402686</v>
      </c>
      <c r="AX21" s="80">
        <f t="shared" si="3"/>
        <v>1.3851351351351351</v>
      </c>
      <c r="AY21" s="87">
        <v>4</v>
      </c>
      <c r="AZ21" s="87">
        <v>12</v>
      </c>
      <c r="BA21" s="87">
        <v>6</v>
      </c>
      <c r="BB21" s="87">
        <v>8</v>
      </c>
      <c r="BC21" s="88">
        <v>7</v>
      </c>
    </row>
    <row r="22" spans="2:55" ht="12.75" customHeight="1" x14ac:dyDescent="0.25">
      <c r="B22" s="75"/>
      <c r="C22" s="113"/>
      <c r="D22" s="113"/>
      <c r="E22" s="113"/>
      <c r="F22" s="78">
        <f>1.06+1.265</f>
        <v>2.3250000000000002</v>
      </c>
      <c r="G22" s="80">
        <f t="shared" si="18"/>
        <v>4.077</v>
      </c>
      <c r="H22" s="80">
        <f t="shared" si="19"/>
        <v>1.7535483870967741</v>
      </c>
      <c r="I22" s="78">
        <v>0.12</v>
      </c>
      <c r="J22" s="78">
        <v>5.6000000000000001E-2</v>
      </c>
      <c r="K22" s="78">
        <v>0.97699999999999998</v>
      </c>
      <c r="L22" s="78">
        <v>0.72</v>
      </c>
      <c r="M22" s="78">
        <v>0.67300000000000004</v>
      </c>
      <c r="N22" s="78">
        <v>0.14899999999999999</v>
      </c>
      <c r="O22" s="80">
        <f t="shared" si="20"/>
        <v>1.5309999999999999</v>
      </c>
      <c r="P22" s="78">
        <v>1.3819999999999999</v>
      </c>
      <c r="Q22" s="80">
        <f t="shared" si="6"/>
        <v>1.4145342886386898</v>
      </c>
      <c r="R22" s="80">
        <f t="shared" si="8"/>
        <v>0.68884339815762541</v>
      </c>
      <c r="S22" s="80">
        <f t="shared" si="9"/>
        <v>0.73694984646878192</v>
      </c>
      <c r="T22" s="80">
        <f t="shared" si="7"/>
        <v>10.275167785234899</v>
      </c>
      <c r="U22" s="78">
        <v>0.372</v>
      </c>
      <c r="V22" s="78">
        <f t="shared" si="21"/>
        <v>10.959677419354838</v>
      </c>
      <c r="W22" s="78">
        <v>0.71599999999999997</v>
      </c>
      <c r="X22" s="78">
        <v>0.114</v>
      </c>
      <c r="Y22" s="78">
        <f t="shared" si="10"/>
        <v>6.280701754385964</v>
      </c>
      <c r="Z22" s="78">
        <v>0.496</v>
      </c>
      <c r="AA22" s="78">
        <v>0.67100000000000004</v>
      </c>
      <c r="AB22" s="78">
        <f t="shared" si="11"/>
        <v>0.28860215053763438</v>
      </c>
      <c r="AC22" s="78">
        <v>1.329</v>
      </c>
      <c r="AD22" s="78">
        <f t="shared" si="12"/>
        <v>0.57161290322580638</v>
      </c>
      <c r="AE22" s="78">
        <v>0.125</v>
      </c>
      <c r="AF22" s="78">
        <f t="shared" si="5"/>
        <v>2.2321428571428572</v>
      </c>
      <c r="AG22" s="78">
        <f>AE:AE/O:O</f>
        <v>8.1645983017635537E-2</v>
      </c>
      <c r="AH22" s="78">
        <f t="shared" si="13"/>
        <v>0.83892617449664431</v>
      </c>
      <c r="AI22" s="78">
        <v>9.0999999999999998E-2</v>
      </c>
      <c r="AJ22" s="78">
        <v>6.9000000000000006E-2</v>
      </c>
      <c r="AK22" s="78">
        <f t="shared" si="22"/>
        <v>1.3188405797101448</v>
      </c>
      <c r="AL22" s="78">
        <f>AI22/AE22</f>
        <v>0.72799999999999998</v>
      </c>
      <c r="AM22" s="78">
        <f>AI22/N22</f>
        <v>0.61073825503355705</v>
      </c>
      <c r="AN22" s="78">
        <f t="shared" si="23"/>
        <v>9.3142272262026607E-2</v>
      </c>
      <c r="AO22" s="78">
        <f t="shared" si="0"/>
        <v>0.45049504950495045</v>
      </c>
      <c r="AP22" s="78">
        <v>0.20200000000000001</v>
      </c>
      <c r="AQ22" s="78">
        <v>0.114</v>
      </c>
      <c r="AR22" s="78">
        <f t="shared" si="14"/>
        <v>8.6881720430107529E-2</v>
      </c>
      <c r="AS22" s="78">
        <f t="shared" si="1"/>
        <v>1.7719298245614035</v>
      </c>
      <c r="AT22" s="78">
        <f t="shared" si="15"/>
        <v>0.20675537359263052</v>
      </c>
      <c r="AU22" s="78">
        <v>0.14799999999999999</v>
      </c>
      <c r="AV22" s="78">
        <v>0.14899999999999999</v>
      </c>
      <c r="AW22" s="78">
        <f t="shared" ref="AW22" si="24">AU22/AV22</f>
        <v>0.99328859060402686</v>
      </c>
      <c r="AX22" s="80">
        <f t="shared" ref="AX22" si="25">AP22/AU22</f>
        <v>1.3648648648648649</v>
      </c>
      <c r="AY22" s="87" t="s">
        <v>75</v>
      </c>
      <c r="AZ22" s="87">
        <v>14</v>
      </c>
      <c r="BA22" s="87" t="s">
        <v>75</v>
      </c>
      <c r="BB22" s="87" t="s">
        <v>75</v>
      </c>
      <c r="BC22" s="88" t="s">
        <v>75</v>
      </c>
    </row>
    <row r="23" spans="2:55" ht="12.75" customHeight="1" x14ac:dyDescent="0.25">
      <c r="B23" s="83">
        <v>25823</v>
      </c>
      <c r="C23" s="116" t="s">
        <v>28</v>
      </c>
      <c r="D23" s="109" t="s">
        <v>195</v>
      </c>
      <c r="E23" s="109" t="s">
        <v>191</v>
      </c>
      <c r="F23" s="72">
        <f>1.009+1.293</f>
        <v>2.3019999999999996</v>
      </c>
      <c r="G23" s="82">
        <f t="shared" si="18"/>
        <v>3.5069999999999997</v>
      </c>
      <c r="H23" s="82">
        <f t="shared" si="19"/>
        <v>1.5234578627280626</v>
      </c>
      <c r="I23" s="72">
        <v>0.12</v>
      </c>
      <c r="J23" s="72">
        <v>6.0999999999999999E-2</v>
      </c>
      <c r="K23" s="72">
        <v>0.97199999999999998</v>
      </c>
      <c r="L23" s="72">
        <v>0.69399999999999995</v>
      </c>
      <c r="M23" s="72">
        <v>0.63100000000000001</v>
      </c>
      <c r="N23" s="72">
        <v>0.14000000000000001</v>
      </c>
      <c r="O23" s="82">
        <f t="shared" si="20"/>
        <v>1.0289999999999999</v>
      </c>
      <c r="P23" s="72">
        <v>0.88900000000000001</v>
      </c>
      <c r="Q23" s="82">
        <f t="shared" si="6"/>
        <v>0.91460905349794241</v>
      </c>
      <c r="R23" s="82">
        <f t="shared" si="8"/>
        <v>0.64917695473251036</v>
      </c>
      <c r="S23" s="82">
        <f t="shared" si="9"/>
        <v>0.71399176954732502</v>
      </c>
      <c r="T23" s="82">
        <f t="shared" si="7"/>
        <v>7.3499999999999988</v>
      </c>
      <c r="U23" s="72">
        <v>0.375</v>
      </c>
      <c r="V23" s="72">
        <f t="shared" si="21"/>
        <v>9.3519999999999985</v>
      </c>
      <c r="W23" s="72">
        <v>0.71899999999999997</v>
      </c>
      <c r="X23" s="72">
        <v>0.11600000000000001</v>
      </c>
      <c r="Y23" s="72">
        <f t="shared" si="10"/>
        <v>6.1982758620689653</v>
      </c>
      <c r="Z23" s="72">
        <v>0.47799999999999998</v>
      </c>
      <c r="AA23" s="72">
        <v>0.66100000000000003</v>
      </c>
      <c r="AB23" s="72">
        <f t="shared" si="11"/>
        <v>0.28714161598609911</v>
      </c>
      <c r="AC23" s="72">
        <v>1.371</v>
      </c>
      <c r="AD23" s="72">
        <f t="shared" si="12"/>
        <v>0.59556907037358831</v>
      </c>
      <c r="AE23" s="72">
        <v>0.122</v>
      </c>
      <c r="AF23" s="72">
        <f t="shared" si="5"/>
        <v>2</v>
      </c>
      <c r="AG23" s="72">
        <f>AE:AE/O:O</f>
        <v>0.1185617103984451</v>
      </c>
      <c r="AH23" s="72">
        <f t="shared" si="13"/>
        <v>0.87142857142857133</v>
      </c>
      <c r="AI23" s="72">
        <v>8.5999999999999993E-2</v>
      </c>
      <c r="AJ23" s="72">
        <v>6.6000000000000003E-2</v>
      </c>
      <c r="AK23" s="72">
        <f t="shared" si="22"/>
        <v>1.3030303030303028</v>
      </c>
      <c r="AL23" s="72">
        <f>AI23/AE23</f>
        <v>0.70491803278688525</v>
      </c>
      <c r="AM23" s="72">
        <f>AI23/N23</f>
        <v>0.61428571428571421</v>
      </c>
      <c r="AN23" s="72">
        <f t="shared" si="23"/>
        <v>8.8477366255144033E-2</v>
      </c>
      <c r="AO23" s="72">
        <f t="shared" si="0"/>
        <v>0.38053097345132741</v>
      </c>
      <c r="AP23" s="72">
        <v>0.22600000000000001</v>
      </c>
      <c r="AQ23" s="72">
        <v>8.5999999999999993E-2</v>
      </c>
      <c r="AR23" s="72">
        <f t="shared" si="14"/>
        <v>9.8175499565595153E-2</v>
      </c>
      <c r="AS23" s="72">
        <f t="shared" si="1"/>
        <v>2.6279069767441863</v>
      </c>
      <c r="AT23" s="72">
        <f t="shared" si="15"/>
        <v>0.23251028806584365</v>
      </c>
      <c r="AU23" s="72">
        <v>0.111</v>
      </c>
      <c r="AV23" s="72">
        <v>0.123</v>
      </c>
      <c r="AW23" s="72">
        <f t="shared" si="2"/>
        <v>0.90243902439024393</v>
      </c>
      <c r="AX23" s="82">
        <f t="shared" si="3"/>
        <v>2.0360360360360361</v>
      </c>
      <c r="AY23" s="84">
        <v>4</v>
      </c>
      <c r="AZ23" s="84">
        <v>10</v>
      </c>
      <c r="BA23" s="84">
        <v>6</v>
      </c>
      <c r="BB23" s="84">
        <v>8</v>
      </c>
      <c r="BC23" s="85">
        <v>7</v>
      </c>
    </row>
    <row r="24" spans="2:55" ht="12.75" customHeight="1" x14ac:dyDescent="0.25">
      <c r="B24" s="69"/>
      <c r="C24" s="109"/>
      <c r="D24" s="109"/>
      <c r="E24" s="109"/>
      <c r="F24" s="72">
        <f>1.009+1.293</f>
        <v>2.3019999999999996</v>
      </c>
      <c r="G24" s="82">
        <f t="shared" si="18"/>
        <v>3.774</v>
      </c>
      <c r="H24" s="82">
        <f t="shared" si="19"/>
        <v>1.6394439617723722</v>
      </c>
      <c r="I24" s="72">
        <v>0.122</v>
      </c>
      <c r="J24" s="72">
        <v>6.0999999999999999E-2</v>
      </c>
      <c r="K24" s="72">
        <v>0.99199999999999999</v>
      </c>
      <c r="L24" s="72">
        <v>0.66700000000000004</v>
      </c>
      <c r="M24" s="72">
        <v>0.63</v>
      </c>
      <c r="N24" s="72">
        <v>0.14199999999999999</v>
      </c>
      <c r="O24" s="82">
        <f t="shared" si="20"/>
        <v>1.3019999999999998</v>
      </c>
      <c r="P24" s="72">
        <f>0.458+0.272+0.43</f>
        <v>1.1599999999999999</v>
      </c>
      <c r="Q24" s="82">
        <f t="shared" si="6"/>
        <v>1.1693548387096773</v>
      </c>
      <c r="R24" s="82">
        <f t="shared" si="8"/>
        <v>0.63508064516129037</v>
      </c>
      <c r="S24" s="82">
        <f t="shared" si="9"/>
        <v>0.67237903225806461</v>
      </c>
      <c r="T24" s="82">
        <f t="shared" si="7"/>
        <v>9.169014084507042</v>
      </c>
      <c r="U24" s="72">
        <v>0.375</v>
      </c>
      <c r="V24" s="72">
        <f t="shared" si="21"/>
        <v>10.064</v>
      </c>
      <c r="W24" s="72">
        <v>0.67400000000000004</v>
      </c>
      <c r="X24" s="72">
        <v>0.105</v>
      </c>
      <c r="Y24" s="72">
        <f t="shared" si="10"/>
        <v>6.4190476190476193</v>
      </c>
      <c r="Z24" s="72">
        <v>0.48899999999999999</v>
      </c>
      <c r="AA24" s="72">
        <v>0.65100000000000002</v>
      </c>
      <c r="AB24" s="72">
        <f t="shared" si="11"/>
        <v>0.28279756733275419</v>
      </c>
      <c r="AC24" s="72">
        <v>1.3660000000000001</v>
      </c>
      <c r="AD24" s="72">
        <f t="shared" si="12"/>
        <v>0.5933970460469159</v>
      </c>
      <c r="AE24" s="72">
        <v>0.123</v>
      </c>
      <c r="AF24" s="72">
        <f t="shared" si="5"/>
        <v>2.0163934426229506</v>
      </c>
      <c r="AG24" s="72">
        <f>AE:AE/O:O</f>
        <v>9.4470046082949316E-2</v>
      </c>
      <c r="AH24" s="72">
        <f t="shared" si="13"/>
        <v>0.86619718309859162</v>
      </c>
      <c r="AI24" s="72">
        <v>8.5999999999999993E-2</v>
      </c>
      <c r="AJ24" s="72">
        <v>6.6000000000000003E-2</v>
      </c>
      <c r="AK24" s="72">
        <f t="shared" si="22"/>
        <v>1.3030303030303028</v>
      </c>
      <c r="AL24" s="72">
        <f>AI24/AE24</f>
        <v>0.69918699186991862</v>
      </c>
      <c r="AM24" s="72">
        <f>AI24/N24</f>
        <v>0.60563380281690138</v>
      </c>
      <c r="AN24" s="72">
        <f t="shared" si="23"/>
        <v>8.6693548387096767E-2</v>
      </c>
      <c r="AO24" s="72">
        <f t="shared" si="0"/>
        <v>0.38565022421524658</v>
      </c>
      <c r="AP24" s="72">
        <v>0.223</v>
      </c>
      <c r="AQ24" s="72">
        <v>0.111</v>
      </c>
      <c r="AR24" s="72">
        <f t="shared" si="14"/>
        <v>9.6872284969591674E-2</v>
      </c>
      <c r="AS24" s="72">
        <f t="shared" si="1"/>
        <v>2.0090090090090089</v>
      </c>
      <c r="AT24" s="72">
        <f t="shared" si="15"/>
        <v>0.22479838709677419</v>
      </c>
      <c r="AU24" s="72">
        <v>0.111</v>
      </c>
      <c r="AV24" s="72">
        <v>0.123</v>
      </c>
      <c r="AW24" s="72">
        <f t="shared" ref="AW24" si="26">AU24/AV24</f>
        <v>0.90243902439024393</v>
      </c>
      <c r="AX24" s="82">
        <f t="shared" ref="AX24" si="27">AP24/AU24</f>
        <v>2.0090090090090089</v>
      </c>
      <c r="AY24" s="84" t="s">
        <v>75</v>
      </c>
      <c r="AZ24" s="84">
        <v>12</v>
      </c>
      <c r="BA24" s="84" t="s">
        <v>75</v>
      </c>
      <c r="BB24" s="84" t="s">
        <v>75</v>
      </c>
      <c r="BC24" s="85" t="s">
        <v>75</v>
      </c>
    </row>
    <row r="25" spans="2:55" ht="12.75" customHeight="1" x14ac:dyDescent="0.25">
      <c r="B25" s="86">
        <v>25823</v>
      </c>
      <c r="C25" s="112" t="s">
        <v>28</v>
      </c>
      <c r="D25" s="113" t="s">
        <v>195</v>
      </c>
      <c r="E25" s="113" t="s">
        <v>191</v>
      </c>
      <c r="F25" s="78">
        <f>0.965+1.075</f>
        <v>2.04</v>
      </c>
      <c r="G25" s="80">
        <f t="shared" si="18"/>
        <v>4.2459999999999996</v>
      </c>
      <c r="H25" s="80">
        <f t="shared" si="19"/>
        <v>2.0813725490196076</v>
      </c>
      <c r="I25" s="78">
        <v>0.115</v>
      </c>
      <c r="J25" s="78">
        <v>5.7000000000000002E-2</v>
      </c>
      <c r="K25" s="78">
        <v>1.0069999999999999</v>
      </c>
      <c r="L25" s="78">
        <v>0.77600000000000002</v>
      </c>
      <c r="M25" s="78">
        <v>0.76100000000000001</v>
      </c>
      <c r="N25" s="78">
        <v>0.16300000000000001</v>
      </c>
      <c r="O25" s="80">
        <f t="shared" si="20"/>
        <v>1.53</v>
      </c>
      <c r="P25" s="78">
        <v>1.367</v>
      </c>
      <c r="Q25" s="80">
        <f t="shared" si="6"/>
        <v>1.3574975173783517</v>
      </c>
      <c r="R25" s="80">
        <f t="shared" si="8"/>
        <v>0.75571002979145985</v>
      </c>
      <c r="S25" s="80">
        <f t="shared" si="9"/>
        <v>0.77060575968222456</v>
      </c>
      <c r="T25" s="80">
        <f t="shared" si="7"/>
        <v>9.3865030674846626</v>
      </c>
      <c r="U25" s="78">
        <v>0.378</v>
      </c>
      <c r="V25" s="78">
        <f t="shared" si="21"/>
        <v>11.232804232804231</v>
      </c>
      <c r="W25" s="78">
        <v>0.70499999999999996</v>
      </c>
      <c r="X25" s="78">
        <v>0.124</v>
      </c>
      <c r="Y25" s="78">
        <f t="shared" si="10"/>
        <v>5.685483870967742</v>
      </c>
      <c r="Z25" s="78">
        <v>0.41299999999999998</v>
      </c>
      <c r="AA25" s="78">
        <v>0.56100000000000005</v>
      </c>
      <c r="AB25" s="78">
        <f t="shared" si="11"/>
        <v>0.27500000000000002</v>
      </c>
      <c r="AC25" s="78">
        <v>1.1859999999999999</v>
      </c>
      <c r="AD25" s="78">
        <f t="shared" si="12"/>
        <v>0.58137254901960778</v>
      </c>
      <c r="AE25" s="78">
        <v>0.111</v>
      </c>
      <c r="AF25" s="78">
        <f t="shared" si="5"/>
        <v>1.9473684210526316</v>
      </c>
      <c r="AG25" s="78">
        <f>AE:AE/O:O</f>
        <v>7.2549019607843143E-2</v>
      </c>
      <c r="AH25" s="78">
        <f t="shared" si="13"/>
        <v>0.68098159509202449</v>
      </c>
      <c r="AI25" s="78" t="s">
        <v>75</v>
      </c>
      <c r="AJ25" s="78" t="s">
        <v>75</v>
      </c>
      <c r="AK25" s="78" t="s">
        <v>75</v>
      </c>
      <c r="AL25" s="78" t="s">
        <v>75</v>
      </c>
      <c r="AM25" s="78" t="s">
        <v>75</v>
      </c>
      <c r="AN25" s="78" t="s">
        <v>75</v>
      </c>
      <c r="AO25" s="78" t="s">
        <v>75</v>
      </c>
      <c r="AP25" s="78">
        <v>0.186</v>
      </c>
      <c r="AQ25" s="78">
        <v>8.6999999999999994E-2</v>
      </c>
      <c r="AR25" s="78">
        <f t="shared" si="14"/>
        <v>9.1176470588235289E-2</v>
      </c>
      <c r="AS25" s="78">
        <f t="shared" si="1"/>
        <v>2.1379310344827589</v>
      </c>
      <c r="AT25" s="78">
        <f t="shared" si="15"/>
        <v>0.18470705064548165</v>
      </c>
      <c r="AU25" s="78">
        <v>0.14799999999999999</v>
      </c>
      <c r="AV25" s="78">
        <v>0.13200000000000001</v>
      </c>
      <c r="AW25" s="78">
        <f t="shared" si="2"/>
        <v>1.1212121212121211</v>
      </c>
      <c r="AX25" s="80">
        <f t="shared" si="3"/>
        <v>1.2567567567567568</v>
      </c>
      <c r="AY25" s="87">
        <v>4</v>
      </c>
      <c r="AZ25" s="87">
        <v>14</v>
      </c>
      <c r="BA25" s="87" t="s">
        <v>75</v>
      </c>
      <c r="BB25" s="87">
        <v>7</v>
      </c>
      <c r="BC25" s="88">
        <v>7</v>
      </c>
    </row>
    <row r="26" spans="2:55" ht="12.75" customHeight="1" x14ac:dyDescent="0.25">
      <c r="B26" s="75"/>
      <c r="C26" s="113"/>
      <c r="D26" s="113"/>
      <c r="E26" s="113"/>
      <c r="F26" s="78">
        <f>0.965+1.075</f>
        <v>2.04</v>
      </c>
      <c r="G26" s="80">
        <f t="shared" si="18"/>
        <v>4.6959999999999997</v>
      </c>
      <c r="H26" s="80">
        <f t="shared" si="19"/>
        <v>2.3019607843137253</v>
      </c>
      <c r="I26" s="78">
        <v>0.11</v>
      </c>
      <c r="J26" s="78">
        <v>5.5E-2</v>
      </c>
      <c r="K26" s="78">
        <v>0.98799999999999999</v>
      </c>
      <c r="L26" s="78">
        <v>0.72499999999999998</v>
      </c>
      <c r="M26" s="78">
        <v>0.81399999999999995</v>
      </c>
      <c r="N26" s="78">
        <v>0.16200000000000001</v>
      </c>
      <c r="O26" s="80">
        <f t="shared" si="20"/>
        <v>2.004</v>
      </c>
      <c r="P26" s="78">
        <f>1.342+0.5</f>
        <v>1.8420000000000001</v>
      </c>
      <c r="Q26" s="80">
        <f t="shared" si="6"/>
        <v>1.8643724696356276</v>
      </c>
      <c r="R26" s="80">
        <f t="shared" si="8"/>
        <v>0.82388663967611331</v>
      </c>
      <c r="S26" s="80">
        <f t="shared" si="9"/>
        <v>0.73380566801619429</v>
      </c>
      <c r="T26" s="80">
        <f t="shared" si="7"/>
        <v>12.37037037037037</v>
      </c>
      <c r="U26" s="78">
        <v>0.378</v>
      </c>
      <c r="V26" s="78">
        <f t="shared" si="21"/>
        <v>12.423280423280422</v>
      </c>
      <c r="W26" s="78" t="s">
        <v>75</v>
      </c>
      <c r="X26" s="78" t="s">
        <v>75</v>
      </c>
      <c r="Y26" s="78" t="s">
        <v>75</v>
      </c>
      <c r="Z26" s="78">
        <v>0.42</v>
      </c>
      <c r="AA26" s="78">
        <v>0.56699999999999995</v>
      </c>
      <c r="AB26" s="78">
        <f t="shared" si="11"/>
        <v>0.27794117647058819</v>
      </c>
      <c r="AC26" s="78">
        <v>1.234</v>
      </c>
      <c r="AD26" s="78">
        <f t="shared" si="12"/>
        <v>0.60490196078431369</v>
      </c>
      <c r="AE26" s="78">
        <v>0.11</v>
      </c>
      <c r="AF26" s="78">
        <f t="shared" si="5"/>
        <v>2</v>
      </c>
      <c r="AG26" s="78" t="s">
        <v>75</v>
      </c>
      <c r="AH26" s="78">
        <f t="shared" si="13"/>
        <v>0.67901234567901236</v>
      </c>
      <c r="AI26" s="78" t="s">
        <v>75</v>
      </c>
      <c r="AJ26" s="78" t="s">
        <v>75</v>
      </c>
      <c r="AK26" s="78" t="s">
        <v>75</v>
      </c>
      <c r="AL26" s="78" t="s">
        <v>75</v>
      </c>
      <c r="AM26" s="78" t="s">
        <v>75</v>
      </c>
      <c r="AN26" s="78" t="s">
        <v>75</v>
      </c>
      <c r="AO26" s="78" t="s">
        <v>75</v>
      </c>
      <c r="AP26" s="78">
        <v>0.185</v>
      </c>
      <c r="AQ26" s="78">
        <v>8.1000000000000003E-2</v>
      </c>
      <c r="AR26" s="78">
        <f t="shared" si="14"/>
        <v>9.0686274509803919E-2</v>
      </c>
      <c r="AS26" s="78">
        <f t="shared" si="1"/>
        <v>2.2839506172839505</v>
      </c>
      <c r="AT26" s="78">
        <f t="shared" si="15"/>
        <v>0.18724696356275303</v>
      </c>
      <c r="AU26" s="78">
        <v>0.14799999999999999</v>
      </c>
      <c r="AV26" s="78">
        <v>0.13200000000000001</v>
      </c>
      <c r="AW26" s="78">
        <f t="shared" ref="AW26" si="28">AU26/AV26</f>
        <v>1.1212121212121211</v>
      </c>
      <c r="AX26" s="80">
        <f t="shared" ref="AX26" si="29">AP26/AU26</f>
        <v>1.25</v>
      </c>
      <c r="AY26" s="87" t="s">
        <v>75</v>
      </c>
      <c r="AZ26" s="87">
        <v>15</v>
      </c>
      <c r="BA26" s="87" t="s">
        <v>75</v>
      </c>
      <c r="BB26" s="87" t="s">
        <v>75</v>
      </c>
      <c r="BC26" s="88" t="s">
        <v>75</v>
      </c>
    </row>
    <row r="27" spans="2:55" ht="12.75" customHeight="1" x14ac:dyDescent="0.25">
      <c r="B27" s="83">
        <v>25823</v>
      </c>
      <c r="C27" s="116" t="s">
        <v>28</v>
      </c>
      <c r="D27" s="109" t="s">
        <v>195</v>
      </c>
      <c r="E27" s="109" t="s">
        <v>191</v>
      </c>
      <c r="F27" s="72">
        <f>1.036+1.27</f>
        <v>2.306</v>
      </c>
      <c r="G27" s="82">
        <f t="shared" si="18"/>
        <v>3.6969999999999996</v>
      </c>
      <c r="H27" s="82">
        <f t="shared" si="19"/>
        <v>1.6032090199479616</v>
      </c>
      <c r="I27" s="72">
        <v>0.11899999999999999</v>
      </c>
      <c r="J27" s="72">
        <v>0.05</v>
      </c>
      <c r="K27" s="72">
        <v>0.97799999999999998</v>
      </c>
      <c r="L27" s="72">
        <v>0.76</v>
      </c>
      <c r="M27" s="72">
        <v>0.82099999999999995</v>
      </c>
      <c r="N27" s="72">
        <v>0.14699999999999999</v>
      </c>
      <c r="O27" s="82">
        <f t="shared" si="20"/>
        <v>0.96899999999999997</v>
      </c>
      <c r="P27" s="72">
        <v>0.82199999999999995</v>
      </c>
      <c r="Q27" s="82">
        <f t="shared" si="6"/>
        <v>0.84049079754601219</v>
      </c>
      <c r="R27" s="82">
        <f t="shared" si="8"/>
        <v>0.83946830265848671</v>
      </c>
      <c r="S27" s="82">
        <f t="shared" si="9"/>
        <v>0.77709611451942739</v>
      </c>
      <c r="T27" s="82">
        <f t="shared" si="7"/>
        <v>6.591836734693878</v>
      </c>
      <c r="U27" s="72">
        <v>0.30399999999999999</v>
      </c>
      <c r="V27" s="72">
        <f t="shared" si="21"/>
        <v>12.161184210526315</v>
      </c>
      <c r="W27" s="72">
        <v>0.64400000000000002</v>
      </c>
      <c r="X27" s="72">
        <v>0.10199999999999999</v>
      </c>
      <c r="Y27" s="72">
        <f t="shared" ref="Y27:Y38" si="30">W:W/X:X</f>
        <v>6.3137254901960791</v>
      </c>
      <c r="Z27" s="72">
        <v>0.46300000000000002</v>
      </c>
      <c r="AA27" s="72">
        <v>0.63800000000000001</v>
      </c>
      <c r="AB27" s="72">
        <f t="shared" si="11"/>
        <v>0.27666955767562879</v>
      </c>
      <c r="AC27" s="72">
        <v>1.3</v>
      </c>
      <c r="AD27" s="72">
        <f t="shared" si="12"/>
        <v>0.56374674761491761</v>
      </c>
      <c r="AE27" s="72">
        <v>0.122</v>
      </c>
      <c r="AF27" s="72">
        <f t="shared" si="5"/>
        <v>2.44</v>
      </c>
      <c r="AG27" s="72">
        <f>AE:AE/O:O</f>
        <v>0.12590299277605779</v>
      </c>
      <c r="AH27" s="72">
        <f t="shared" si="13"/>
        <v>0.82993197278911568</v>
      </c>
      <c r="AI27" s="72">
        <v>9.2999999999999999E-2</v>
      </c>
      <c r="AJ27" s="72">
        <v>8.4000000000000005E-2</v>
      </c>
      <c r="AK27" s="72">
        <f t="shared" si="22"/>
        <v>1.107142857142857</v>
      </c>
      <c r="AL27" s="72">
        <f>AI27/AE27</f>
        <v>0.76229508196721307</v>
      </c>
      <c r="AM27" s="72">
        <f>AI27/N27</f>
        <v>0.63265306122448983</v>
      </c>
      <c r="AN27" s="72">
        <f t="shared" si="23"/>
        <v>9.5092024539877307E-2</v>
      </c>
      <c r="AO27" s="72">
        <f t="shared" si="0"/>
        <v>0.43457943925233644</v>
      </c>
      <c r="AP27" s="72">
        <v>0.214</v>
      </c>
      <c r="AQ27" s="72">
        <v>9.6000000000000002E-2</v>
      </c>
      <c r="AR27" s="72">
        <f t="shared" si="14"/>
        <v>9.2801387684301823E-2</v>
      </c>
      <c r="AS27" s="72">
        <f t="shared" si="1"/>
        <v>2.2291666666666665</v>
      </c>
      <c r="AT27" s="72">
        <f t="shared" si="15"/>
        <v>0.21881390593047034</v>
      </c>
      <c r="AU27" s="72">
        <v>0.104</v>
      </c>
      <c r="AV27" s="72">
        <v>9.1999999999999998E-2</v>
      </c>
      <c r="AW27" s="72">
        <f t="shared" si="2"/>
        <v>1.1304347826086956</v>
      </c>
      <c r="AX27" s="82">
        <f t="shared" si="3"/>
        <v>2.0576923076923079</v>
      </c>
      <c r="AY27" s="84">
        <v>4</v>
      </c>
      <c r="AZ27" s="84">
        <v>14</v>
      </c>
      <c r="BA27" s="84" t="s">
        <v>75</v>
      </c>
      <c r="BB27" s="84">
        <v>7</v>
      </c>
      <c r="BC27" s="85">
        <v>5</v>
      </c>
    </row>
    <row r="28" spans="2:55" ht="12.75" customHeight="1" x14ac:dyDescent="0.25">
      <c r="B28" s="69"/>
      <c r="C28" s="109"/>
      <c r="D28" s="109"/>
      <c r="E28" s="109"/>
      <c r="F28" s="72">
        <f>1.036+1.27</f>
        <v>2.306</v>
      </c>
      <c r="G28" s="82">
        <f t="shared" si="18"/>
        <v>3.4769999999999999</v>
      </c>
      <c r="H28" s="82">
        <f t="shared" si="19"/>
        <v>1.5078057241977449</v>
      </c>
      <c r="I28" s="72">
        <v>0.105</v>
      </c>
      <c r="J28" s="72">
        <v>5.2999999999999999E-2</v>
      </c>
      <c r="K28" s="72">
        <v>0.998</v>
      </c>
      <c r="L28" s="72">
        <v>0.69599999999999995</v>
      </c>
      <c r="M28" s="72">
        <v>0.64500000000000002</v>
      </c>
      <c r="N28" s="72">
        <v>0.156</v>
      </c>
      <c r="O28" s="82">
        <f t="shared" si="20"/>
        <v>0.98</v>
      </c>
      <c r="P28" s="72">
        <v>0.82399999999999995</v>
      </c>
      <c r="Q28" s="82">
        <f t="shared" si="6"/>
        <v>0.82565130260521036</v>
      </c>
      <c r="R28" s="82">
        <f t="shared" si="8"/>
        <v>0.64629258517034072</v>
      </c>
      <c r="S28" s="82">
        <f t="shared" si="9"/>
        <v>0.69739478957915824</v>
      </c>
      <c r="T28" s="82">
        <f t="shared" si="7"/>
        <v>6.2820512820512819</v>
      </c>
      <c r="U28" s="72">
        <v>0.30399999999999999</v>
      </c>
      <c r="V28" s="72">
        <f t="shared" si="21"/>
        <v>11.4375</v>
      </c>
      <c r="W28" s="72">
        <v>0.65900000000000003</v>
      </c>
      <c r="X28" s="72">
        <v>0.11899999999999999</v>
      </c>
      <c r="Y28" s="72">
        <f t="shared" si="30"/>
        <v>5.5378151260504209</v>
      </c>
      <c r="Z28" s="72">
        <v>0.46800000000000003</v>
      </c>
      <c r="AA28" s="72">
        <v>0.624</v>
      </c>
      <c r="AB28" s="72">
        <f t="shared" si="11"/>
        <v>0.27059843885516044</v>
      </c>
      <c r="AC28" s="72">
        <v>1.2949999999999999</v>
      </c>
      <c r="AD28" s="72">
        <f t="shared" si="12"/>
        <v>0.56157849089332168</v>
      </c>
      <c r="AE28" s="72">
        <v>0.105</v>
      </c>
      <c r="AF28" s="72">
        <f t="shared" si="5"/>
        <v>1.9811320754716981</v>
      </c>
      <c r="AG28" s="72">
        <f>AE:AE/O:O</f>
        <v>0.10714285714285714</v>
      </c>
      <c r="AH28" s="72">
        <f t="shared" si="13"/>
        <v>0.67307692307692302</v>
      </c>
      <c r="AI28" s="72">
        <v>9.2999999999999999E-2</v>
      </c>
      <c r="AJ28" s="72">
        <v>8.4000000000000005E-2</v>
      </c>
      <c r="AK28" s="72">
        <f t="shared" si="22"/>
        <v>1.107142857142857</v>
      </c>
      <c r="AL28" s="72">
        <f>AI28/AE28</f>
        <v>0.88571428571428579</v>
      </c>
      <c r="AM28" s="72">
        <f>AI28/N28</f>
        <v>0.59615384615384615</v>
      </c>
      <c r="AN28" s="72">
        <f t="shared" si="23"/>
        <v>9.3186372745490978E-2</v>
      </c>
      <c r="AO28" s="72">
        <f t="shared" si="0"/>
        <v>0.47448979591836732</v>
      </c>
      <c r="AP28" s="72">
        <v>0.19600000000000001</v>
      </c>
      <c r="AQ28" s="72">
        <v>9.8000000000000004E-2</v>
      </c>
      <c r="AR28" s="72">
        <f t="shared" si="14"/>
        <v>8.4995663486556808E-2</v>
      </c>
      <c r="AS28" s="72">
        <f t="shared" si="1"/>
        <v>2</v>
      </c>
      <c r="AT28" s="72">
        <f t="shared" si="15"/>
        <v>0.19639278557114229</v>
      </c>
      <c r="AU28" s="72">
        <v>0.104</v>
      </c>
      <c r="AV28" s="72">
        <v>9.1999999999999998E-2</v>
      </c>
      <c r="AW28" s="72">
        <f t="shared" ref="AW28:AW37" si="31">AU28/AV28</f>
        <v>1.1304347826086956</v>
      </c>
      <c r="AX28" s="82">
        <f t="shared" ref="AX28" si="32">AP28/AU28</f>
        <v>1.8846153846153848</v>
      </c>
      <c r="AY28" s="84" t="s">
        <v>75</v>
      </c>
      <c r="AZ28" s="84">
        <v>15</v>
      </c>
      <c r="BA28" s="84" t="s">
        <v>75</v>
      </c>
      <c r="BB28" s="84" t="s">
        <v>75</v>
      </c>
      <c r="BC28" s="85" t="s">
        <v>75</v>
      </c>
    </row>
    <row r="29" spans="2:55" ht="12.75" customHeight="1" x14ac:dyDescent="0.25">
      <c r="B29" s="159">
        <v>22127</v>
      </c>
      <c r="C29" s="112" t="s">
        <v>28</v>
      </c>
      <c r="D29" s="113" t="s">
        <v>222</v>
      </c>
      <c r="E29" s="113" t="s">
        <v>202</v>
      </c>
      <c r="F29" s="78">
        <v>1.8</v>
      </c>
      <c r="G29" s="80">
        <f t="shared" si="18"/>
        <v>3.9790000000000001</v>
      </c>
      <c r="H29" s="80">
        <f t="shared" si="19"/>
        <v>2.2105555555555556</v>
      </c>
      <c r="I29" s="78">
        <v>0.1</v>
      </c>
      <c r="J29" s="78">
        <v>0.06</v>
      </c>
      <c r="K29" s="78">
        <v>0.88700000000000001</v>
      </c>
      <c r="L29" s="78">
        <v>0.58499999999999996</v>
      </c>
      <c r="M29" s="78">
        <v>0.61799999999999999</v>
      </c>
      <c r="N29" s="78">
        <v>0.14599999999999999</v>
      </c>
      <c r="O29" s="80">
        <f t="shared" si="20"/>
        <v>1.7289999999999999</v>
      </c>
      <c r="P29" s="78">
        <f>0.718+0.865</f>
        <v>1.583</v>
      </c>
      <c r="Q29" s="80">
        <f t="shared" si="6"/>
        <v>1.7846674182638105</v>
      </c>
      <c r="R29" s="80">
        <f t="shared" si="8"/>
        <v>0.69673055242390081</v>
      </c>
      <c r="S29" s="80">
        <f t="shared" si="9"/>
        <v>0.65952649379932349</v>
      </c>
      <c r="T29" s="80">
        <f t="shared" si="7"/>
        <v>11.842465753424657</v>
      </c>
      <c r="U29" s="78">
        <v>0.29299999999999998</v>
      </c>
      <c r="V29" s="78">
        <f t="shared" si="21"/>
        <v>13.580204778156999</v>
      </c>
      <c r="W29" s="78">
        <v>0.6</v>
      </c>
      <c r="X29" s="78">
        <v>0.13100000000000001</v>
      </c>
      <c r="Y29" s="78">
        <f t="shared" si="30"/>
        <v>4.5801526717557248</v>
      </c>
      <c r="Z29" s="78">
        <v>0.35399999999999998</v>
      </c>
      <c r="AA29" s="78">
        <v>0.51100000000000001</v>
      </c>
      <c r="AB29" s="78">
        <f t="shared" si="11"/>
        <v>0.28388888888888891</v>
      </c>
      <c r="AC29" s="78">
        <v>1.1100000000000001</v>
      </c>
      <c r="AD29" s="78">
        <f t="shared" si="12"/>
        <v>0.6166666666666667</v>
      </c>
      <c r="AE29" s="78">
        <v>0.1</v>
      </c>
      <c r="AF29" s="78">
        <f t="shared" si="5"/>
        <v>1.6666666666666667</v>
      </c>
      <c r="AG29" s="78">
        <f>AE:AE/O:O</f>
        <v>5.7836899942163109E-2</v>
      </c>
      <c r="AH29" s="78">
        <f t="shared" si="13"/>
        <v>0.68493150684931514</v>
      </c>
      <c r="AI29" s="78">
        <v>9.6000000000000002E-2</v>
      </c>
      <c r="AJ29" s="78">
        <v>6.9000000000000006E-2</v>
      </c>
      <c r="AK29" s="78">
        <f t="shared" si="22"/>
        <v>1.3913043478260869</v>
      </c>
      <c r="AL29" s="78">
        <f>AI29/AE29</f>
        <v>0.96</v>
      </c>
      <c r="AM29" s="78">
        <f>AI29/N29</f>
        <v>0.65753424657534254</v>
      </c>
      <c r="AN29" s="78">
        <f t="shared" si="23"/>
        <v>0.10822998872604284</v>
      </c>
      <c r="AO29" s="78">
        <f t="shared" si="0"/>
        <v>0.61935483870967745</v>
      </c>
      <c r="AP29" s="78">
        <v>0.155</v>
      </c>
      <c r="AQ29" s="78">
        <v>0.11</v>
      </c>
      <c r="AR29" s="78">
        <f t="shared" si="14"/>
        <v>8.611111111111111E-2</v>
      </c>
      <c r="AS29" s="78">
        <f t="shared" si="1"/>
        <v>1.4090909090909092</v>
      </c>
      <c r="AT29" s="78">
        <f t="shared" si="15"/>
        <v>0.17474633596392333</v>
      </c>
      <c r="AU29" s="78" t="s">
        <v>75</v>
      </c>
      <c r="AV29" s="78" t="s">
        <v>75</v>
      </c>
      <c r="AW29" s="78" t="s">
        <v>75</v>
      </c>
      <c r="AX29" s="80" t="s">
        <v>75</v>
      </c>
      <c r="AY29" s="87">
        <v>4</v>
      </c>
      <c r="AZ29" s="87">
        <v>12</v>
      </c>
      <c r="BA29" s="87" t="s">
        <v>75</v>
      </c>
      <c r="BB29" s="87" t="s">
        <v>75</v>
      </c>
      <c r="BC29" s="88" t="s">
        <v>75</v>
      </c>
    </row>
    <row r="30" spans="2:55" ht="12.75" customHeight="1" x14ac:dyDescent="0.25">
      <c r="B30" s="75"/>
      <c r="C30" s="113"/>
      <c r="D30" s="113"/>
      <c r="E30" s="113"/>
      <c r="F30" s="78">
        <v>1.8</v>
      </c>
      <c r="G30" s="80">
        <f t="shared" si="18"/>
        <v>3.6239999999999997</v>
      </c>
      <c r="H30" s="80">
        <f t="shared" si="19"/>
        <v>2.0133333333333332</v>
      </c>
      <c r="I30" s="78">
        <v>0.1</v>
      </c>
      <c r="J30" s="78">
        <v>0.05</v>
      </c>
      <c r="K30" s="78">
        <v>0.9</v>
      </c>
      <c r="L30" s="78">
        <v>0.60299999999999998</v>
      </c>
      <c r="M30" s="78">
        <v>0.60699999999999998</v>
      </c>
      <c r="N30" s="78">
        <v>0.14399999999999999</v>
      </c>
      <c r="O30" s="80">
        <f t="shared" si="20"/>
        <v>1.3639999999999999</v>
      </c>
      <c r="P30" s="78">
        <v>1.22</v>
      </c>
      <c r="Q30" s="80">
        <f t="shared" si="6"/>
        <v>1.3555555555555554</v>
      </c>
      <c r="R30" s="80">
        <f t="shared" si="8"/>
        <v>0.6744444444444444</v>
      </c>
      <c r="S30" s="80">
        <f t="shared" si="9"/>
        <v>0.66999999999999993</v>
      </c>
      <c r="T30" s="80">
        <f t="shared" si="7"/>
        <v>9.4722222222222214</v>
      </c>
      <c r="U30" s="78">
        <v>0.29299999999999998</v>
      </c>
      <c r="V30" s="78">
        <f t="shared" si="21"/>
        <v>12.368600682593856</v>
      </c>
      <c r="W30" s="78">
        <v>0.61</v>
      </c>
      <c r="X30" s="78">
        <v>0.13700000000000001</v>
      </c>
      <c r="Y30" s="78">
        <f t="shared" si="30"/>
        <v>4.4525547445255471</v>
      </c>
      <c r="Z30" s="78">
        <v>0.34899999999999998</v>
      </c>
      <c r="AA30" s="78">
        <v>0.52100000000000002</v>
      </c>
      <c r="AB30" s="78">
        <f t="shared" si="11"/>
        <v>0.28944444444444445</v>
      </c>
      <c r="AC30" s="78">
        <v>1.1459999999999999</v>
      </c>
      <c r="AD30" s="78">
        <f t="shared" si="12"/>
        <v>0.6366666666666666</v>
      </c>
      <c r="AE30" s="78">
        <v>0.11</v>
      </c>
      <c r="AF30" s="78">
        <f t="shared" si="5"/>
        <v>2.1999999999999997</v>
      </c>
      <c r="AG30" s="78">
        <f>AE:AE/O:O</f>
        <v>8.0645161290322592E-2</v>
      </c>
      <c r="AH30" s="78">
        <f t="shared" si="13"/>
        <v>0.76388888888888895</v>
      </c>
      <c r="AI30" s="78">
        <v>9.6000000000000002E-2</v>
      </c>
      <c r="AJ30" s="78">
        <v>6.9000000000000006E-2</v>
      </c>
      <c r="AK30" s="78">
        <f t="shared" ref="AK30" si="33">AI30/AJ30</f>
        <v>1.3913043478260869</v>
      </c>
      <c r="AL30" s="78">
        <f>AI30/AE30</f>
        <v>0.8727272727272728</v>
      </c>
      <c r="AM30" s="78">
        <f>AI30/N30</f>
        <v>0.66666666666666674</v>
      </c>
      <c r="AN30" s="78">
        <f t="shared" si="23"/>
        <v>0.10666666666666666</v>
      </c>
      <c r="AO30" s="78">
        <f t="shared" si="0"/>
        <v>0.63157894736842113</v>
      </c>
      <c r="AP30" s="78">
        <v>0.152</v>
      </c>
      <c r="AQ30" s="78">
        <v>0.11</v>
      </c>
      <c r="AR30" s="78">
        <f t="shared" si="14"/>
        <v>8.4444444444444447E-2</v>
      </c>
      <c r="AS30" s="78">
        <f t="shared" si="1"/>
        <v>1.3818181818181818</v>
      </c>
      <c r="AT30" s="78">
        <f t="shared" si="15"/>
        <v>0.16888888888888889</v>
      </c>
      <c r="AU30" s="78" t="s">
        <v>75</v>
      </c>
      <c r="AV30" s="78" t="s">
        <v>75</v>
      </c>
      <c r="AW30" s="78" t="s">
        <v>75</v>
      </c>
      <c r="AX30" s="80" t="s">
        <v>75</v>
      </c>
      <c r="AY30" s="87" t="s">
        <v>75</v>
      </c>
      <c r="AZ30" s="87">
        <v>14</v>
      </c>
      <c r="BA30" s="87" t="s">
        <v>75</v>
      </c>
      <c r="BB30" s="87" t="s">
        <v>75</v>
      </c>
      <c r="BC30" s="88" t="s">
        <v>75</v>
      </c>
    </row>
    <row r="31" spans="2:55" ht="12.75" customHeight="1" x14ac:dyDescent="0.25">
      <c r="B31" s="160">
        <v>22127</v>
      </c>
      <c r="C31" s="116" t="s">
        <v>28</v>
      </c>
      <c r="D31" s="109" t="s">
        <v>222</v>
      </c>
      <c r="E31" s="109" t="s">
        <v>202</v>
      </c>
      <c r="F31" s="72">
        <v>1.573</v>
      </c>
      <c r="G31" s="82" t="s">
        <v>75</v>
      </c>
      <c r="H31" s="82" t="s">
        <v>75</v>
      </c>
      <c r="I31" s="72">
        <v>0.09</v>
      </c>
      <c r="J31" s="72">
        <v>0.05</v>
      </c>
      <c r="K31" s="72">
        <v>0.93400000000000005</v>
      </c>
      <c r="L31" s="72">
        <v>0.59399999999999997</v>
      </c>
      <c r="M31" s="72">
        <v>0.54700000000000004</v>
      </c>
      <c r="N31" s="72" t="s">
        <v>75</v>
      </c>
      <c r="O31" s="82" t="s">
        <v>75</v>
      </c>
      <c r="P31" s="72" t="s">
        <v>75</v>
      </c>
      <c r="Q31" s="82" t="s">
        <v>75</v>
      </c>
      <c r="R31" s="82">
        <f t="shared" si="8"/>
        <v>0.58565310492505351</v>
      </c>
      <c r="S31" s="82">
        <f t="shared" si="9"/>
        <v>0.6359743040685224</v>
      </c>
      <c r="T31" s="82" t="s">
        <v>75</v>
      </c>
      <c r="U31" s="72">
        <v>0.29399999999999998</v>
      </c>
      <c r="V31" s="72" t="s">
        <v>75</v>
      </c>
      <c r="W31" s="72">
        <v>0.62</v>
      </c>
      <c r="X31" s="72">
        <v>0.12</v>
      </c>
      <c r="Y31" s="72">
        <f t="shared" si="30"/>
        <v>5.166666666666667</v>
      </c>
      <c r="Z31" s="72">
        <v>0.371</v>
      </c>
      <c r="AA31" s="72">
        <v>0.504</v>
      </c>
      <c r="AB31" s="72">
        <f t="shared" si="11"/>
        <v>0.32040686586141132</v>
      </c>
      <c r="AC31" s="72">
        <v>1.0960000000000001</v>
      </c>
      <c r="AD31" s="72">
        <f t="shared" si="12"/>
        <v>0.69675778766687868</v>
      </c>
      <c r="AE31" s="72">
        <v>0.1</v>
      </c>
      <c r="AF31" s="72">
        <f t="shared" si="5"/>
        <v>2</v>
      </c>
      <c r="AG31" s="72" t="s">
        <v>75</v>
      </c>
      <c r="AH31" s="72" t="s">
        <v>75</v>
      </c>
      <c r="AI31" s="72">
        <v>9.1999999999999998E-2</v>
      </c>
      <c r="AJ31" s="72">
        <v>6.4000000000000001E-2</v>
      </c>
      <c r="AK31" s="72">
        <f t="shared" si="22"/>
        <v>1.4375</v>
      </c>
      <c r="AL31" s="72">
        <f>AI31/AE31</f>
        <v>0.91999999999999993</v>
      </c>
      <c r="AM31" s="72" t="s">
        <v>75</v>
      </c>
      <c r="AN31" s="72">
        <f t="shared" si="23"/>
        <v>9.8501070663811557E-2</v>
      </c>
      <c r="AO31" s="72">
        <f t="shared" si="0"/>
        <v>0.55089820359281438</v>
      </c>
      <c r="AP31" s="72">
        <v>0.16700000000000001</v>
      </c>
      <c r="AQ31" s="72">
        <v>9.8000000000000004E-2</v>
      </c>
      <c r="AR31" s="72">
        <f t="shared" si="14"/>
        <v>0.10616656071201527</v>
      </c>
      <c r="AS31" s="72">
        <f t="shared" si="1"/>
        <v>1.7040816326530612</v>
      </c>
      <c r="AT31" s="72">
        <f t="shared" si="15"/>
        <v>0.17880085653104924</v>
      </c>
      <c r="AU31" s="72">
        <v>9.4E-2</v>
      </c>
      <c r="AV31" s="72">
        <v>0.104</v>
      </c>
      <c r="AW31" s="72">
        <f t="shared" si="31"/>
        <v>0.90384615384615385</v>
      </c>
      <c r="AX31" s="82">
        <f t="shared" si="3"/>
        <v>1.7765957446808511</v>
      </c>
      <c r="AY31" s="84">
        <v>5</v>
      </c>
      <c r="AZ31" s="84">
        <v>14</v>
      </c>
      <c r="BA31" s="84" t="s">
        <v>75</v>
      </c>
      <c r="BB31" s="84" t="s">
        <v>75</v>
      </c>
      <c r="BC31" s="85" t="s">
        <v>75</v>
      </c>
    </row>
    <row r="32" spans="2:55" ht="12.75" customHeight="1" x14ac:dyDescent="0.25">
      <c r="B32" s="69"/>
      <c r="C32" s="109"/>
      <c r="D32" s="109"/>
      <c r="E32" s="109"/>
      <c r="F32" s="72">
        <v>1.573</v>
      </c>
      <c r="G32" s="82">
        <f t="shared" ref="G32:G38" si="34">I32+J32+K32+L32+M32+N32+P32</f>
        <v>4.0359999999999996</v>
      </c>
      <c r="H32" s="82">
        <f t="shared" si="19"/>
        <v>2.565797838525111</v>
      </c>
      <c r="I32" s="72">
        <v>0.1</v>
      </c>
      <c r="J32" s="72">
        <v>0.05</v>
      </c>
      <c r="K32" s="72">
        <v>0.93899999999999995</v>
      </c>
      <c r="L32" s="72">
        <v>0.60899999999999999</v>
      </c>
      <c r="M32" s="72">
        <v>0.59899999999999998</v>
      </c>
      <c r="N32" s="72">
        <v>0.13400000000000001</v>
      </c>
      <c r="O32" s="82">
        <f t="shared" ref="O32:O38" si="35">P:P+N:N</f>
        <v>1.7389999999999999</v>
      </c>
      <c r="P32" s="72">
        <f>0.916+0.689</f>
        <v>1.605</v>
      </c>
      <c r="Q32" s="82">
        <f t="shared" si="6"/>
        <v>1.7092651757188499</v>
      </c>
      <c r="R32" s="82">
        <f t="shared" si="8"/>
        <v>0.63791267305644306</v>
      </c>
      <c r="S32" s="82">
        <f t="shared" si="9"/>
        <v>0.6485623003194888</v>
      </c>
      <c r="T32" s="82">
        <f t="shared" si="7"/>
        <v>12.977611940298505</v>
      </c>
      <c r="U32" s="72">
        <v>0.29399999999999998</v>
      </c>
      <c r="V32" s="72">
        <f t="shared" ref="V32:V38" si="36">G32/U32</f>
        <v>13.727891156462585</v>
      </c>
      <c r="W32" s="72">
        <v>0.59299999999999997</v>
      </c>
      <c r="X32" s="72">
        <v>0.13</v>
      </c>
      <c r="Y32" s="72">
        <f t="shared" si="30"/>
        <v>4.5615384615384613</v>
      </c>
      <c r="Z32" s="72">
        <v>0.36499999999999999</v>
      </c>
      <c r="AA32" s="72" t="s">
        <v>75</v>
      </c>
      <c r="AB32" s="72" t="s">
        <v>75</v>
      </c>
      <c r="AC32" s="72" t="s">
        <v>75</v>
      </c>
      <c r="AD32" s="72" t="s">
        <v>75</v>
      </c>
      <c r="AE32" s="72" t="s">
        <v>75</v>
      </c>
      <c r="AF32" s="72" t="s">
        <v>75</v>
      </c>
      <c r="AG32" s="72" t="s">
        <v>75</v>
      </c>
      <c r="AH32" s="72" t="s">
        <v>75</v>
      </c>
      <c r="AI32" s="72">
        <v>9.1999999999999998E-2</v>
      </c>
      <c r="AJ32" s="72">
        <v>6.4000000000000001E-2</v>
      </c>
      <c r="AK32" s="72">
        <f t="shared" ref="AK32" si="37">AI32/AJ32</f>
        <v>1.4375</v>
      </c>
      <c r="AL32" s="72" t="s">
        <v>75</v>
      </c>
      <c r="AM32" s="72">
        <f t="shared" ref="AM32:AM33" si="38">AI32/N32</f>
        <v>0.68656716417910446</v>
      </c>
      <c r="AN32" s="72">
        <f t="shared" si="23"/>
        <v>9.79765708200213E-2</v>
      </c>
      <c r="AO32" s="72">
        <f t="shared" si="0"/>
        <v>0.51111111111111107</v>
      </c>
      <c r="AP32" s="72">
        <v>0.18</v>
      </c>
      <c r="AQ32" s="72">
        <v>9.7000000000000003E-2</v>
      </c>
      <c r="AR32" s="72">
        <f t="shared" si="14"/>
        <v>0.11443102352193261</v>
      </c>
      <c r="AS32" s="72">
        <f t="shared" si="1"/>
        <v>1.8556701030927834</v>
      </c>
      <c r="AT32" s="72">
        <f t="shared" si="15"/>
        <v>0.19169329073482427</v>
      </c>
      <c r="AU32" s="72">
        <v>9.4E-2</v>
      </c>
      <c r="AV32" s="72">
        <v>0.104</v>
      </c>
      <c r="AW32" s="72">
        <f t="shared" si="31"/>
        <v>0.90384615384615385</v>
      </c>
      <c r="AX32" s="82">
        <f t="shared" ref="AX32" si="39">AP32/AU32</f>
        <v>1.9148936170212765</v>
      </c>
      <c r="AY32" s="84" t="s">
        <v>75</v>
      </c>
      <c r="AZ32" s="84">
        <v>15</v>
      </c>
      <c r="BA32" s="84" t="s">
        <v>75</v>
      </c>
      <c r="BB32" s="84" t="s">
        <v>75</v>
      </c>
      <c r="BC32" s="85" t="s">
        <v>75</v>
      </c>
    </row>
    <row r="33" spans="2:55" ht="12.75" customHeight="1" x14ac:dyDescent="0.25">
      <c r="B33" s="159">
        <v>22127</v>
      </c>
      <c r="C33" s="112" t="s">
        <v>28</v>
      </c>
      <c r="D33" s="113" t="s">
        <v>222</v>
      </c>
      <c r="E33" s="113" t="s">
        <v>202</v>
      </c>
      <c r="F33" s="78">
        <v>1.831</v>
      </c>
      <c r="G33" s="80">
        <f t="shared" si="34"/>
        <v>4.2720000000000002</v>
      </c>
      <c r="H33" s="80">
        <f t="shared" si="19"/>
        <v>2.3331512834516661</v>
      </c>
      <c r="I33" s="78">
        <v>0.11</v>
      </c>
      <c r="J33" s="78">
        <v>0.05</v>
      </c>
      <c r="K33" s="78">
        <v>0.97499999999999998</v>
      </c>
      <c r="L33" s="78">
        <v>0.71599999999999997</v>
      </c>
      <c r="M33" s="78">
        <v>0.69899999999999995</v>
      </c>
      <c r="N33" s="78">
        <v>0.153</v>
      </c>
      <c r="O33" s="80">
        <f t="shared" si="35"/>
        <v>1.722</v>
      </c>
      <c r="P33" s="78">
        <v>1.569</v>
      </c>
      <c r="Q33" s="80">
        <f t="shared" si="6"/>
        <v>1.6092307692307692</v>
      </c>
      <c r="R33" s="80">
        <f t="shared" si="8"/>
        <v>0.71692307692307689</v>
      </c>
      <c r="S33" s="80">
        <f t="shared" si="9"/>
        <v>0.73435897435897435</v>
      </c>
      <c r="T33" s="80">
        <f t="shared" si="7"/>
        <v>11.254901960784315</v>
      </c>
      <c r="U33" s="78">
        <v>0.3</v>
      </c>
      <c r="V33" s="78">
        <f t="shared" si="36"/>
        <v>14.240000000000002</v>
      </c>
      <c r="W33" s="78">
        <v>0.61299999999999999</v>
      </c>
      <c r="X33" s="78">
        <v>0.13</v>
      </c>
      <c r="Y33" s="78">
        <f t="shared" si="30"/>
        <v>4.7153846153846155</v>
      </c>
      <c r="Z33" s="78">
        <v>0.39</v>
      </c>
      <c r="AA33" s="78">
        <v>0.55000000000000004</v>
      </c>
      <c r="AB33" s="78">
        <f t="shared" ref="AB33:AB38" si="40">AA33/F33</f>
        <v>0.30038230475150196</v>
      </c>
      <c r="AC33" s="78">
        <v>1.1679999999999999</v>
      </c>
      <c r="AD33" s="78">
        <f t="shared" ref="AD33:AD38" si="41">AC33/F33</f>
        <v>0.63790278536318945</v>
      </c>
      <c r="AE33" s="78">
        <v>0.1</v>
      </c>
      <c r="AF33" s="78">
        <f t="shared" si="5"/>
        <v>2</v>
      </c>
      <c r="AG33" s="78">
        <f t="shared" ref="AG33:AG38" si="42">AE:AE/O:O</f>
        <v>5.8072009291521488E-2</v>
      </c>
      <c r="AH33" s="78">
        <f t="shared" ref="AH33:AH38" si="43">AE33/N33</f>
        <v>0.65359477124183007</v>
      </c>
      <c r="AI33" s="78">
        <v>8.5999999999999993E-2</v>
      </c>
      <c r="AJ33" s="78">
        <v>7.4999999999999997E-2</v>
      </c>
      <c r="AK33" s="78">
        <f t="shared" si="22"/>
        <v>1.1466666666666667</v>
      </c>
      <c r="AL33" s="78">
        <f t="shared" ref="AL33" si="44">AI33/AE33</f>
        <v>0.85999999999999988</v>
      </c>
      <c r="AM33" s="78">
        <f t="shared" si="38"/>
        <v>0.56209150326797386</v>
      </c>
      <c r="AN33" s="78">
        <f t="shared" si="23"/>
        <v>8.82051282051282E-2</v>
      </c>
      <c r="AO33" s="78">
        <f t="shared" si="0"/>
        <v>0.42364532019704426</v>
      </c>
      <c r="AP33" s="78">
        <v>0.20300000000000001</v>
      </c>
      <c r="AQ33" s="78">
        <v>0.11</v>
      </c>
      <c r="AR33" s="78">
        <f t="shared" si="14"/>
        <v>0.11086837793555435</v>
      </c>
      <c r="AS33" s="78">
        <f t="shared" si="1"/>
        <v>1.8454545454545457</v>
      </c>
      <c r="AT33" s="78">
        <f t="shared" si="15"/>
        <v>0.20820512820512824</v>
      </c>
      <c r="AU33" s="78">
        <v>8.6999999999999994E-2</v>
      </c>
      <c r="AV33" s="78">
        <v>0.106</v>
      </c>
      <c r="AW33" s="78">
        <f t="shared" si="31"/>
        <v>0.820754716981132</v>
      </c>
      <c r="AX33" s="80">
        <f t="shared" si="3"/>
        <v>2.3333333333333335</v>
      </c>
      <c r="AY33" s="87">
        <v>5</v>
      </c>
      <c r="AZ33" s="87">
        <v>14</v>
      </c>
      <c r="BA33" s="87" t="s">
        <v>75</v>
      </c>
      <c r="BB33" s="87">
        <v>8</v>
      </c>
      <c r="BC33" s="88">
        <v>5</v>
      </c>
    </row>
    <row r="34" spans="2:55" ht="12.75" customHeight="1" x14ac:dyDescent="0.25">
      <c r="B34" s="75"/>
      <c r="C34" s="113"/>
      <c r="D34" s="113"/>
      <c r="E34" s="113"/>
      <c r="F34" s="78">
        <v>1.831</v>
      </c>
      <c r="G34" s="80">
        <f t="shared" si="34"/>
        <v>4.33</v>
      </c>
      <c r="H34" s="80">
        <f t="shared" si="19"/>
        <v>2.3648279628618241</v>
      </c>
      <c r="I34" s="78">
        <v>0.1</v>
      </c>
      <c r="J34" s="78">
        <v>0.05</v>
      </c>
      <c r="K34" s="78">
        <v>0.97199999999999998</v>
      </c>
      <c r="L34" s="78">
        <v>0.70499999999999996</v>
      </c>
      <c r="M34" s="78">
        <v>0.70299999999999996</v>
      </c>
      <c r="N34" s="78">
        <v>0.14399999999999999</v>
      </c>
      <c r="O34" s="80">
        <f t="shared" si="35"/>
        <v>1.8</v>
      </c>
      <c r="P34" s="78">
        <f>0.684+0.972</f>
        <v>1.6560000000000001</v>
      </c>
      <c r="Q34" s="80">
        <f t="shared" si="6"/>
        <v>1.7037037037037039</v>
      </c>
      <c r="R34" s="80">
        <f t="shared" si="8"/>
        <v>0.72325102880658432</v>
      </c>
      <c r="S34" s="80">
        <f t="shared" si="9"/>
        <v>0.72530864197530864</v>
      </c>
      <c r="T34" s="80">
        <f t="shared" si="7"/>
        <v>12.500000000000002</v>
      </c>
      <c r="U34" s="78">
        <v>0.3</v>
      </c>
      <c r="V34" s="78">
        <f t="shared" si="36"/>
        <v>14.433333333333334</v>
      </c>
      <c r="W34" s="78">
        <v>0.63</v>
      </c>
      <c r="X34" s="78">
        <v>0.13</v>
      </c>
      <c r="Y34" s="78">
        <f t="shared" si="30"/>
        <v>4.8461538461538458</v>
      </c>
      <c r="Z34" s="78">
        <v>0.38</v>
      </c>
      <c r="AA34" s="78">
        <v>0.55000000000000004</v>
      </c>
      <c r="AB34" s="78">
        <f t="shared" si="40"/>
        <v>0.30038230475150196</v>
      </c>
      <c r="AC34" s="78">
        <v>1.159</v>
      </c>
      <c r="AD34" s="78">
        <f t="shared" si="41"/>
        <v>0.63298743855816497</v>
      </c>
      <c r="AE34" s="78">
        <v>0.11</v>
      </c>
      <c r="AF34" s="78">
        <f t="shared" si="5"/>
        <v>2.1999999999999997</v>
      </c>
      <c r="AG34" s="78">
        <f t="shared" si="42"/>
        <v>6.1111111111111109E-2</v>
      </c>
      <c r="AH34" s="78">
        <f t="shared" si="43"/>
        <v>0.76388888888888895</v>
      </c>
      <c r="AI34" s="78">
        <v>8.5999999999999993E-2</v>
      </c>
      <c r="AJ34" s="78">
        <v>7.4999999999999997E-2</v>
      </c>
      <c r="AK34" s="78">
        <f t="shared" ref="AK34" si="45">AI34/AJ34</f>
        <v>1.1466666666666667</v>
      </c>
      <c r="AL34" s="78">
        <f>AI34/AE34</f>
        <v>0.78181818181818175</v>
      </c>
      <c r="AM34" s="78">
        <f>AI34/N34</f>
        <v>0.59722222222222221</v>
      </c>
      <c r="AN34" s="78">
        <f t="shared" si="23"/>
        <v>8.8477366255144033E-2</v>
      </c>
      <c r="AO34" s="78">
        <f t="shared" si="0"/>
        <v>0.4942528735632184</v>
      </c>
      <c r="AP34" s="78">
        <v>0.17399999999999999</v>
      </c>
      <c r="AQ34" s="78">
        <v>0.13100000000000001</v>
      </c>
      <c r="AR34" s="78">
        <f t="shared" si="14"/>
        <v>9.503003823047515E-2</v>
      </c>
      <c r="AS34" s="78">
        <f t="shared" si="1"/>
        <v>1.3282442748091601</v>
      </c>
      <c r="AT34" s="78">
        <f t="shared" si="15"/>
        <v>0.17901234567901234</v>
      </c>
      <c r="AU34" s="78">
        <v>8.6999999999999994E-2</v>
      </c>
      <c r="AV34" s="78">
        <v>0.106</v>
      </c>
      <c r="AW34" s="78">
        <f t="shared" ref="AW34" si="46">AU34/AV34</f>
        <v>0.820754716981132</v>
      </c>
      <c r="AX34" s="80">
        <f t="shared" ref="AX34" si="47">AP34/AU34</f>
        <v>2</v>
      </c>
      <c r="AY34" s="87" t="s">
        <v>75</v>
      </c>
      <c r="AZ34" s="87" t="s">
        <v>75</v>
      </c>
      <c r="BA34" s="87" t="s">
        <v>75</v>
      </c>
      <c r="BB34" s="87" t="s">
        <v>75</v>
      </c>
      <c r="BC34" s="88" t="s">
        <v>75</v>
      </c>
    </row>
    <row r="35" spans="2:55" ht="12.75" customHeight="1" x14ac:dyDescent="0.25">
      <c r="B35" s="160">
        <v>22127</v>
      </c>
      <c r="C35" s="116" t="s">
        <v>28</v>
      </c>
      <c r="D35" s="109" t="s">
        <v>222</v>
      </c>
      <c r="E35" s="109" t="s">
        <v>202</v>
      </c>
      <c r="F35" s="72">
        <v>1.873</v>
      </c>
      <c r="G35" s="82">
        <f t="shared" si="34"/>
        <v>4.6050000000000004</v>
      </c>
      <c r="H35" s="82">
        <f t="shared" si="19"/>
        <v>2.4586225306994129</v>
      </c>
      <c r="I35" s="72">
        <v>0.1</v>
      </c>
      <c r="J35" s="72">
        <v>0.05</v>
      </c>
      <c r="K35" s="72">
        <v>1.0389999999999999</v>
      </c>
      <c r="L35" s="72">
        <v>0.72699999999999998</v>
      </c>
      <c r="M35" s="72">
        <v>0.72899999999999998</v>
      </c>
      <c r="N35" s="72">
        <v>0.16</v>
      </c>
      <c r="O35" s="82">
        <f t="shared" si="35"/>
        <v>1.96</v>
      </c>
      <c r="P35" s="72">
        <v>1.8</v>
      </c>
      <c r="Q35" s="82">
        <f t="shared" si="6"/>
        <v>1.7324350336862369</v>
      </c>
      <c r="R35" s="82">
        <f t="shared" si="8"/>
        <v>0.70163618864292587</v>
      </c>
      <c r="S35" s="82">
        <f t="shared" si="9"/>
        <v>0.69971126082771895</v>
      </c>
      <c r="T35" s="82">
        <f t="shared" si="7"/>
        <v>12.25</v>
      </c>
      <c r="U35" s="72">
        <v>0.32</v>
      </c>
      <c r="V35" s="72">
        <f t="shared" si="36"/>
        <v>14.390625000000002</v>
      </c>
      <c r="W35" s="72">
        <v>0.67700000000000005</v>
      </c>
      <c r="X35" s="72">
        <v>0.15</v>
      </c>
      <c r="Y35" s="72">
        <f t="shared" si="30"/>
        <v>4.5133333333333336</v>
      </c>
      <c r="Z35" s="72">
        <v>0.4</v>
      </c>
      <c r="AA35" s="72">
        <v>0.56699999999999995</v>
      </c>
      <c r="AB35" s="72">
        <f t="shared" si="40"/>
        <v>0.30272290443139344</v>
      </c>
      <c r="AC35" s="72">
        <v>1.272</v>
      </c>
      <c r="AD35" s="72">
        <f t="shared" si="41"/>
        <v>0.67912439935931657</v>
      </c>
      <c r="AE35" s="72">
        <v>0.1</v>
      </c>
      <c r="AF35" s="72">
        <f t="shared" si="5"/>
        <v>2</v>
      </c>
      <c r="AG35" s="72">
        <f t="shared" si="42"/>
        <v>5.1020408163265307E-2</v>
      </c>
      <c r="AH35" s="72">
        <f t="shared" si="43"/>
        <v>0.625</v>
      </c>
      <c r="AI35" s="72">
        <v>9.4E-2</v>
      </c>
      <c r="AJ35" s="72">
        <v>6.7000000000000004E-2</v>
      </c>
      <c r="AK35" s="72">
        <f t="shared" si="22"/>
        <v>1.4029850746268655</v>
      </c>
      <c r="AL35" s="72">
        <f>AI35/AE35</f>
        <v>0.94</v>
      </c>
      <c r="AM35" s="72">
        <f>AI35/N35</f>
        <v>0.58750000000000002</v>
      </c>
      <c r="AN35" s="72">
        <f t="shared" si="23"/>
        <v>9.0471607314725699E-2</v>
      </c>
      <c r="AO35" s="72">
        <f t="shared" si="0"/>
        <v>0.5053763440860215</v>
      </c>
      <c r="AP35" s="72">
        <v>0.186</v>
      </c>
      <c r="AQ35" s="72">
        <v>8.6999999999999994E-2</v>
      </c>
      <c r="AR35" s="72">
        <f t="shared" si="14"/>
        <v>9.9305926321409499E-2</v>
      </c>
      <c r="AS35" s="72">
        <f t="shared" si="1"/>
        <v>2.1379310344827589</v>
      </c>
      <c r="AT35" s="72">
        <f t="shared" si="15"/>
        <v>0.17901828681424448</v>
      </c>
      <c r="AU35" s="72">
        <v>0.11600000000000001</v>
      </c>
      <c r="AV35" s="72">
        <v>0.13900000000000001</v>
      </c>
      <c r="AW35" s="72">
        <f t="shared" si="31"/>
        <v>0.83453237410071934</v>
      </c>
      <c r="AX35" s="82">
        <f t="shared" si="3"/>
        <v>1.603448275862069</v>
      </c>
      <c r="AY35" s="84">
        <v>5</v>
      </c>
      <c r="AZ35" s="84">
        <v>11</v>
      </c>
      <c r="BA35" s="84">
        <v>10</v>
      </c>
      <c r="BB35" s="84" t="s">
        <v>75</v>
      </c>
      <c r="BC35" s="85" t="s">
        <v>75</v>
      </c>
    </row>
    <row r="36" spans="2:55" ht="12.75" customHeight="1" x14ac:dyDescent="0.25">
      <c r="B36" s="69"/>
      <c r="C36" s="109"/>
      <c r="D36" s="109"/>
      <c r="E36" s="109"/>
      <c r="F36" s="72">
        <v>1.873</v>
      </c>
      <c r="G36" s="82">
        <f t="shared" si="34"/>
        <v>4.2850000000000001</v>
      </c>
      <c r="H36" s="82">
        <f t="shared" si="19"/>
        <v>2.2877736252002134</v>
      </c>
      <c r="I36" s="72">
        <v>0.1</v>
      </c>
      <c r="J36" s="72">
        <v>0.05</v>
      </c>
      <c r="K36" s="72">
        <v>1.02</v>
      </c>
      <c r="L36" s="72">
        <v>0.71899999999999997</v>
      </c>
      <c r="M36" s="72">
        <v>0.71099999999999997</v>
      </c>
      <c r="N36" s="72">
        <v>0.16</v>
      </c>
      <c r="O36" s="82">
        <f t="shared" si="35"/>
        <v>1.6849999999999998</v>
      </c>
      <c r="P36" s="72">
        <v>1.5249999999999999</v>
      </c>
      <c r="Q36" s="82">
        <f t="shared" si="6"/>
        <v>1.4950980392156861</v>
      </c>
      <c r="R36" s="82">
        <f t="shared" si="8"/>
        <v>0.69705882352941173</v>
      </c>
      <c r="S36" s="82">
        <f t="shared" si="9"/>
        <v>0.70490196078431366</v>
      </c>
      <c r="T36" s="82">
        <f t="shared" si="7"/>
        <v>10.531249999999998</v>
      </c>
      <c r="U36" s="72">
        <v>0.32</v>
      </c>
      <c r="V36" s="72">
        <f t="shared" si="36"/>
        <v>13.390625</v>
      </c>
      <c r="W36" s="72">
        <v>0.66200000000000003</v>
      </c>
      <c r="X36" s="72">
        <v>0.14000000000000001</v>
      </c>
      <c r="Y36" s="72">
        <f t="shared" si="30"/>
        <v>4.7285714285714286</v>
      </c>
      <c r="Z36" s="72">
        <v>0.42</v>
      </c>
      <c r="AA36" s="72">
        <v>0.56899999999999995</v>
      </c>
      <c r="AB36" s="72">
        <f t="shared" si="40"/>
        <v>0.30379071009076347</v>
      </c>
      <c r="AC36" s="72">
        <v>1.2709999999999999</v>
      </c>
      <c r="AD36" s="72">
        <f t="shared" si="41"/>
        <v>0.67859049652963155</v>
      </c>
      <c r="AE36" s="72">
        <v>0.1</v>
      </c>
      <c r="AF36" s="72">
        <f t="shared" si="5"/>
        <v>2</v>
      </c>
      <c r="AG36" s="72">
        <f t="shared" si="42"/>
        <v>5.9347181008902086E-2</v>
      </c>
      <c r="AH36" s="72">
        <f t="shared" si="43"/>
        <v>0.625</v>
      </c>
      <c r="AI36" s="72">
        <v>9.4E-2</v>
      </c>
      <c r="AJ36" s="72">
        <v>6.7000000000000004E-2</v>
      </c>
      <c r="AK36" s="72">
        <f t="shared" ref="AK36" si="48">AI36/AJ36</f>
        <v>1.4029850746268655</v>
      </c>
      <c r="AL36" s="72">
        <f>AI36/AE36</f>
        <v>0.94</v>
      </c>
      <c r="AM36" s="72">
        <f>AI36/N36</f>
        <v>0.58750000000000002</v>
      </c>
      <c r="AN36" s="72">
        <f t="shared" si="23"/>
        <v>9.2156862745098031E-2</v>
      </c>
      <c r="AO36" s="72">
        <f t="shared" si="0"/>
        <v>0.50810810810810814</v>
      </c>
      <c r="AP36" s="72">
        <v>0.185</v>
      </c>
      <c r="AQ36" s="72">
        <v>0.11700000000000001</v>
      </c>
      <c r="AR36" s="72">
        <f t="shared" si="14"/>
        <v>9.8772023491724509E-2</v>
      </c>
      <c r="AS36" s="72">
        <f t="shared" si="1"/>
        <v>1.5811965811965811</v>
      </c>
      <c r="AT36" s="72">
        <f t="shared" si="15"/>
        <v>0.18137254901960784</v>
      </c>
      <c r="AU36" s="72">
        <v>0.11600000000000001</v>
      </c>
      <c r="AV36" s="72">
        <v>0.13900000000000001</v>
      </c>
      <c r="AW36" s="72">
        <f t="shared" ref="AW36" si="49">AU36/AV36</f>
        <v>0.83453237410071934</v>
      </c>
      <c r="AX36" s="82">
        <f t="shared" ref="AX36" si="50">AP36/AU36</f>
        <v>1.5948275862068964</v>
      </c>
      <c r="AY36" s="84" t="s">
        <v>75</v>
      </c>
      <c r="AZ36" s="84">
        <v>11</v>
      </c>
      <c r="BA36" s="84" t="s">
        <v>75</v>
      </c>
      <c r="BB36" s="84" t="s">
        <v>75</v>
      </c>
      <c r="BC36" s="85" t="s">
        <v>75</v>
      </c>
    </row>
    <row r="37" spans="2:55" ht="12.75" customHeight="1" x14ac:dyDescent="0.25">
      <c r="B37" s="159">
        <v>22127</v>
      </c>
      <c r="C37" s="112" t="s">
        <v>28</v>
      </c>
      <c r="D37" s="113" t="s">
        <v>222</v>
      </c>
      <c r="E37" s="113" t="s">
        <v>202</v>
      </c>
      <c r="F37" s="78">
        <f>1.373+0.633</f>
        <v>2.0060000000000002</v>
      </c>
      <c r="G37" s="80">
        <f t="shared" si="34"/>
        <v>4.16</v>
      </c>
      <c r="H37" s="80">
        <f t="shared" si="19"/>
        <v>2.0737786640079761</v>
      </c>
      <c r="I37" s="78">
        <v>0.1</v>
      </c>
      <c r="J37" s="78">
        <v>0.05</v>
      </c>
      <c r="K37" s="78">
        <f>0.454+0.526</f>
        <v>0.98</v>
      </c>
      <c r="L37" s="78">
        <v>0.7</v>
      </c>
      <c r="M37" s="78">
        <v>0.71</v>
      </c>
      <c r="N37" s="78">
        <v>0.16</v>
      </c>
      <c r="O37" s="80">
        <f t="shared" si="35"/>
        <v>1.6199999999999999</v>
      </c>
      <c r="P37" s="78">
        <v>1.46</v>
      </c>
      <c r="Q37" s="80">
        <f t="shared" si="6"/>
        <v>1.489795918367347</v>
      </c>
      <c r="R37" s="80">
        <f t="shared" si="8"/>
        <v>0.72448979591836737</v>
      </c>
      <c r="S37" s="80">
        <f t="shared" si="9"/>
        <v>0.7142857142857143</v>
      </c>
      <c r="T37" s="80">
        <f t="shared" si="7"/>
        <v>10.124999999999998</v>
      </c>
      <c r="U37" s="78">
        <v>0.31</v>
      </c>
      <c r="V37" s="78">
        <f t="shared" si="36"/>
        <v>13.419354838709678</v>
      </c>
      <c r="W37" s="78">
        <v>0.66</v>
      </c>
      <c r="X37" s="78">
        <v>0.15</v>
      </c>
      <c r="Y37" s="78">
        <f t="shared" si="30"/>
        <v>4.4000000000000004</v>
      </c>
      <c r="Z37" s="78">
        <v>0.4</v>
      </c>
      <c r="AA37" s="78">
        <v>0.57399999999999995</v>
      </c>
      <c r="AB37" s="78">
        <f t="shared" si="40"/>
        <v>0.28614157527417744</v>
      </c>
      <c r="AC37" s="78">
        <v>1.2170000000000001</v>
      </c>
      <c r="AD37" s="78">
        <f t="shared" si="41"/>
        <v>0.60667996011964109</v>
      </c>
      <c r="AE37" s="78">
        <v>0.1</v>
      </c>
      <c r="AF37" s="78">
        <f t="shared" si="5"/>
        <v>2</v>
      </c>
      <c r="AG37" s="78">
        <f t="shared" si="42"/>
        <v>6.1728395061728406E-2</v>
      </c>
      <c r="AH37" s="78">
        <f t="shared" si="43"/>
        <v>0.625</v>
      </c>
      <c r="AI37" s="78">
        <v>9.2999999999999999E-2</v>
      </c>
      <c r="AJ37" s="78">
        <v>0.83</v>
      </c>
      <c r="AK37" s="78">
        <f t="shared" si="22"/>
        <v>0.11204819277108434</v>
      </c>
      <c r="AL37" s="78">
        <f>AI37/AE37</f>
        <v>0.92999999999999994</v>
      </c>
      <c r="AM37" s="78">
        <f>AI37/N37</f>
        <v>0.58124999999999993</v>
      </c>
      <c r="AN37" s="78">
        <f t="shared" si="23"/>
        <v>9.4897959183673469E-2</v>
      </c>
      <c r="AO37" s="78">
        <f t="shared" si="0"/>
        <v>0.48186528497409326</v>
      </c>
      <c r="AP37" s="78">
        <v>0.193</v>
      </c>
      <c r="AQ37" s="78">
        <v>0.105</v>
      </c>
      <c r="AR37" s="78">
        <f t="shared" si="14"/>
        <v>9.6211365902293108E-2</v>
      </c>
      <c r="AS37" s="78">
        <f t="shared" si="1"/>
        <v>1.8380952380952382</v>
      </c>
      <c r="AT37" s="78" t="s">
        <v>75</v>
      </c>
      <c r="AU37" s="78">
        <v>0.1</v>
      </c>
      <c r="AV37" s="78">
        <v>0.11899999999999999</v>
      </c>
      <c r="AW37" s="78">
        <f t="shared" si="31"/>
        <v>0.84033613445378164</v>
      </c>
      <c r="AX37" s="80">
        <f t="shared" si="3"/>
        <v>1.93</v>
      </c>
      <c r="AY37" s="87">
        <v>5</v>
      </c>
      <c r="AZ37" s="87">
        <v>14</v>
      </c>
      <c r="BA37" s="87" t="s">
        <v>75</v>
      </c>
      <c r="BB37" s="87">
        <v>8</v>
      </c>
      <c r="BC37" s="88">
        <v>6</v>
      </c>
    </row>
    <row r="38" spans="2:55" ht="12.75" customHeight="1" x14ac:dyDescent="0.25">
      <c r="B38" s="153"/>
      <c r="C38" s="154"/>
      <c r="D38" s="154"/>
      <c r="E38" s="154"/>
      <c r="F38" s="92">
        <f>1.373+0.633</f>
        <v>2.0060000000000002</v>
      </c>
      <c r="G38" s="94">
        <f t="shared" si="34"/>
        <v>4.0220000000000002</v>
      </c>
      <c r="H38" s="94">
        <f t="shared" si="19"/>
        <v>2.0049850448654039</v>
      </c>
      <c r="I38" s="92">
        <v>0.1</v>
      </c>
      <c r="J38" s="92">
        <v>0.05</v>
      </c>
      <c r="K38" s="92">
        <v>0.96199999999999997</v>
      </c>
      <c r="L38" s="92">
        <v>0.71</v>
      </c>
      <c r="M38" s="92">
        <v>0.73</v>
      </c>
      <c r="N38" s="92">
        <v>0.16</v>
      </c>
      <c r="O38" s="94">
        <f t="shared" si="35"/>
        <v>1.47</v>
      </c>
      <c r="P38" s="92">
        <v>1.31</v>
      </c>
      <c r="Q38" s="94">
        <f t="shared" si="6"/>
        <v>1.3617463617463619</v>
      </c>
      <c r="R38" s="94">
        <f t="shared" si="8"/>
        <v>0.75883575883575882</v>
      </c>
      <c r="S38" s="94">
        <f t="shared" si="9"/>
        <v>0.73804573804573803</v>
      </c>
      <c r="T38" s="94">
        <f t="shared" si="7"/>
        <v>9.1875</v>
      </c>
      <c r="U38" s="92">
        <v>0.31</v>
      </c>
      <c r="V38" s="92">
        <f t="shared" si="36"/>
        <v>12.974193548387097</v>
      </c>
      <c r="W38" s="92">
        <v>0.67</v>
      </c>
      <c r="X38" s="92">
        <v>0.15</v>
      </c>
      <c r="Y38" s="92">
        <f t="shared" si="30"/>
        <v>4.4666666666666668</v>
      </c>
      <c r="Z38" s="92">
        <v>0.4</v>
      </c>
      <c r="AA38" s="92">
        <v>0.57899999999999996</v>
      </c>
      <c r="AB38" s="92">
        <f t="shared" si="40"/>
        <v>0.28863409770687931</v>
      </c>
      <c r="AC38" s="92">
        <v>1.216</v>
      </c>
      <c r="AD38" s="92">
        <f t="shared" si="41"/>
        <v>0.60618145563310066</v>
      </c>
      <c r="AE38" s="92">
        <v>0.1</v>
      </c>
      <c r="AF38" s="92">
        <f t="shared" si="5"/>
        <v>2</v>
      </c>
      <c r="AG38" s="92">
        <f t="shared" si="42"/>
        <v>6.8027210884353748E-2</v>
      </c>
      <c r="AH38" s="92">
        <f t="shared" si="43"/>
        <v>0.625</v>
      </c>
      <c r="AI38" s="92">
        <v>9.2999999999999999E-2</v>
      </c>
      <c r="AJ38" s="92">
        <v>0.83</v>
      </c>
      <c r="AK38" s="92">
        <f t="shared" ref="AK38" si="51">AI38/AJ38</f>
        <v>0.11204819277108434</v>
      </c>
      <c r="AL38" s="92">
        <f>AI38/AE38</f>
        <v>0.92999999999999994</v>
      </c>
      <c r="AM38" s="92">
        <f>AI38/N38</f>
        <v>0.58124999999999993</v>
      </c>
      <c r="AN38" s="92">
        <f t="shared" si="23"/>
        <v>9.6673596673596679E-2</v>
      </c>
      <c r="AO38" s="92">
        <f t="shared" si="0"/>
        <v>0.43661971830985918</v>
      </c>
      <c r="AP38" s="92">
        <v>0.21299999999999999</v>
      </c>
      <c r="AQ38" s="92">
        <v>0.123</v>
      </c>
      <c r="AR38" s="92">
        <f t="shared" si="14"/>
        <v>0.10618145563310068</v>
      </c>
      <c r="AS38" s="92">
        <f t="shared" si="1"/>
        <v>1.7317073170731707</v>
      </c>
      <c r="AT38" s="92" t="s">
        <v>75</v>
      </c>
      <c r="AU38" s="92">
        <v>0.1</v>
      </c>
      <c r="AV38" s="92">
        <v>0.11899999999999999</v>
      </c>
      <c r="AW38" s="92">
        <f t="shared" ref="AW38" si="52">AU38/AV38</f>
        <v>0.84033613445378164</v>
      </c>
      <c r="AX38" s="94">
        <f t="shared" ref="AX38" si="53">AP38/AU38</f>
        <v>2.13</v>
      </c>
      <c r="AY38" s="148" t="s">
        <v>75</v>
      </c>
      <c r="AZ38" s="148">
        <v>16</v>
      </c>
      <c r="BA38" s="148" t="s">
        <v>75</v>
      </c>
      <c r="BB38" s="148" t="s">
        <v>75</v>
      </c>
      <c r="BC38" s="182" t="s">
        <v>75</v>
      </c>
    </row>
    <row r="39" spans="2:55" ht="12.75" customHeight="1" x14ac:dyDescent="0.25">
      <c r="C39" s="46"/>
      <c r="D39" s="46"/>
      <c r="E39" s="2" t="s">
        <v>25</v>
      </c>
      <c r="F39" s="8">
        <f t="shared" ref="F39:AK39" si="54">MIN(F3:F38)</f>
        <v>1.2350000000000001</v>
      </c>
      <c r="G39" s="8">
        <f t="shared" si="54"/>
        <v>3.4769999999999999</v>
      </c>
      <c r="H39" s="8">
        <f t="shared" si="54"/>
        <v>1.4459363957597171</v>
      </c>
      <c r="I39" s="8">
        <f t="shared" si="54"/>
        <v>0.09</v>
      </c>
      <c r="J39" s="8">
        <f t="shared" si="54"/>
        <v>4.8000000000000001E-2</v>
      </c>
      <c r="K39" s="8">
        <f t="shared" si="54"/>
        <v>0.77400000000000002</v>
      </c>
      <c r="L39" s="8">
        <f t="shared" si="54"/>
        <v>0.51400000000000001</v>
      </c>
      <c r="M39" s="8">
        <f t="shared" si="54"/>
        <v>0.51700000000000002</v>
      </c>
      <c r="N39" s="8">
        <f t="shared" si="54"/>
        <v>0.115</v>
      </c>
      <c r="O39" s="8">
        <f t="shared" si="54"/>
        <v>0.96899999999999997</v>
      </c>
      <c r="P39" s="8">
        <f t="shared" si="54"/>
        <v>0.82199999999999995</v>
      </c>
      <c r="Q39" s="8">
        <f>MIN(Q3:Q38)</f>
        <v>0.76086956521739135</v>
      </c>
      <c r="R39" s="8">
        <f t="shared" si="54"/>
        <v>0.58565310492505351</v>
      </c>
      <c r="S39" s="8">
        <f t="shared" si="54"/>
        <v>0.59829059829059827</v>
      </c>
      <c r="T39" s="8">
        <f t="shared" si="54"/>
        <v>5.6052631578947363</v>
      </c>
      <c r="U39" s="8">
        <f t="shared" si="54"/>
        <v>0.20200000000000001</v>
      </c>
      <c r="V39" s="8">
        <f t="shared" si="54"/>
        <v>9.3519999999999985</v>
      </c>
      <c r="W39" s="8">
        <f t="shared" si="54"/>
        <v>0.53</v>
      </c>
      <c r="X39" s="8">
        <f t="shared" si="54"/>
        <v>8.5999999999999993E-2</v>
      </c>
      <c r="Y39" s="8">
        <f t="shared" si="54"/>
        <v>4.4000000000000004</v>
      </c>
      <c r="Z39" s="8">
        <f t="shared" si="54"/>
        <v>0.34899999999999998</v>
      </c>
      <c r="AA39" s="8">
        <f t="shared" si="54"/>
        <v>0.45400000000000001</v>
      </c>
      <c r="AB39" s="8">
        <f t="shared" si="54"/>
        <v>0.27059843885516044</v>
      </c>
      <c r="AC39" s="8">
        <f t="shared" si="54"/>
        <v>1.0309999999999999</v>
      </c>
      <c r="AD39" s="8">
        <f t="shared" si="54"/>
        <v>0.5229681978798586</v>
      </c>
      <c r="AE39" s="8">
        <f t="shared" si="54"/>
        <v>0.1</v>
      </c>
      <c r="AF39" s="8">
        <f>MIN(AF3:AF38)</f>
        <v>1.6666666666666667</v>
      </c>
      <c r="AG39" s="8">
        <f t="shared" si="54"/>
        <v>5.1020408163265307E-2</v>
      </c>
      <c r="AH39" s="8">
        <f t="shared" si="54"/>
        <v>0.59473684210526312</v>
      </c>
      <c r="AI39" s="8">
        <f t="shared" si="54"/>
        <v>8.1000000000000003E-2</v>
      </c>
      <c r="AJ39" s="8">
        <f t="shared" si="54"/>
        <v>4.7E-2</v>
      </c>
      <c r="AK39" s="8">
        <f t="shared" si="54"/>
        <v>0.11204819277108434</v>
      </c>
      <c r="AL39" s="8">
        <f t="shared" ref="AL39:BC39" si="55">MIN(AL3:AL38)</f>
        <v>0.69918699186991862</v>
      </c>
      <c r="AM39" s="8">
        <f t="shared" si="55"/>
        <v>0.56209150326797386</v>
      </c>
      <c r="AN39" s="8">
        <f t="shared" si="55"/>
        <v>8.6693548387096767E-2</v>
      </c>
      <c r="AO39" s="8">
        <f t="shared" si="55"/>
        <v>0.38053097345132741</v>
      </c>
      <c r="AP39" s="8">
        <f t="shared" si="55"/>
        <v>0.152</v>
      </c>
      <c r="AQ39" s="8">
        <f t="shared" si="55"/>
        <v>7.5999999999999998E-2</v>
      </c>
      <c r="AR39" s="8">
        <f t="shared" si="55"/>
        <v>8.4444444444444447E-2</v>
      </c>
      <c r="AS39" s="8">
        <f t="shared" si="55"/>
        <v>1.3282442748091601</v>
      </c>
      <c r="AT39" s="8">
        <f t="shared" si="55"/>
        <v>0.16888888888888889</v>
      </c>
      <c r="AU39" s="8">
        <f t="shared" si="55"/>
        <v>8.6999999999999994E-2</v>
      </c>
      <c r="AV39" s="8">
        <f t="shared" si="55"/>
        <v>9.1999999999999998E-2</v>
      </c>
      <c r="AW39" s="8">
        <f t="shared" si="55"/>
        <v>0.820754716981132</v>
      </c>
      <c r="AX39" s="8">
        <f t="shared" si="55"/>
        <v>0.94285714285714295</v>
      </c>
      <c r="AY39" s="5">
        <f t="shared" si="55"/>
        <v>4</v>
      </c>
      <c r="AZ39" s="5">
        <f t="shared" si="55"/>
        <v>10</v>
      </c>
      <c r="BA39" s="5">
        <f t="shared" si="55"/>
        <v>3</v>
      </c>
      <c r="BB39" s="5">
        <f t="shared" si="55"/>
        <v>5</v>
      </c>
      <c r="BC39" s="5">
        <f t="shared" si="55"/>
        <v>5</v>
      </c>
    </row>
    <row r="40" spans="2:55" ht="12.75" customHeight="1" x14ac:dyDescent="0.25">
      <c r="C40" s="46"/>
      <c r="D40" s="46"/>
      <c r="E40" s="2" t="s">
        <v>26</v>
      </c>
      <c r="F40" s="8">
        <f t="shared" ref="F40:AK40" si="56">MAX(F3:F39)</f>
        <v>2.83</v>
      </c>
      <c r="G40" s="8">
        <f t="shared" si="56"/>
        <v>4.6959999999999997</v>
      </c>
      <c r="H40" s="8">
        <f t="shared" si="56"/>
        <v>2.565797838525111</v>
      </c>
      <c r="I40" s="8">
        <f t="shared" si="56"/>
        <v>0.122</v>
      </c>
      <c r="J40" s="8">
        <f t="shared" si="56"/>
        <v>6.7000000000000004E-2</v>
      </c>
      <c r="K40" s="8">
        <f t="shared" si="56"/>
        <v>1.17</v>
      </c>
      <c r="L40" s="8">
        <f t="shared" si="56"/>
        <v>0.89</v>
      </c>
      <c r="M40" s="8">
        <f t="shared" si="56"/>
        <v>0.871</v>
      </c>
      <c r="N40" s="8">
        <f t="shared" si="56"/>
        <v>0.19</v>
      </c>
      <c r="O40" s="8">
        <f t="shared" si="56"/>
        <v>2.004</v>
      </c>
      <c r="P40" s="8">
        <f t="shared" si="56"/>
        <v>1.8420000000000001</v>
      </c>
      <c r="Q40" s="8">
        <f>MAX(Q3:Q39)</f>
        <v>1.8643724696356276</v>
      </c>
      <c r="R40" s="8">
        <f t="shared" si="56"/>
        <v>0.83946830265848671</v>
      </c>
      <c r="S40" s="8">
        <f t="shared" si="56"/>
        <v>0.80325814536340845</v>
      </c>
      <c r="T40" s="8">
        <f t="shared" si="56"/>
        <v>12.977611940298505</v>
      </c>
      <c r="U40" s="8">
        <f t="shared" si="56"/>
        <v>0.378</v>
      </c>
      <c r="V40" s="8">
        <f t="shared" si="56"/>
        <v>14.433333333333334</v>
      </c>
      <c r="W40" s="8">
        <f t="shared" si="56"/>
        <v>0.77500000000000002</v>
      </c>
      <c r="X40" s="8">
        <f t="shared" si="56"/>
        <v>0.373</v>
      </c>
      <c r="Y40" s="8">
        <f t="shared" si="56"/>
        <v>6.4190476190476193</v>
      </c>
      <c r="Z40" s="8">
        <f t="shared" si="56"/>
        <v>0.55500000000000005</v>
      </c>
      <c r="AA40" s="8">
        <f t="shared" si="56"/>
        <v>0.8</v>
      </c>
      <c r="AB40" s="8">
        <f t="shared" si="56"/>
        <v>0.32907801418439719</v>
      </c>
      <c r="AC40" s="8">
        <f t="shared" si="56"/>
        <v>1.5</v>
      </c>
      <c r="AD40" s="8">
        <f t="shared" si="56"/>
        <v>0.73120567375886525</v>
      </c>
      <c r="AE40" s="8">
        <f t="shared" si="56"/>
        <v>0.125</v>
      </c>
      <c r="AF40" s="8">
        <f t="shared" si="56"/>
        <v>2.44</v>
      </c>
      <c r="AG40" s="8">
        <f t="shared" si="56"/>
        <v>0.12590299277605779</v>
      </c>
      <c r="AH40" s="8">
        <f t="shared" si="56"/>
        <v>0.87142857142857133</v>
      </c>
      <c r="AI40" s="8">
        <f t="shared" si="56"/>
        <v>9.6000000000000002E-2</v>
      </c>
      <c r="AJ40" s="8">
        <f t="shared" si="56"/>
        <v>0.83</v>
      </c>
      <c r="AK40" s="8">
        <f t="shared" si="56"/>
        <v>1.7872340425531916</v>
      </c>
      <c r="AL40" s="8">
        <f t="shared" ref="AL40:BC40" si="57">MAX(AL3:AL39)</f>
        <v>0.96</v>
      </c>
      <c r="AM40" s="8">
        <f t="shared" si="57"/>
        <v>0.68656716417910446</v>
      </c>
      <c r="AN40" s="8">
        <f t="shared" si="57"/>
        <v>0.10822998872604284</v>
      </c>
      <c r="AO40" s="8">
        <f t="shared" si="57"/>
        <v>0.63157894736842113</v>
      </c>
      <c r="AP40" s="8">
        <f t="shared" si="57"/>
        <v>0.26</v>
      </c>
      <c r="AQ40" s="8">
        <f t="shared" si="57"/>
        <v>0.13100000000000001</v>
      </c>
      <c r="AR40" s="8">
        <f t="shared" si="57"/>
        <v>0.1368421052631579</v>
      </c>
      <c r="AS40" s="8">
        <f t="shared" si="57"/>
        <v>2.6279069767441863</v>
      </c>
      <c r="AT40" s="8">
        <f t="shared" si="57"/>
        <v>0.23251028806584365</v>
      </c>
      <c r="AU40" s="8">
        <f t="shared" si="57"/>
        <v>0.17499999999999999</v>
      </c>
      <c r="AV40" s="8">
        <f t="shared" si="57"/>
        <v>0.16300000000000001</v>
      </c>
      <c r="AW40" s="8">
        <f t="shared" si="57"/>
        <v>1.2</v>
      </c>
      <c r="AX40" s="8">
        <f t="shared" si="57"/>
        <v>2.3333333333333335</v>
      </c>
      <c r="AY40" s="5">
        <f t="shared" si="57"/>
        <v>5</v>
      </c>
      <c r="AZ40" s="5">
        <f t="shared" si="57"/>
        <v>16</v>
      </c>
      <c r="BA40" s="5">
        <f t="shared" si="57"/>
        <v>10</v>
      </c>
      <c r="BB40" s="5">
        <f t="shared" si="57"/>
        <v>8</v>
      </c>
      <c r="BC40" s="5">
        <f t="shared" si="57"/>
        <v>7</v>
      </c>
    </row>
    <row r="41" spans="2:55" ht="12.75" customHeight="1" x14ac:dyDescent="0.25"/>
    <row r="42" spans="2:55" ht="12.75" customHeight="1" x14ac:dyDescent="0.25"/>
    <row r="43" spans="2:55" ht="12.75" customHeight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C34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4" width="18.7109375" style="1" customWidth="1"/>
    <col min="5" max="5" width="36.7109375" style="1" customWidth="1"/>
    <col min="6" max="52" width="8.7109375" style="1" customWidth="1"/>
    <col min="53" max="55" width="10.7109375" style="1" customWidth="1"/>
    <col min="56" max="16384" width="9.140625" style="1"/>
  </cols>
  <sheetData>
    <row r="1" spans="2:55" ht="12" customHeight="1" x14ac:dyDescent="0.2">
      <c r="AN1" s="96"/>
    </row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">
      <c r="B3" s="61">
        <v>21482</v>
      </c>
      <c r="C3" s="62" t="s">
        <v>221</v>
      </c>
      <c r="D3" s="63" t="s">
        <v>222</v>
      </c>
      <c r="E3" s="63" t="s">
        <v>177</v>
      </c>
      <c r="F3" s="65">
        <f>1.307+1.01</f>
        <v>2.3170000000000002</v>
      </c>
      <c r="G3" s="65">
        <f>I3+J3+K3+L3+M3+N3+O3</f>
        <v>3.536</v>
      </c>
      <c r="H3" s="65">
        <f>G3/F3</f>
        <v>1.5261113508847646</v>
      </c>
      <c r="I3" s="65">
        <v>9.6000000000000002E-2</v>
      </c>
      <c r="J3" s="65">
        <v>5.5E-2</v>
      </c>
      <c r="K3" s="65">
        <f>0.548+0.518</f>
        <v>1.0660000000000001</v>
      </c>
      <c r="L3" s="65">
        <f>0.333+0.269</f>
        <v>0.60200000000000009</v>
      </c>
      <c r="M3" s="65">
        <v>0.66</v>
      </c>
      <c r="N3" s="65">
        <v>0.129</v>
      </c>
      <c r="O3" s="65">
        <f>0.585+0.343</f>
        <v>0.92799999999999994</v>
      </c>
      <c r="P3" s="65">
        <f>N:N+O:O</f>
        <v>1.0569999999999999</v>
      </c>
      <c r="Q3" s="65">
        <f t="shared" ref="Q3:Q24" si="0">(N3+O3)/K3</f>
        <v>0.99155722326454021</v>
      </c>
      <c r="R3" s="65">
        <f t="shared" ref="R3:R24" si="1">M3/K3</f>
        <v>0.61913696060037526</v>
      </c>
      <c r="S3" s="65">
        <f t="shared" ref="S3:S24" si="2">L3/K3</f>
        <v>0.56472795497185746</v>
      </c>
      <c r="T3" s="65">
        <f t="shared" ref="T3:T24" si="3">O3/N3</f>
        <v>7.1937984496124026</v>
      </c>
      <c r="U3" s="65">
        <v>0.32700000000000001</v>
      </c>
      <c r="V3" s="65">
        <f>G3/U3</f>
        <v>10.813455657492355</v>
      </c>
      <c r="W3" s="65" t="s">
        <v>75</v>
      </c>
      <c r="X3" s="65" t="s">
        <v>75</v>
      </c>
      <c r="Y3" s="65" t="s">
        <v>75</v>
      </c>
      <c r="Z3" s="65" t="s">
        <v>75</v>
      </c>
      <c r="AA3" s="65" t="s">
        <v>75</v>
      </c>
      <c r="AB3" s="194" t="s">
        <v>75</v>
      </c>
      <c r="AC3" s="65" t="s">
        <v>75</v>
      </c>
      <c r="AD3" s="194" t="s">
        <v>75</v>
      </c>
      <c r="AE3" s="65" t="s">
        <v>75</v>
      </c>
      <c r="AF3" s="65" t="s">
        <v>75</v>
      </c>
      <c r="AG3" s="65" t="s">
        <v>75</v>
      </c>
      <c r="AH3" s="194" t="s">
        <v>75</v>
      </c>
      <c r="AI3" s="65">
        <v>0.09</v>
      </c>
      <c r="AJ3" s="65" t="s">
        <v>75</v>
      </c>
      <c r="AK3" s="194" t="s">
        <v>75</v>
      </c>
      <c r="AL3" s="194" t="s">
        <v>75</v>
      </c>
      <c r="AM3" s="194">
        <f>AI3/N3</f>
        <v>0.69767441860465107</v>
      </c>
      <c r="AN3" s="194">
        <f>AI3/K3</f>
        <v>8.4427767354596617E-2</v>
      </c>
      <c r="AO3" s="194">
        <f t="shared" ref="AO3:AO23" si="4">AI3/AP3</f>
        <v>0.38626609442060084</v>
      </c>
      <c r="AP3" s="65">
        <v>0.23300000000000001</v>
      </c>
      <c r="AQ3" s="65">
        <v>0.1</v>
      </c>
      <c r="AR3" s="194">
        <f t="shared" ref="AR3:AR8" si="5">AP3/F3</f>
        <v>0.10056107034958998</v>
      </c>
      <c r="AS3" s="194">
        <f t="shared" ref="AS3:AS24" si="6">AP3/AQ3</f>
        <v>2.33</v>
      </c>
      <c r="AT3" s="194">
        <f>AP3/K3</f>
        <v>0.21857410881801126</v>
      </c>
      <c r="AU3" s="65">
        <v>0.1</v>
      </c>
      <c r="AV3" s="65">
        <v>0.11</v>
      </c>
      <c r="AW3" s="194">
        <f t="shared" ref="AW3:AW23" si="7">AU3/AV3</f>
        <v>0.90909090909090917</v>
      </c>
      <c r="AX3" s="65">
        <f t="shared" ref="AX3:AX23" si="8">AP3/AU3</f>
        <v>2.33</v>
      </c>
      <c r="AY3" s="195">
        <v>4</v>
      </c>
      <c r="AZ3" s="195">
        <v>10</v>
      </c>
      <c r="BA3" s="195">
        <v>3</v>
      </c>
      <c r="BB3" s="195" t="s">
        <v>75</v>
      </c>
      <c r="BC3" s="196" t="s">
        <v>75</v>
      </c>
    </row>
    <row r="4" spans="2:55" ht="12.75" customHeight="1" x14ac:dyDescent="0.2">
      <c r="B4" s="69"/>
      <c r="C4" s="71"/>
      <c r="D4" s="71"/>
      <c r="E4" s="71"/>
      <c r="F4" s="82">
        <f>1.307+1.01</f>
        <v>2.3170000000000002</v>
      </c>
      <c r="G4" s="82">
        <f>I4+J4+K4+L4+M4+N4+O4</f>
        <v>4.101</v>
      </c>
      <c r="H4" s="82">
        <f>G4/F4</f>
        <v>1.7699611566681053</v>
      </c>
      <c r="I4" s="82">
        <v>0.10299999999999999</v>
      </c>
      <c r="J4" s="82">
        <v>5.2999999999999999E-2</v>
      </c>
      <c r="K4" s="82">
        <f>0.486+0.572</f>
        <v>1.0579999999999998</v>
      </c>
      <c r="L4" s="82">
        <v>0.62</v>
      </c>
      <c r="M4" s="82">
        <v>0.64400000000000002</v>
      </c>
      <c r="N4" s="82">
        <v>0.14599999999999999</v>
      </c>
      <c r="O4" s="82">
        <f>0.448+0.537+0.299+0.193</f>
        <v>1.4770000000000001</v>
      </c>
      <c r="P4" s="82">
        <f>N:N+O:O</f>
        <v>1.623</v>
      </c>
      <c r="Q4" s="82">
        <f t="shared" si="0"/>
        <v>1.5340264650283557</v>
      </c>
      <c r="R4" s="82">
        <f t="shared" si="1"/>
        <v>0.60869565217391319</v>
      </c>
      <c r="S4" s="82">
        <f t="shared" si="2"/>
        <v>0.5860113421550095</v>
      </c>
      <c r="T4" s="82">
        <f t="shared" si="3"/>
        <v>10.116438356164386</v>
      </c>
      <c r="U4" s="82">
        <v>0.32700000000000001</v>
      </c>
      <c r="V4" s="82">
        <f t="shared" ref="V4:V24" si="9">G4/U4</f>
        <v>12.541284403669724</v>
      </c>
      <c r="W4" s="82" t="s">
        <v>75</v>
      </c>
      <c r="X4" s="82" t="s">
        <v>75</v>
      </c>
      <c r="Y4" s="82" t="s">
        <v>75</v>
      </c>
      <c r="Z4" s="82" t="s">
        <v>75</v>
      </c>
      <c r="AA4" s="82" t="s">
        <v>75</v>
      </c>
      <c r="AB4" s="197" t="s">
        <v>75</v>
      </c>
      <c r="AC4" s="82" t="s">
        <v>75</v>
      </c>
      <c r="AD4" s="197" t="s">
        <v>75</v>
      </c>
      <c r="AE4" s="82" t="s">
        <v>75</v>
      </c>
      <c r="AF4" s="82" t="s">
        <v>75</v>
      </c>
      <c r="AG4" s="82" t="s">
        <v>75</v>
      </c>
      <c r="AH4" s="197" t="s">
        <v>75</v>
      </c>
      <c r="AI4" s="82">
        <v>0.09</v>
      </c>
      <c r="AJ4" s="82" t="s">
        <v>75</v>
      </c>
      <c r="AK4" s="197" t="s">
        <v>75</v>
      </c>
      <c r="AL4" s="197" t="s">
        <v>75</v>
      </c>
      <c r="AM4" s="197">
        <f>AI4/N4</f>
        <v>0.61643835616438358</v>
      </c>
      <c r="AN4" s="197">
        <f t="shared" ref="AN4:AN23" si="10">AI4/K4</f>
        <v>8.5066162570888476E-2</v>
      </c>
      <c r="AO4" s="197">
        <f t="shared" si="4"/>
        <v>0.36290322580645162</v>
      </c>
      <c r="AP4" s="82">
        <v>0.248</v>
      </c>
      <c r="AQ4" s="82">
        <v>9.7000000000000003E-2</v>
      </c>
      <c r="AR4" s="197">
        <f t="shared" si="5"/>
        <v>0.10703495899870522</v>
      </c>
      <c r="AS4" s="197">
        <f t="shared" si="6"/>
        <v>2.5567010309278349</v>
      </c>
      <c r="AT4" s="197">
        <f>AP4/K4</f>
        <v>0.23440453686200383</v>
      </c>
      <c r="AU4" s="82">
        <v>0.1</v>
      </c>
      <c r="AV4" s="82">
        <v>0.11</v>
      </c>
      <c r="AW4" s="197">
        <f t="shared" ref="AW4" si="11">AU4/AV4</f>
        <v>0.90909090909090917</v>
      </c>
      <c r="AX4" s="82">
        <f t="shared" ref="AX4" si="12">AP4/AU4</f>
        <v>2.48</v>
      </c>
      <c r="AY4" s="198" t="s">
        <v>75</v>
      </c>
      <c r="AZ4" s="198">
        <v>11</v>
      </c>
      <c r="BA4" s="198" t="s">
        <v>75</v>
      </c>
      <c r="BB4" s="198" t="s">
        <v>75</v>
      </c>
      <c r="BC4" s="199" t="s">
        <v>75</v>
      </c>
    </row>
    <row r="5" spans="2:55" ht="12.75" customHeight="1" x14ac:dyDescent="0.2">
      <c r="B5" s="86">
        <v>21482</v>
      </c>
      <c r="C5" s="76" t="s">
        <v>221</v>
      </c>
      <c r="D5" s="77" t="s">
        <v>222</v>
      </c>
      <c r="E5" s="77" t="s">
        <v>177</v>
      </c>
      <c r="F5" s="80">
        <f>1.29+1.081</f>
        <v>2.371</v>
      </c>
      <c r="G5" s="80">
        <f>I5+J5+K5+L5+M5+N5+O5</f>
        <v>4.3849999999999998</v>
      </c>
      <c r="H5" s="80">
        <f>G5/F5</f>
        <v>1.8494306199915647</v>
      </c>
      <c r="I5" s="80">
        <v>0.114</v>
      </c>
      <c r="J5" s="80">
        <v>5.8999999999999997E-2</v>
      </c>
      <c r="K5" s="80">
        <v>1.0840000000000001</v>
      </c>
      <c r="L5" s="80">
        <v>0.72</v>
      </c>
      <c r="M5" s="80">
        <v>0.72</v>
      </c>
      <c r="N5" s="80">
        <v>0.128</v>
      </c>
      <c r="O5" s="80">
        <f>0.67+0.89</f>
        <v>1.56</v>
      </c>
      <c r="P5" s="80">
        <f>N:N+O:O</f>
        <v>1.6880000000000002</v>
      </c>
      <c r="Q5" s="80">
        <f t="shared" si="0"/>
        <v>1.5571955719557196</v>
      </c>
      <c r="R5" s="80">
        <f t="shared" si="1"/>
        <v>0.66420664206642055</v>
      </c>
      <c r="S5" s="80">
        <f t="shared" si="2"/>
        <v>0.66420664206642055</v>
      </c>
      <c r="T5" s="80">
        <f t="shared" si="3"/>
        <v>12.1875</v>
      </c>
      <c r="U5" s="80">
        <v>0.34899999999999998</v>
      </c>
      <c r="V5" s="80">
        <f t="shared" si="9"/>
        <v>12.564469914040115</v>
      </c>
      <c r="W5" s="80">
        <v>0.72199999999999998</v>
      </c>
      <c r="X5" s="80">
        <v>0.14499999999999999</v>
      </c>
      <c r="Y5" s="80">
        <f>W:W/X:X</f>
        <v>4.9793103448275859</v>
      </c>
      <c r="Z5" s="80">
        <v>0.45600000000000002</v>
      </c>
      <c r="AA5" s="80">
        <v>0.63500000000000001</v>
      </c>
      <c r="AB5" s="187">
        <f>AA5/F5</f>
        <v>0.26781948544917755</v>
      </c>
      <c r="AC5" s="80">
        <v>1.395</v>
      </c>
      <c r="AD5" s="187">
        <f>AC5/F5</f>
        <v>0.58835934204976803</v>
      </c>
      <c r="AE5" s="80">
        <v>9.9000000000000005E-2</v>
      </c>
      <c r="AF5" s="80">
        <f t="shared" ref="AF5:AF24" si="13">AE5/K5</f>
        <v>9.1328413284132839E-2</v>
      </c>
      <c r="AG5" s="80">
        <f>AE:AE/P:P</f>
        <v>5.8649289099526061E-2</v>
      </c>
      <c r="AH5" s="187">
        <f>AE5/N5</f>
        <v>0.7734375</v>
      </c>
      <c r="AI5" s="80" t="s">
        <v>75</v>
      </c>
      <c r="AJ5" s="80" t="s">
        <v>75</v>
      </c>
      <c r="AK5" s="187" t="s">
        <v>75</v>
      </c>
      <c r="AL5" s="187" t="s">
        <v>75</v>
      </c>
      <c r="AM5" s="187" t="s">
        <v>75</v>
      </c>
      <c r="AN5" s="187" t="s">
        <v>75</v>
      </c>
      <c r="AO5" s="187" t="s">
        <v>75</v>
      </c>
      <c r="AP5" s="80">
        <v>0.26</v>
      </c>
      <c r="AQ5" s="80">
        <v>0.14299999999999999</v>
      </c>
      <c r="AR5" s="187">
        <f t="shared" si="5"/>
        <v>0.10965837199493884</v>
      </c>
      <c r="AS5" s="187">
        <f t="shared" si="6"/>
        <v>1.8181818181818183</v>
      </c>
      <c r="AT5" s="187">
        <f>AP5/K5</f>
        <v>0.23985239852398524</v>
      </c>
      <c r="AU5" s="80">
        <v>0.14000000000000001</v>
      </c>
      <c r="AV5" s="80">
        <v>8.2000000000000003E-2</v>
      </c>
      <c r="AW5" s="187">
        <f t="shared" si="7"/>
        <v>1.7073170731707319</v>
      </c>
      <c r="AX5" s="80">
        <f t="shared" si="8"/>
        <v>1.857142857142857</v>
      </c>
      <c r="AY5" s="141">
        <v>4</v>
      </c>
      <c r="AZ5" s="141">
        <v>10</v>
      </c>
      <c r="BA5" s="141" t="s">
        <v>75</v>
      </c>
      <c r="BB5" s="141">
        <v>5</v>
      </c>
      <c r="BC5" s="188">
        <v>5</v>
      </c>
    </row>
    <row r="6" spans="2:55" ht="12.75" customHeight="1" x14ac:dyDescent="0.2">
      <c r="B6" s="75"/>
      <c r="C6" s="77"/>
      <c r="D6" s="77"/>
      <c r="E6" s="77"/>
      <c r="F6" s="80">
        <f>1.29+1.081</f>
        <v>2.371</v>
      </c>
      <c r="G6" s="80" t="s">
        <v>75</v>
      </c>
      <c r="H6" s="80" t="s">
        <v>75</v>
      </c>
      <c r="I6" s="80">
        <v>0.111</v>
      </c>
      <c r="J6" s="80">
        <v>5.8000000000000003E-2</v>
      </c>
      <c r="K6" s="80">
        <v>1.0780000000000001</v>
      </c>
      <c r="L6" s="80">
        <v>0.72</v>
      </c>
      <c r="M6" s="80" t="s">
        <v>75</v>
      </c>
      <c r="N6" s="80" t="s">
        <v>75</v>
      </c>
      <c r="O6" s="80" t="s">
        <v>75</v>
      </c>
      <c r="P6" s="80" t="s">
        <v>75</v>
      </c>
      <c r="Q6" s="80" t="s">
        <v>75</v>
      </c>
      <c r="R6" s="80" t="s">
        <v>75</v>
      </c>
      <c r="S6" s="80">
        <f t="shared" si="2"/>
        <v>0.66790352504638217</v>
      </c>
      <c r="T6" s="80" t="s">
        <v>75</v>
      </c>
      <c r="U6" s="80">
        <v>0.34899999999999998</v>
      </c>
      <c r="V6" s="80" t="s">
        <v>75</v>
      </c>
      <c r="W6" s="80">
        <v>0.78600000000000003</v>
      </c>
      <c r="X6" s="80">
        <v>0.13900000000000001</v>
      </c>
      <c r="Y6" s="80">
        <f>W:W/X:X</f>
        <v>5.6546762589928052</v>
      </c>
      <c r="Z6" s="80">
        <v>0.44900000000000001</v>
      </c>
      <c r="AA6" s="80">
        <v>0.66200000000000003</v>
      </c>
      <c r="AB6" s="187">
        <f>AA6/F6</f>
        <v>0.27920708561788277</v>
      </c>
      <c r="AC6" s="80">
        <v>1.4</v>
      </c>
      <c r="AD6" s="187">
        <f>AC6/F6</f>
        <v>0.59046815689582455</v>
      </c>
      <c r="AE6" s="80">
        <v>0.108</v>
      </c>
      <c r="AF6" s="80">
        <f t="shared" si="13"/>
        <v>0.10018552875695733</v>
      </c>
      <c r="AG6" s="80" t="s">
        <v>75</v>
      </c>
      <c r="AH6" s="187" t="s">
        <v>75</v>
      </c>
      <c r="AI6" s="80" t="s">
        <v>75</v>
      </c>
      <c r="AJ6" s="80" t="s">
        <v>75</v>
      </c>
      <c r="AK6" s="187" t="s">
        <v>75</v>
      </c>
      <c r="AL6" s="187" t="s">
        <v>75</v>
      </c>
      <c r="AM6" s="187" t="s">
        <v>75</v>
      </c>
      <c r="AN6" s="187" t="s">
        <v>75</v>
      </c>
      <c r="AO6" s="187" t="s">
        <v>75</v>
      </c>
      <c r="AP6" s="80">
        <v>0.27100000000000002</v>
      </c>
      <c r="AQ6" s="80">
        <v>0.13800000000000001</v>
      </c>
      <c r="AR6" s="187">
        <f t="shared" si="5"/>
        <v>0.11429776465626319</v>
      </c>
      <c r="AS6" s="187">
        <f t="shared" si="6"/>
        <v>1.963768115942029</v>
      </c>
      <c r="AT6" s="187">
        <f>AP6/K6</f>
        <v>0.25139146567717996</v>
      </c>
      <c r="AU6" s="80">
        <v>0.14000000000000001</v>
      </c>
      <c r="AV6" s="80">
        <v>8.2000000000000003E-2</v>
      </c>
      <c r="AW6" s="187">
        <f t="shared" ref="AW6" si="14">AU6/AV6</f>
        <v>1.7073170731707319</v>
      </c>
      <c r="AX6" s="80">
        <f t="shared" ref="AX6" si="15">AP6/AU6</f>
        <v>1.9357142857142857</v>
      </c>
      <c r="AY6" s="141" t="s">
        <v>75</v>
      </c>
      <c r="AZ6" s="141" t="s">
        <v>75</v>
      </c>
      <c r="BA6" s="141" t="s">
        <v>75</v>
      </c>
      <c r="BB6" s="141" t="s">
        <v>75</v>
      </c>
      <c r="BC6" s="188" t="s">
        <v>75</v>
      </c>
    </row>
    <row r="7" spans="2:55" ht="12.75" customHeight="1" x14ac:dyDescent="0.2">
      <c r="B7" s="83">
        <v>21482</v>
      </c>
      <c r="C7" s="70" t="s">
        <v>221</v>
      </c>
      <c r="D7" s="71" t="s">
        <v>236</v>
      </c>
      <c r="E7" s="71" t="s">
        <v>177</v>
      </c>
      <c r="F7" s="82">
        <f>1.049+1.38</f>
        <v>2.4289999999999998</v>
      </c>
      <c r="G7" s="82" t="s">
        <v>75</v>
      </c>
      <c r="H7" s="82" t="s">
        <v>75</v>
      </c>
      <c r="I7" s="82">
        <v>0.11</v>
      </c>
      <c r="J7" s="82">
        <v>0.06</v>
      </c>
      <c r="K7" s="82">
        <v>0.95</v>
      </c>
      <c r="L7" s="82">
        <f>0.41+0.32</f>
        <v>0.73</v>
      </c>
      <c r="M7" s="82">
        <v>0.77</v>
      </c>
      <c r="N7" s="82">
        <v>0.13</v>
      </c>
      <c r="O7" s="82" t="s">
        <v>75</v>
      </c>
      <c r="P7" s="82" t="s">
        <v>75</v>
      </c>
      <c r="Q7" s="82" t="s">
        <v>75</v>
      </c>
      <c r="R7" s="82">
        <f t="shared" si="1"/>
        <v>0.81052631578947376</v>
      </c>
      <c r="S7" s="82">
        <f t="shared" si="2"/>
        <v>0.768421052631579</v>
      </c>
      <c r="T7" s="82" t="s">
        <v>75</v>
      </c>
      <c r="U7" s="82" t="s">
        <v>75</v>
      </c>
      <c r="V7" s="82" t="s">
        <v>75</v>
      </c>
      <c r="W7" s="82">
        <v>0.75</v>
      </c>
      <c r="X7" s="82" t="s">
        <v>75</v>
      </c>
      <c r="Y7" s="82" t="s">
        <v>75</v>
      </c>
      <c r="Z7" s="82" t="s">
        <v>75</v>
      </c>
      <c r="AA7" s="82">
        <v>0.64</v>
      </c>
      <c r="AB7" s="197">
        <f>AA7/F7</f>
        <v>0.26348291477974478</v>
      </c>
      <c r="AC7" s="82">
        <f>0.81+0.48</f>
        <v>1.29</v>
      </c>
      <c r="AD7" s="197">
        <f>AC7/F7</f>
        <v>0.53108275010292305</v>
      </c>
      <c r="AE7" s="82">
        <v>0.107</v>
      </c>
      <c r="AF7" s="82">
        <f t="shared" si="13"/>
        <v>0.11263157894736843</v>
      </c>
      <c r="AG7" s="82" t="s">
        <v>75</v>
      </c>
      <c r="AH7" s="197">
        <f>AE7/N7</f>
        <v>0.82307692307692304</v>
      </c>
      <c r="AI7" s="82">
        <v>0.09</v>
      </c>
      <c r="AJ7" s="82">
        <v>6.8000000000000005E-2</v>
      </c>
      <c r="AK7" s="197">
        <f t="shared" ref="AK7:AK23" si="16">AI7/AJ7</f>
        <v>1.3235294117647058</v>
      </c>
      <c r="AL7" s="197">
        <f>AI7/AE7</f>
        <v>0.84112149532710279</v>
      </c>
      <c r="AM7" s="197">
        <f>AI7/N7</f>
        <v>0.69230769230769229</v>
      </c>
      <c r="AN7" s="197">
        <f t="shared" si="10"/>
        <v>9.4736842105263161E-2</v>
      </c>
      <c r="AO7" s="197">
        <f t="shared" si="4"/>
        <v>0.34351145038167935</v>
      </c>
      <c r="AP7" s="82">
        <v>0.26200000000000001</v>
      </c>
      <c r="AQ7" s="82">
        <v>0.1</v>
      </c>
      <c r="AR7" s="197">
        <f t="shared" si="5"/>
        <v>0.10786331823795801</v>
      </c>
      <c r="AS7" s="197">
        <f t="shared" si="6"/>
        <v>2.62</v>
      </c>
      <c r="AT7" s="197">
        <f>AP7/K7</f>
        <v>0.27578947368421053</v>
      </c>
      <c r="AU7" s="82">
        <v>0.13</v>
      </c>
      <c r="AV7" s="82">
        <v>0.106</v>
      </c>
      <c r="AW7" s="197">
        <f t="shared" si="7"/>
        <v>1.2264150943396228</v>
      </c>
      <c r="AX7" s="82">
        <f t="shared" si="8"/>
        <v>2.0153846153846153</v>
      </c>
      <c r="AY7" s="198">
        <v>5</v>
      </c>
      <c r="AZ7" s="198">
        <v>10</v>
      </c>
      <c r="BA7" s="198">
        <v>8</v>
      </c>
      <c r="BB7" s="198">
        <v>5</v>
      </c>
      <c r="BC7" s="199">
        <v>5</v>
      </c>
    </row>
    <row r="8" spans="2:55" ht="12.75" customHeight="1" x14ac:dyDescent="0.2">
      <c r="B8" s="69"/>
      <c r="C8" s="71"/>
      <c r="D8" s="71"/>
      <c r="E8" s="71"/>
      <c r="F8" s="82">
        <f>1.049+1.38</f>
        <v>2.4289999999999998</v>
      </c>
      <c r="G8" s="82" t="s">
        <v>75</v>
      </c>
      <c r="H8" s="82" t="s">
        <v>75</v>
      </c>
      <c r="I8" s="82" t="s">
        <v>75</v>
      </c>
      <c r="J8" s="82" t="s">
        <v>75</v>
      </c>
      <c r="K8" s="82" t="s">
        <v>75</v>
      </c>
      <c r="L8" s="82" t="s">
        <v>75</v>
      </c>
      <c r="M8" s="82" t="s">
        <v>75</v>
      </c>
      <c r="N8" s="82" t="s">
        <v>75</v>
      </c>
      <c r="O8" s="82" t="s">
        <v>75</v>
      </c>
      <c r="P8" s="82" t="s">
        <v>75</v>
      </c>
      <c r="Q8" s="82" t="s">
        <v>75</v>
      </c>
      <c r="R8" s="82" t="s">
        <v>75</v>
      </c>
      <c r="S8" s="82" t="s">
        <v>75</v>
      </c>
      <c r="T8" s="82" t="s">
        <v>75</v>
      </c>
      <c r="U8" s="82" t="s">
        <v>75</v>
      </c>
      <c r="V8" s="82" t="s">
        <v>75</v>
      </c>
      <c r="W8" s="82" t="s">
        <v>75</v>
      </c>
      <c r="X8" s="82" t="s">
        <v>75</v>
      </c>
      <c r="Y8" s="82" t="s">
        <v>75</v>
      </c>
      <c r="Z8" s="82" t="s">
        <v>75</v>
      </c>
      <c r="AA8" s="82" t="s">
        <v>75</v>
      </c>
      <c r="AB8" s="197" t="s">
        <v>75</v>
      </c>
      <c r="AC8" s="82" t="s">
        <v>75</v>
      </c>
      <c r="AD8" s="197" t="s">
        <v>75</v>
      </c>
      <c r="AE8" s="82" t="s">
        <v>75</v>
      </c>
      <c r="AF8" s="82" t="s">
        <v>75</v>
      </c>
      <c r="AG8" s="82" t="s">
        <v>75</v>
      </c>
      <c r="AH8" s="197" t="s">
        <v>75</v>
      </c>
      <c r="AI8" s="82">
        <v>0.09</v>
      </c>
      <c r="AJ8" s="82">
        <v>6.8000000000000005E-2</v>
      </c>
      <c r="AK8" s="197">
        <f t="shared" si="16"/>
        <v>1.3235294117647058</v>
      </c>
      <c r="AL8" s="197" t="s">
        <v>75</v>
      </c>
      <c r="AM8" s="197" t="s">
        <v>75</v>
      </c>
      <c r="AN8" s="197" t="s">
        <v>75</v>
      </c>
      <c r="AO8" s="197">
        <f t="shared" si="4"/>
        <v>0.33333333333333331</v>
      </c>
      <c r="AP8" s="82">
        <v>0.27</v>
      </c>
      <c r="AQ8" s="82">
        <v>0.108</v>
      </c>
      <c r="AR8" s="197">
        <f t="shared" si="5"/>
        <v>0.11115685467270484</v>
      </c>
      <c r="AS8" s="197">
        <f t="shared" si="6"/>
        <v>2.5</v>
      </c>
      <c r="AT8" s="197" t="s">
        <v>75</v>
      </c>
      <c r="AU8" s="82">
        <v>0.13</v>
      </c>
      <c r="AV8" s="82">
        <v>0.106</v>
      </c>
      <c r="AW8" s="197">
        <f t="shared" ref="AW8" si="17">AU8/AV8</f>
        <v>1.2264150943396228</v>
      </c>
      <c r="AX8" s="82">
        <f t="shared" ref="AX8" si="18">AP8/AU8</f>
        <v>2.0769230769230771</v>
      </c>
      <c r="AY8" s="198" t="s">
        <v>75</v>
      </c>
      <c r="AZ8" s="198" t="s">
        <v>75</v>
      </c>
      <c r="BA8" s="198" t="s">
        <v>75</v>
      </c>
      <c r="BB8" s="198" t="s">
        <v>75</v>
      </c>
      <c r="BC8" s="199" t="s">
        <v>75</v>
      </c>
    </row>
    <row r="9" spans="2:55" ht="12.75" customHeight="1" x14ac:dyDescent="0.2">
      <c r="B9" s="86">
        <v>21736</v>
      </c>
      <c r="C9" s="76" t="s">
        <v>221</v>
      </c>
      <c r="D9" s="77" t="s">
        <v>194</v>
      </c>
      <c r="E9" s="77" t="s">
        <v>177</v>
      </c>
      <c r="F9" s="80">
        <v>1.05</v>
      </c>
      <c r="G9" s="80" t="s">
        <v>75</v>
      </c>
      <c r="H9" s="80" t="s">
        <v>75</v>
      </c>
      <c r="I9" s="80" t="s">
        <v>75</v>
      </c>
      <c r="J9" s="80" t="s">
        <v>75</v>
      </c>
      <c r="K9" s="80" t="s">
        <v>75</v>
      </c>
      <c r="L9" s="80" t="s">
        <v>75</v>
      </c>
      <c r="M9" s="80" t="s">
        <v>75</v>
      </c>
      <c r="N9" s="80" t="s">
        <v>75</v>
      </c>
      <c r="O9" s="80" t="s">
        <v>75</v>
      </c>
      <c r="P9" s="80" t="s">
        <v>75</v>
      </c>
      <c r="Q9" s="80" t="s">
        <v>75</v>
      </c>
      <c r="R9" s="80" t="s">
        <v>75</v>
      </c>
      <c r="S9" s="80" t="s">
        <v>75</v>
      </c>
      <c r="T9" s="80" t="s">
        <v>75</v>
      </c>
      <c r="U9" s="80" t="s">
        <v>75</v>
      </c>
      <c r="V9" s="80" t="s">
        <v>75</v>
      </c>
      <c r="W9" s="80" t="s">
        <v>75</v>
      </c>
      <c r="X9" s="80" t="s">
        <v>75</v>
      </c>
      <c r="Y9" s="80" t="s">
        <v>75</v>
      </c>
      <c r="Z9" s="80" t="s">
        <v>75</v>
      </c>
      <c r="AA9" s="80" t="s">
        <v>75</v>
      </c>
      <c r="AB9" s="187" t="s">
        <v>75</v>
      </c>
      <c r="AC9" s="80" t="s">
        <v>75</v>
      </c>
      <c r="AD9" s="187" t="s">
        <v>75</v>
      </c>
      <c r="AE9" s="80" t="s">
        <v>75</v>
      </c>
      <c r="AF9" s="80" t="s">
        <v>75</v>
      </c>
      <c r="AG9" s="80" t="s">
        <v>75</v>
      </c>
      <c r="AH9" s="187" t="s">
        <v>75</v>
      </c>
      <c r="AI9" s="80" t="s">
        <v>75</v>
      </c>
      <c r="AJ9" s="80" t="s">
        <v>75</v>
      </c>
      <c r="AK9" s="187" t="s">
        <v>75</v>
      </c>
      <c r="AL9" s="187" t="s">
        <v>75</v>
      </c>
      <c r="AM9" s="187" t="s">
        <v>75</v>
      </c>
      <c r="AN9" s="187" t="s">
        <v>75</v>
      </c>
      <c r="AO9" s="187" t="s">
        <v>75</v>
      </c>
      <c r="AP9" s="80" t="s">
        <v>75</v>
      </c>
      <c r="AQ9" s="80" t="s">
        <v>75</v>
      </c>
      <c r="AR9" s="187" t="s">
        <v>75</v>
      </c>
      <c r="AS9" s="187" t="s">
        <v>75</v>
      </c>
      <c r="AT9" s="187" t="s">
        <v>75</v>
      </c>
      <c r="AU9" s="80">
        <v>7.6999999999999999E-2</v>
      </c>
      <c r="AV9" s="80">
        <v>9.0999999999999998E-2</v>
      </c>
      <c r="AW9" s="187">
        <f t="shared" si="7"/>
        <v>0.84615384615384615</v>
      </c>
      <c r="AX9" s="80" t="s">
        <v>75</v>
      </c>
      <c r="AY9" s="141">
        <v>4</v>
      </c>
      <c r="AZ9" s="141" t="s">
        <v>75</v>
      </c>
      <c r="BA9" s="141" t="s">
        <v>75</v>
      </c>
      <c r="BB9" s="141" t="s">
        <v>75</v>
      </c>
      <c r="BC9" s="188">
        <v>4</v>
      </c>
    </row>
    <row r="10" spans="2:55" ht="12.75" customHeight="1" x14ac:dyDescent="0.2">
      <c r="B10" s="75"/>
      <c r="C10" s="77"/>
      <c r="D10" s="77"/>
      <c r="E10" s="77"/>
      <c r="F10" s="80">
        <v>1.05</v>
      </c>
      <c r="G10" s="80" t="s">
        <v>75</v>
      </c>
      <c r="H10" s="80" t="s">
        <v>75</v>
      </c>
      <c r="I10" s="80" t="s">
        <v>75</v>
      </c>
      <c r="J10" s="80" t="s">
        <v>75</v>
      </c>
      <c r="K10" s="80" t="s">
        <v>75</v>
      </c>
      <c r="L10" s="80" t="s">
        <v>75</v>
      </c>
      <c r="M10" s="80" t="s">
        <v>75</v>
      </c>
      <c r="N10" s="80" t="s">
        <v>75</v>
      </c>
      <c r="O10" s="80" t="s">
        <v>75</v>
      </c>
      <c r="P10" s="80" t="s">
        <v>75</v>
      </c>
      <c r="Q10" s="80" t="s">
        <v>75</v>
      </c>
      <c r="R10" s="80" t="s">
        <v>75</v>
      </c>
      <c r="S10" s="80" t="s">
        <v>75</v>
      </c>
      <c r="T10" s="80" t="s">
        <v>75</v>
      </c>
      <c r="U10" s="80" t="s">
        <v>75</v>
      </c>
      <c r="V10" s="80" t="s">
        <v>75</v>
      </c>
      <c r="W10" s="80" t="s">
        <v>75</v>
      </c>
      <c r="X10" s="80" t="s">
        <v>75</v>
      </c>
      <c r="Y10" s="80" t="s">
        <v>75</v>
      </c>
      <c r="Z10" s="80" t="s">
        <v>75</v>
      </c>
      <c r="AA10" s="80" t="s">
        <v>75</v>
      </c>
      <c r="AB10" s="187" t="s">
        <v>75</v>
      </c>
      <c r="AC10" s="80" t="s">
        <v>75</v>
      </c>
      <c r="AD10" s="187" t="s">
        <v>75</v>
      </c>
      <c r="AE10" s="80" t="s">
        <v>75</v>
      </c>
      <c r="AF10" s="80" t="s">
        <v>75</v>
      </c>
      <c r="AG10" s="80" t="s">
        <v>75</v>
      </c>
      <c r="AH10" s="187" t="s">
        <v>75</v>
      </c>
      <c r="AI10" s="80" t="s">
        <v>75</v>
      </c>
      <c r="AJ10" s="80" t="s">
        <v>75</v>
      </c>
      <c r="AK10" s="187" t="s">
        <v>75</v>
      </c>
      <c r="AL10" s="187" t="s">
        <v>75</v>
      </c>
      <c r="AM10" s="187" t="s">
        <v>75</v>
      </c>
      <c r="AN10" s="187" t="s">
        <v>75</v>
      </c>
      <c r="AO10" s="187" t="s">
        <v>75</v>
      </c>
      <c r="AP10" s="80" t="s">
        <v>75</v>
      </c>
      <c r="AQ10" s="80" t="s">
        <v>75</v>
      </c>
      <c r="AR10" s="187" t="s">
        <v>75</v>
      </c>
      <c r="AS10" s="187" t="s">
        <v>75</v>
      </c>
      <c r="AT10" s="187" t="s">
        <v>75</v>
      </c>
      <c r="AU10" s="80">
        <v>7.6999999999999999E-2</v>
      </c>
      <c r="AV10" s="80">
        <v>9.0999999999999998E-2</v>
      </c>
      <c r="AW10" s="187">
        <f t="shared" ref="AW10" si="19">AU10/AV10</f>
        <v>0.84615384615384615</v>
      </c>
      <c r="AX10" s="80" t="s">
        <v>75</v>
      </c>
      <c r="AY10" s="141" t="s">
        <v>75</v>
      </c>
      <c r="AZ10" s="141" t="s">
        <v>75</v>
      </c>
      <c r="BA10" s="141" t="s">
        <v>75</v>
      </c>
      <c r="BB10" s="141" t="s">
        <v>75</v>
      </c>
      <c r="BC10" s="188" t="s">
        <v>75</v>
      </c>
    </row>
    <row r="11" spans="2:55" ht="12.75" customHeight="1" x14ac:dyDescent="0.2">
      <c r="B11" s="83">
        <v>21736</v>
      </c>
      <c r="C11" s="70" t="s">
        <v>221</v>
      </c>
      <c r="D11" s="71" t="s">
        <v>194</v>
      </c>
      <c r="E11" s="71" t="s">
        <v>177</v>
      </c>
      <c r="F11" s="82">
        <v>1.153</v>
      </c>
      <c r="G11" s="82">
        <f>I11+J11+K11+L11+M11+N11+O11</f>
        <v>3.2830000000000004</v>
      </c>
      <c r="H11" s="82">
        <f>G11/F11</f>
        <v>2.8473547267996535</v>
      </c>
      <c r="I11" s="82">
        <v>8.3000000000000004E-2</v>
      </c>
      <c r="J11" s="82">
        <v>0.05</v>
      </c>
      <c r="K11" s="82">
        <v>0.81</v>
      </c>
      <c r="L11" s="82">
        <v>0.54</v>
      </c>
      <c r="M11" s="82">
        <v>0.55000000000000004</v>
      </c>
      <c r="N11" s="82">
        <v>0.11</v>
      </c>
      <c r="O11" s="82">
        <f>0.75+0.39</f>
        <v>1.1400000000000001</v>
      </c>
      <c r="P11" s="82">
        <f>N:N+O:O</f>
        <v>1.2500000000000002</v>
      </c>
      <c r="Q11" s="82">
        <f t="shared" si="0"/>
        <v>1.5432098765432101</v>
      </c>
      <c r="R11" s="82">
        <f t="shared" si="1"/>
        <v>0.67901234567901236</v>
      </c>
      <c r="S11" s="82">
        <f t="shared" si="2"/>
        <v>0.66666666666666663</v>
      </c>
      <c r="T11" s="82">
        <f t="shared" si="3"/>
        <v>10.363636363636365</v>
      </c>
      <c r="U11" s="82">
        <v>0.25</v>
      </c>
      <c r="V11" s="82">
        <f t="shared" si="9"/>
        <v>13.132000000000001</v>
      </c>
      <c r="W11" s="82">
        <v>0.55000000000000004</v>
      </c>
      <c r="X11" s="82">
        <v>0.11</v>
      </c>
      <c r="Y11" s="82">
        <f t="shared" ref="Y11:Y17" si="20">W:W/X:X</f>
        <v>5</v>
      </c>
      <c r="Z11" s="82">
        <v>0.33</v>
      </c>
      <c r="AA11" s="82">
        <v>0.42</v>
      </c>
      <c r="AB11" s="197">
        <f t="shared" ref="AB11:AB23" si="21">AA11/F11</f>
        <v>0.36426712922810056</v>
      </c>
      <c r="AC11" s="82">
        <v>0.94</v>
      </c>
      <c r="AD11" s="197">
        <f t="shared" ref="AD11:AD23" si="22">AC11/F11</f>
        <v>0.81526452732003463</v>
      </c>
      <c r="AE11" s="82">
        <v>9.0999999999999998E-2</v>
      </c>
      <c r="AF11" s="82">
        <f t="shared" si="13"/>
        <v>0.11234567901234567</v>
      </c>
      <c r="AG11" s="82">
        <f>AE:AE/P:P</f>
        <v>7.279999999999999E-2</v>
      </c>
      <c r="AH11" s="197">
        <f t="shared" ref="AH11:AH24" si="23">AE11/N11</f>
        <v>0.82727272727272727</v>
      </c>
      <c r="AI11" s="82" t="s">
        <v>75</v>
      </c>
      <c r="AJ11" s="82" t="s">
        <v>75</v>
      </c>
      <c r="AK11" s="197" t="s">
        <v>75</v>
      </c>
      <c r="AL11" s="197" t="s">
        <v>75</v>
      </c>
      <c r="AM11" s="197" t="s">
        <v>75</v>
      </c>
      <c r="AN11" s="197" t="s">
        <v>75</v>
      </c>
      <c r="AO11" s="197" t="s">
        <v>75</v>
      </c>
      <c r="AP11" s="82">
        <v>0.16700000000000001</v>
      </c>
      <c r="AQ11" s="82">
        <v>8.4000000000000005E-2</v>
      </c>
      <c r="AR11" s="197">
        <f t="shared" ref="AR11:AR24" si="24">AP11/F11</f>
        <v>0.1448395490026019</v>
      </c>
      <c r="AS11" s="197">
        <f t="shared" si="6"/>
        <v>1.9880952380952381</v>
      </c>
      <c r="AT11" s="197">
        <f t="shared" ref="AT11:AT24" si="25">AP11/K11</f>
        <v>0.20617283950617285</v>
      </c>
      <c r="AU11" s="82" t="s">
        <v>75</v>
      </c>
      <c r="AV11" s="82" t="s">
        <v>75</v>
      </c>
      <c r="AW11" s="197" t="s">
        <v>75</v>
      </c>
      <c r="AX11" s="82" t="s">
        <v>75</v>
      </c>
      <c r="AY11" s="198">
        <v>4</v>
      </c>
      <c r="AZ11" s="198">
        <v>15</v>
      </c>
      <c r="BA11" s="198" t="s">
        <v>75</v>
      </c>
      <c r="BB11" s="198">
        <v>4</v>
      </c>
      <c r="BC11" s="199">
        <v>4</v>
      </c>
    </row>
    <row r="12" spans="2:55" ht="12.75" customHeight="1" x14ac:dyDescent="0.2">
      <c r="B12" s="69"/>
      <c r="C12" s="71"/>
      <c r="D12" s="71"/>
      <c r="E12" s="71"/>
      <c r="F12" s="82">
        <v>1.153</v>
      </c>
      <c r="G12" s="82">
        <f>I12+J12+K12+L12+M12+N12+O12</f>
        <v>3.5950000000000002</v>
      </c>
      <c r="H12" s="82">
        <f>G12/F12</f>
        <v>3.1179531656548138</v>
      </c>
      <c r="I12" s="82">
        <v>8.6999999999999994E-2</v>
      </c>
      <c r="J12" s="82">
        <v>4.5999999999999999E-2</v>
      </c>
      <c r="K12" s="82">
        <v>0.81</v>
      </c>
      <c r="L12" s="82">
        <v>0.53</v>
      </c>
      <c r="M12" s="82">
        <v>0.56999999999999995</v>
      </c>
      <c r="N12" s="82">
        <v>0.13</v>
      </c>
      <c r="O12" s="82">
        <f>0.759+0.663</f>
        <v>1.4220000000000002</v>
      </c>
      <c r="P12" s="82">
        <f>N:N+O:O</f>
        <v>1.552</v>
      </c>
      <c r="Q12" s="82">
        <f t="shared" si="0"/>
        <v>1.9160493827160494</v>
      </c>
      <c r="R12" s="82">
        <f t="shared" si="1"/>
        <v>0.70370370370370361</v>
      </c>
      <c r="S12" s="82">
        <f t="shared" si="2"/>
        <v>0.65432098765432101</v>
      </c>
      <c r="T12" s="82">
        <f t="shared" si="3"/>
        <v>10.938461538461539</v>
      </c>
      <c r="U12" s="82">
        <v>0.25</v>
      </c>
      <c r="V12" s="82">
        <f t="shared" si="9"/>
        <v>14.38</v>
      </c>
      <c r="W12" s="82">
        <v>0.56000000000000005</v>
      </c>
      <c r="X12" s="82">
        <v>0.11</v>
      </c>
      <c r="Y12" s="82">
        <f t="shared" si="20"/>
        <v>5.0909090909090917</v>
      </c>
      <c r="Z12" s="82">
        <v>0.33</v>
      </c>
      <c r="AA12" s="82">
        <v>0.43</v>
      </c>
      <c r="AB12" s="197">
        <f t="shared" si="21"/>
        <v>0.37294015611448394</v>
      </c>
      <c r="AC12" s="82">
        <v>0.95</v>
      </c>
      <c r="AD12" s="197">
        <f t="shared" si="22"/>
        <v>0.82393755420641801</v>
      </c>
      <c r="AE12" s="82">
        <v>9.2999999999999999E-2</v>
      </c>
      <c r="AF12" s="82">
        <f t="shared" si="13"/>
        <v>0.1148148148148148</v>
      </c>
      <c r="AG12" s="82">
        <f>AE:AE/P:P</f>
        <v>5.9922680412371129E-2</v>
      </c>
      <c r="AH12" s="197">
        <f t="shared" si="23"/>
        <v>0.7153846153846154</v>
      </c>
      <c r="AI12" s="82" t="s">
        <v>75</v>
      </c>
      <c r="AJ12" s="82" t="s">
        <v>75</v>
      </c>
      <c r="AK12" s="197" t="s">
        <v>75</v>
      </c>
      <c r="AL12" s="197" t="s">
        <v>75</v>
      </c>
      <c r="AM12" s="197" t="s">
        <v>75</v>
      </c>
      <c r="AN12" s="197" t="s">
        <v>75</v>
      </c>
      <c r="AO12" s="197" t="s">
        <v>75</v>
      </c>
      <c r="AP12" s="82">
        <v>0.16900000000000001</v>
      </c>
      <c r="AQ12" s="82">
        <v>0.08</v>
      </c>
      <c r="AR12" s="197">
        <f t="shared" si="24"/>
        <v>0.14657415437987859</v>
      </c>
      <c r="AS12" s="197">
        <f t="shared" si="6"/>
        <v>2.1125000000000003</v>
      </c>
      <c r="AT12" s="197">
        <f t="shared" si="25"/>
        <v>0.20864197530864198</v>
      </c>
      <c r="AU12" s="82" t="s">
        <v>75</v>
      </c>
      <c r="AV12" s="82" t="s">
        <v>75</v>
      </c>
      <c r="AW12" s="197" t="s">
        <v>75</v>
      </c>
      <c r="AX12" s="82" t="s">
        <v>75</v>
      </c>
      <c r="AY12" s="198" t="s">
        <v>75</v>
      </c>
      <c r="AZ12" s="198">
        <v>16</v>
      </c>
      <c r="BA12" s="198" t="s">
        <v>75</v>
      </c>
      <c r="BB12" s="198" t="s">
        <v>75</v>
      </c>
      <c r="BC12" s="199" t="s">
        <v>75</v>
      </c>
    </row>
    <row r="13" spans="2:55" ht="12.75" customHeight="1" x14ac:dyDescent="0.2">
      <c r="B13" s="86">
        <v>23548</v>
      </c>
      <c r="C13" s="76" t="s">
        <v>221</v>
      </c>
      <c r="D13" s="77" t="s">
        <v>237</v>
      </c>
      <c r="E13" s="77" t="s">
        <v>177</v>
      </c>
      <c r="F13" s="187">
        <f>1.44+0.97</f>
        <v>2.41</v>
      </c>
      <c r="G13" s="80">
        <f>I13+J13+K13+L13+M13+N13+O13</f>
        <v>3.62</v>
      </c>
      <c r="H13" s="80">
        <f>G13/F13</f>
        <v>1.5020746887966805</v>
      </c>
      <c r="I13" s="187">
        <v>0.09</v>
      </c>
      <c r="J13" s="187">
        <v>0.05</v>
      </c>
      <c r="K13" s="187">
        <v>0.89</v>
      </c>
      <c r="L13" s="187">
        <v>0.59</v>
      </c>
      <c r="M13" s="187">
        <v>0.55000000000000004</v>
      </c>
      <c r="N13" s="187">
        <v>0.12</v>
      </c>
      <c r="O13" s="187">
        <v>1.33</v>
      </c>
      <c r="P13" s="80">
        <f>N:N+O:O</f>
        <v>1.4500000000000002</v>
      </c>
      <c r="Q13" s="80">
        <f t="shared" si="0"/>
        <v>1.6292134831460676</v>
      </c>
      <c r="R13" s="80">
        <f t="shared" si="1"/>
        <v>0.61797752808988771</v>
      </c>
      <c r="S13" s="80">
        <f t="shared" si="2"/>
        <v>0.6629213483146067</v>
      </c>
      <c r="T13" s="80">
        <f t="shared" si="3"/>
        <v>11.083333333333334</v>
      </c>
      <c r="U13" s="187">
        <v>0.33</v>
      </c>
      <c r="V13" s="80">
        <f t="shared" si="9"/>
        <v>10.969696969696969</v>
      </c>
      <c r="W13" s="187">
        <v>0.72</v>
      </c>
      <c r="X13" s="187">
        <v>0.13</v>
      </c>
      <c r="Y13" s="80">
        <f t="shared" si="20"/>
        <v>5.5384615384615383</v>
      </c>
      <c r="Z13" s="187">
        <v>0.48</v>
      </c>
      <c r="AA13" s="187">
        <v>0.63</v>
      </c>
      <c r="AB13" s="187">
        <f t="shared" si="21"/>
        <v>0.2614107883817427</v>
      </c>
      <c r="AC13" s="187">
        <v>1.27</v>
      </c>
      <c r="AD13" s="187">
        <f t="shared" si="22"/>
        <v>0.52697095435684649</v>
      </c>
      <c r="AE13" s="187">
        <v>0.12</v>
      </c>
      <c r="AF13" s="80">
        <f t="shared" si="13"/>
        <v>0.1348314606741573</v>
      </c>
      <c r="AG13" s="80">
        <f>AE:AE/P:P</f>
        <v>8.2758620689655157E-2</v>
      </c>
      <c r="AH13" s="187">
        <f t="shared" si="23"/>
        <v>1</v>
      </c>
      <c r="AI13" s="187" t="s">
        <v>75</v>
      </c>
      <c r="AJ13" s="187" t="s">
        <v>75</v>
      </c>
      <c r="AK13" s="187" t="s">
        <v>75</v>
      </c>
      <c r="AL13" s="187" t="s">
        <v>75</v>
      </c>
      <c r="AM13" s="187" t="s">
        <v>75</v>
      </c>
      <c r="AN13" s="187" t="s">
        <v>75</v>
      </c>
      <c r="AO13" s="187" t="s">
        <v>75</v>
      </c>
      <c r="AP13" s="187">
        <v>0.27</v>
      </c>
      <c r="AQ13" s="187">
        <v>0.12</v>
      </c>
      <c r="AR13" s="187">
        <f t="shared" si="24"/>
        <v>0.11203319502074689</v>
      </c>
      <c r="AS13" s="187">
        <f t="shared" si="6"/>
        <v>2.2500000000000004</v>
      </c>
      <c r="AT13" s="187">
        <f t="shared" si="25"/>
        <v>0.30337078651685395</v>
      </c>
      <c r="AU13" s="187">
        <v>0.12</v>
      </c>
      <c r="AV13" s="187">
        <v>0.14000000000000001</v>
      </c>
      <c r="AW13" s="187">
        <f t="shared" si="7"/>
        <v>0.85714285714285698</v>
      </c>
      <c r="AX13" s="80">
        <f t="shared" si="8"/>
        <v>2.2500000000000004</v>
      </c>
      <c r="AY13" s="189">
        <v>5</v>
      </c>
      <c r="AZ13" s="141">
        <v>10</v>
      </c>
      <c r="BA13" s="189" t="s">
        <v>75</v>
      </c>
      <c r="BB13" s="189">
        <v>6</v>
      </c>
      <c r="BC13" s="190">
        <v>7</v>
      </c>
    </row>
    <row r="14" spans="2:55" ht="12.75" customHeight="1" x14ac:dyDescent="0.2">
      <c r="B14" s="75"/>
      <c r="C14" s="77"/>
      <c r="D14" s="77"/>
      <c r="E14" s="77"/>
      <c r="F14" s="187">
        <f>1.44+0.97</f>
        <v>2.41</v>
      </c>
      <c r="G14" s="80" t="s">
        <v>75</v>
      </c>
      <c r="H14" s="80" t="s">
        <v>75</v>
      </c>
      <c r="I14" s="187">
        <v>0.11</v>
      </c>
      <c r="J14" s="187">
        <v>0.05</v>
      </c>
      <c r="K14" s="187">
        <v>0.9</v>
      </c>
      <c r="L14" s="187">
        <v>0.56999999999999995</v>
      </c>
      <c r="M14" s="187">
        <v>0.56000000000000005</v>
      </c>
      <c r="N14" s="187">
        <v>0.12</v>
      </c>
      <c r="O14" s="187" t="s">
        <v>75</v>
      </c>
      <c r="P14" s="80" t="s">
        <v>75</v>
      </c>
      <c r="Q14" s="80" t="s">
        <v>75</v>
      </c>
      <c r="R14" s="80">
        <f t="shared" si="1"/>
        <v>0.62222222222222223</v>
      </c>
      <c r="S14" s="80">
        <f t="shared" si="2"/>
        <v>0.6333333333333333</v>
      </c>
      <c r="T14" s="80" t="s">
        <v>75</v>
      </c>
      <c r="U14" s="187">
        <v>0.33</v>
      </c>
      <c r="V14" s="80" t="s">
        <v>75</v>
      </c>
      <c r="W14" s="187">
        <v>0.7</v>
      </c>
      <c r="X14" s="187">
        <v>0.13</v>
      </c>
      <c r="Y14" s="80">
        <f t="shared" si="20"/>
        <v>5.3846153846153841</v>
      </c>
      <c r="Z14" s="187">
        <v>0.47</v>
      </c>
      <c r="AA14" s="187">
        <v>0.64</v>
      </c>
      <c r="AB14" s="187">
        <f t="shared" si="21"/>
        <v>0.26556016597510373</v>
      </c>
      <c r="AC14" s="187">
        <v>1.29</v>
      </c>
      <c r="AD14" s="187">
        <f t="shared" si="22"/>
        <v>0.53526970954356845</v>
      </c>
      <c r="AE14" s="187">
        <v>0.12</v>
      </c>
      <c r="AF14" s="80">
        <f t="shared" si="13"/>
        <v>0.13333333333333333</v>
      </c>
      <c r="AG14" s="80" t="s">
        <v>75</v>
      </c>
      <c r="AH14" s="187">
        <f t="shared" si="23"/>
        <v>1</v>
      </c>
      <c r="AI14" s="187" t="s">
        <v>75</v>
      </c>
      <c r="AJ14" s="187" t="s">
        <v>75</v>
      </c>
      <c r="AK14" s="187" t="s">
        <v>75</v>
      </c>
      <c r="AL14" s="187" t="s">
        <v>75</v>
      </c>
      <c r="AM14" s="187" t="s">
        <v>75</v>
      </c>
      <c r="AN14" s="187" t="s">
        <v>75</v>
      </c>
      <c r="AO14" s="187" t="s">
        <v>75</v>
      </c>
      <c r="AP14" s="187">
        <v>0.28000000000000003</v>
      </c>
      <c r="AQ14" s="187">
        <v>0.11</v>
      </c>
      <c r="AR14" s="187">
        <f t="shared" si="24"/>
        <v>0.11618257261410789</v>
      </c>
      <c r="AS14" s="187">
        <f t="shared" si="6"/>
        <v>2.5454545454545459</v>
      </c>
      <c r="AT14" s="187">
        <f t="shared" si="25"/>
        <v>0.31111111111111112</v>
      </c>
      <c r="AU14" s="187">
        <v>0.12</v>
      </c>
      <c r="AV14" s="187">
        <v>0.14000000000000001</v>
      </c>
      <c r="AW14" s="187">
        <f t="shared" ref="AW14" si="26">AU14/AV14</f>
        <v>0.85714285714285698</v>
      </c>
      <c r="AX14" s="80">
        <f t="shared" ref="AX14" si="27">AP14/AU14</f>
        <v>2.3333333333333335</v>
      </c>
      <c r="AY14" s="189" t="s">
        <v>75</v>
      </c>
      <c r="AZ14" s="189">
        <v>12</v>
      </c>
      <c r="BA14" s="189" t="s">
        <v>75</v>
      </c>
      <c r="BB14" s="189" t="s">
        <v>75</v>
      </c>
      <c r="BC14" s="190" t="s">
        <v>75</v>
      </c>
    </row>
    <row r="15" spans="2:55" ht="12.75" customHeight="1" x14ac:dyDescent="0.2">
      <c r="B15" s="83">
        <v>21736</v>
      </c>
      <c r="C15" s="70" t="s">
        <v>221</v>
      </c>
      <c r="D15" s="71" t="s">
        <v>237</v>
      </c>
      <c r="E15" s="71" t="s">
        <v>177</v>
      </c>
      <c r="F15" s="197">
        <f>1.28+0.41</f>
        <v>1.69</v>
      </c>
      <c r="G15" s="82" t="s">
        <v>75</v>
      </c>
      <c r="H15" s="82" t="s">
        <v>75</v>
      </c>
      <c r="I15" s="197">
        <v>0.08</v>
      </c>
      <c r="J15" s="197">
        <v>0.05</v>
      </c>
      <c r="K15" s="197">
        <v>0.86</v>
      </c>
      <c r="L15" s="197">
        <v>0.53</v>
      </c>
      <c r="M15" s="197">
        <v>0.57999999999999996</v>
      </c>
      <c r="N15" s="197">
        <v>0.11</v>
      </c>
      <c r="O15" s="197" t="s">
        <v>75</v>
      </c>
      <c r="P15" s="82" t="s">
        <v>75</v>
      </c>
      <c r="Q15" s="82" t="s">
        <v>75</v>
      </c>
      <c r="R15" s="82">
        <f t="shared" si="1"/>
        <v>0.67441860465116277</v>
      </c>
      <c r="S15" s="82">
        <f t="shared" si="2"/>
        <v>0.61627906976744196</v>
      </c>
      <c r="T15" s="82" t="s">
        <v>75</v>
      </c>
      <c r="U15" s="197">
        <v>0.26</v>
      </c>
      <c r="V15" s="82" t="s">
        <v>75</v>
      </c>
      <c r="W15" s="197">
        <v>0.56999999999999995</v>
      </c>
      <c r="X15" s="197">
        <v>0.13</v>
      </c>
      <c r="Y15" s="82">
        <f t="shared" si="20"/>
        <v>4.3846153846153841</v>
      </c>
      <c r="Z15" s="197">
        <v>0.39</v>
      </c>
      <c r="AA15" s="197">
        <v>0.42</v>
      </c>
      <c r="AB15" s="197">
        <f t="shared" si="21"/>
        <v>0.24852071005917159</v>
      </c>
      <c r="AC15" s="197">
        <v>1.07</v>
      </c>
      <c r="AD15" s="197">
        <f t="shared" si="22"/>
        <v>0.63313609467455623</v>
      </c>
      <c r="AE15" s="197">
        <v>0.09</v>
      </c>
      <c r="AF15" s="82">
        <f t="shared" si="13"/>
        <v>0.10465116279069767</v>
      </c>
      <c r="AG15" s="82" t="s">
        <v>75</v>
      </c>
      <c r="AH15" s="197">
        <f t="shared" si="23"/>
        <v>0.81818181818181812</v>
      </c>
      <c r="AI15" s="197">
        <v>0.09</v>
      </c>
      <c r="AJ15" s="197">
        <v>7.0000000000000007E-2</v>
      </c>
      <c r="AK15" s="197">
        <f t="shared" si="16"/>
        <v>1.2857142857142856</v>
      </c>
      <c r="AL15" s="197">
        <f t="shared" ref="AL15:AL23" si="28">AI15/AE15</f>
        <v>1</v>
      </c>
      <c r="AM15" s="197">
        <f t="shared" ref="AM15:AM23" si="29">AI15/N15</f>
        <v>0.81818181818181812</v>
      </c>
      <c r="AN15" s="197">
        <f t="shared" si="10"/>
        <v>0.10465116279069767</v>
      </c>
      <c r="AO15" s="197">
        <f t="shared" si="4"/>
        <v>0.5</v>
      </c>
      <c r="AP15" s="197">
        <v>0.18</v>
      </c>
      <c r="AQ15" s="197">
        <v>0.12</v>
      </c>
      <c r="AR15" s="197">
        <f t="shared" si="24"/>
        <v>0.10650887573964497</v>
      </c>
      <c r="AS15" s="197">
        <f t="shared" si="6"/>
        <v>1.5</v>
      </c>
      <c r="AT15" s="197">
        <f t="shared" si="25"/>
        <v>0.20930232558139533</v>
      </c>
      <c r="AU15" s="197">
        <v>7.0000000000000007E-2</v>
      </c>
      <c r="AV15" s="197">
        <v>0.09</v>
      </c>
      <c r="AW15" s="197">
        <f t="shared" si="7"/>
        <v>0.7777777777777779</v>
      </c>
      <c r="AX15" s="82">
        <f t="shared" si="8"/>
        <v>2.5714285714285712</v>
      </c>
      <c r="AY15" s="200">
        <v>5</v>
      </c>
      <c r="AZ15" s="200">
        <v>14</v>
      </c>
      <c r="BA15" s="200" t="s">
        <v>75</v>
      </c>
      <c r="BB15" s="200">
        <v>4</v>
      </c>
      <c r="BC15" s="201">
        <v>6</v>
      </c>
    </row>
    <row r="16" spans="2:55" ht="12.75" customHeight="1" x14ac:dyDescent="0.2">
      <c r="B16" s="69"/>
      <c r="C16" s="71"/>
      <c r="D16" s="71"/>
      <c r="E16" s="71"/>
      <c r="F16" s="197">
        <f>1.28+0.41</f>
        <v>1.69</v>
      </c>
      <c r="G16" s="82" t="s">
        <v>75</v>
      </c>
      <c r="H16" s="82" t="s">
        <v>75</v>
      </c>
      <c r="I16" s="197">
        <v>0.08</v>
      </c>
      <c r="J16" s="197">
        <v>0.05</v>
      </c>
      <c r="K16" s="197">
        <v>0.87</v>
      </c>
      <c r="L16" s="197">
        <v>0.53</v>
      </c>
      <c r="M16" s="197">
        <v>0.57999999999999996</v>
      </c>
      <c r="N16" s="197">
        <v>0.12</v>
      </c>
      <c r="O16" s="197" t="s">
        <v>75</v>
      </c>
      <c r="P16" s="82" t="s">
        <v>75</v>
      </c>
      <c r="Q16" s="82" t="s">
        <v>75</v>
      </c>
      <c r="R16" s="82">
        <f t="shared" si="1"/>
        <v>0.66666666666666663</v>
      </c>
      <c r="S16" s="82">
        <f t="shared" si="2"/>
        <v>0.60919540229885061</v>
      </c>
      <c r="T16" s="82" t="s">
        <v>75</v>
      </c>
      <c r="U16" s="197">
        <v>0.26</v>
      </c>
      <c r="V16" s="82" t="s">
        <v>75</v>
      </c>
      <c r="W16" s="197">
        <v>0.57999999999999996</v>
      </c>
      <c r="X16" s="197">
        <v>0.13</v>
      </c>
      <c r="Y16" s="82">
        <f t="shared" si="20"/>
        <v>4.4615384615384608</v>
      </c>
      <c r="Z16" s="197" t="s">
        <v>75</v>
      </c>
      <c r="AA16" s="197">
        <v>0.45</v>
      </c>
      <c r="AB16" s="197">
        <f t="shared" si="21"/>
        <v>0.26627218934911245</v>
      </c>
      <c r="AC16" s="197">
        <v>1.02</v>
      </c>
      <c r="AD16" s="197">
        <f t="shared" si="22"/>
        <v>0.60355029585798825</v>
      </c>
      <c r="AE16" s="197">
        <v>0.1</v>
      </c>
      <c r="AF16" s="82">
        <f t="shared" si="13"/>
        <v>0.1149425287356322</v>
      </c>
      <c r="AG16" s="82" t="s">
        <v>75</v>
      </c>
      <c r="AH16" s="197">
        <f t="shared" si="23"/>
        <v>0.83333333333333337</v>
      </c>
      <c r="AI16" s="197">
        <v>0.09</v>
      </c>
      <c r="AJ16" s="197">
        <v>7.0000000000000007E-2</v>
      </c>
      <c r="AK16" s="197">
        <f t="shared" si="16"/>
        <v>1.2857142857142856</v>
      </c>
      <c r="AL16" s="197">
        <f t="shared" si="28"/>
        <v>0.89999999999999991</v>
      </c>
      <c r="AM16" s="197">
        <f t="shared" si="29"/>
        <v>0.75</v>
      </c>
      <c r="AN16" s="197">
        <f t="shared" si="10"/>
        <v>0.10344827586206896</v>
      </c>
      <c r="AO16" s="197">
        <f t="shared" si="4"/>
        <v>0.5</v>
      </c>
      <c r="AP16" s="197">
        <v>0.18</v>
      </c>
      <c r="AQ16" s="197">
        <v>0.1</v>
      </c>
      <c r="AR16" s="197">
        <f t="shared" si="24"/>
        <v>0.10650887573964497</v>
      </c>
      <c r="AS16" s="197">
        <f t="shared" si="6"/>
        <v>1.7999999999999998</v>
      </c>
      <c r="AT16" s="197">
        <f t="shared" si="25"/>
        <v>0.20689655172413793</v>
      </c>
      <c r="AU16" s="197">
        <v>7.0000000000000007E-2</v>
      </c>
      <c r="AV16" s="197">
        <v>0.09</v>
      </c>
      <c r="AW16" s="197">
        <f t="shared" ref="AW16" si="30">AU16/AV16</f>
        <v>0.7777777777777779</v>
      </c>
      <c r="AX16" s="82">
        <f t="shared" ref="AX16" si="31">AP16/AU16</f>
        <v>2.5714285714285712</v>
      </c>
      <c r="AY16" s="200" t="s">
        <v>75</v>
      </c>
      <c r="AZ16" s="200" t="s">
        <v>75</v>
      </c>
      <c r="BA16" s="200" t="s">
        <v>75</v>
      </c>
      <c r="BB16" s="200" t="s">
        <v>75</v>
      </c>
      <c r="BC16" s="201" t="s">
        <v>75</v>
      </c>
    </row>
    <row r="17" spans="2:55" ht="12.75" customHeight="1" x14ac:dyDescent="0.2">
      <c r="B17" s="86">
        <v>21736</v>
      </c>
      <c r="C17" s="76" t="s">
        <v>221</v>
      </c>
      <c r="D17" s="77" t="s">
        <v>237</v>
      </c>
      <c r="E17" s="77" t="s">
        <v>177</v>
      </c>
      <c r="F17" s="187">
        <f>1.02+0.44</f>
        <v>1.46</v>
      </c>
      <c r="G17" s="80">
        <f>I17+J17+K17+L17+M17+N17+O17</f>
        <v>3.62</v>
      </c>
      <c r="H17" s="80">
        <f>G17/F17</f>
        <v>2.4794520547945207</v>
      </c>
      <c r="I17" s="187">
        <v>0.08</v>
      </c>
      <c r="J17" s="187">
        <v>0.05</v>
      </c>
      <c r="K17" s="187">
        <v>0.77</v>
      </c>
      <c r="L17" s="187">
        <v>0.54</v>
      </c>
      <c r="M17" s="187">
        <v>0.55000000000000004</v>
      </c>
      <c r="N17" s="187">
        <v>0.11</v>
      </c>
      <c r="O17" s="187">
        <v>1.52</v>
      </c>
      <c r="P17" s="80">
        <f>N:N+O:O</f>
        <v>1.6300000000000001</v>
      </c>
      <c r="Q17" s="80">
        <f t="shared" si="0"/>
        <v>2.116883116883117</v>
      </c>
      <c r="R17" s="80">
        <f t="shared" si="1"/>
        <v>0.7142857142857143</v>
      </c>
      <c r="S17" s="80">
        <f t="shared" si="2"/>
        <v>0.70129870129870131</v>
      </c>
      <c r="T17" s="80">
        <f t="shared" si="3"/>
        <v>13.818181818181818</v>
      </c>
      <c r="U17" s="187">
        <v>0.27</v>
      </c>
      <c r="V17" s="80">
        <f t="shared" si="9"/>
        <v>13.407407407407407</v>
      </c>
      <c r="W17" s="187">
        <v>0.54</v>
      </c>
      <c r="X17" s="187">
        <v>0.12</v>
      </c>
      <c r="Y17" s="80">
        <f t="shared" si="20"/>
        <v>4.5000000000000009</v>
      </c>
      <c r="Z17" s="187" t="s">
        <v>75</v>
      </c>
      <c r="AA17" s="187">
        <v>0.42</v>
      </c>
      <c r="AB17" s="187">
        <f t="shared" si="21"/>
        <v>0.28767123287671231</v>
      </c>
      <c r="AC17" s="187">
        <v>0.97</v>
      </c>
      <c r="AD17" s="187">
        <f t="shared" si="22"/>
        <v>0.66438356164383561</v>
      </c>
      <c r="AE17" s="187">
        <v>0.09</v>
      </c>
      <c r="AF17" s="80">
        <f t="shared" si="13"/>
        <v>0.11688311688311688</v>
      </c>
      <c r="AG17" s="80">
        <f>AE:AE/P:P</f>
        <v>5.5214723926380362E-2</v>
      </c>
      <c r="AH17" s="187">
        <f t="shared" si="23"/>
        <v>0.81818181818181812</v>
      </c>
      <c r="AI17" s="187">
        <v>0.09</v>
      </c>
      <c r="AJ17" s="187">
        <v>0.06</v>
      </c>
      <c r="AK17" s="187">
        <f t="shared" si="16"/>
        <v>1.5</v>
      </c>
      <c r="AL17" s="187">
        <f t="shared" si="28"/>
        <v>1</v>
      </c>
      <c r="AM17" s="187">
        <f t="shared" si="29"/>
        <v>0.81818181818181812</v>
      </c>
      <c r="AN17" s="187">
        <f t="shared" si="10"/>
        <v>0.11688311688311688</v>
      </c>
      <c r="AO17" s="187">
        <f t="shared" si="4"/>
        <v>0.64285714285714279</v>
      </c>
      <c r="AP17" s="187">
        <v>0.14000000000000001</v>
      </c>
      <c r="AQ17" s="187">
        <v>0.11</v>
      </c>
      <c r="AR17" s="187">
        <f t="shared" si="24"/>
        <v>9.5890410958904118E-2</v>
      </c>
      <c r="AS17" s="187">
        <f t="shared" si="6"/>
        <v>1.2727272727272729</v>
      </c>
      <c r="AT17" s="187">
        <f t="shared" si="25"/>
        <v>0.18181818181818182</v>
      </c>
      <c r="AU17" s="187">
        <v>0.08</v>
      </c>
      <c r="AV17" s="187">
        <v>0.11</v>
      </c>
      <c r="AW17" s="187">
        <f t="shared" si="7"/>
        <v>0.72727272727272729</v>
      </c>
      <c r="AX17" s="80">
        <f t="shared" si="8"/>
        <v>1.7500000000000002</v>
      </c>
      <c r="AY17" s="189">
        <v>5</v>
      </c>
      <c r="AZ17" s="189">
        <v>12</v>
      </c>
      <c r="BA17" s="189" t="s">
        <v>75</v>
      </c>
      <c r="BB17" s="189">
        <v>6</v>
      </c>
      <c r="BC17" s="190">
        <v>6</v>
      </c>
    </row>
    <row r="18" spans="2:55" ht="12.75" customHeight="1" x14ac:dyDescent="0.2">
      <c r="B18" s="75"/>
      <c r="C18" s="77"/>
      <c r="D18" s="77"/>
      <c r="E18" s="77"/>
      <c r="F18" s="187">
        <f>1.02+0.44</f>
        <v>1.46</v>
      </c>
      <c r="G18" s="80">
        <f>I18+J18+K18+L18+M18+N18+O18</f>
        <v>3.59</v>
      </c>
      <c r="H18" s="80">
        <f>G18/F18</f>
        <v>2.4589041095890409</v>
      </c>
      <c r="I18" s="187">
        <v>0.08</v>
      </c>
      <c r="J18" s="187">
        <v>0.05</v>
      </c>
      <c r="K18" s="187">
        <v>0.75</v>
      </c>
      <c r="L18" s="187">
        <v>0.54</v>
      </c>
      <c r="M18" s="187">
        <v>0.56000000000000005</v>
      </c>
      <c r="N18" s="187">
        <v>0.11</v>
      </c>
      <c r="O18" s="187">
        <v>1.5</v>
      </c>
      <c r="P18" s="80">
        <f>N:N+O:O</f>
        <v>1.61</v>
      </c>
      <c r="Q18" s="80">
        <f t="shared" si="0"/>
        <v>2.1466666666666669</v>
      </c>
      <c r="R18" s="80">
        <f t="shared" si="1"/>
        <v>0.7466666666666667</v>
      </c>
      <c r="S18" s="80">
        <f t="shared" si="2"/>
        <v>0.72000000000000008</v>
      </c>
      <c r="T18" s="80">
        <f t="shared" si="3"/>
        <v>13.636363636363637</v>
      </c>
      <c r="U18" s="187">
        <v>0.27</v>
      </c>
      <c r="V18" s="80">
        <f t="shared" si="9"/>
        <v>13.296296296296294</v>
      </c>
      <c r="W18" s="187" t="s">
        <v>75</v>
      </c>
      <c r="X18" s="187" t="s">
        <v>75</v>
      </c>
      <c r="Y18" s="80" t="s">
        <v>75</v>
      </c>
      <c r="Z18" s="187" t="s">
        <v>75</v>
      </c>
      <c r="AA18" s="187">
        <v>0.4</v>
      </c>
      <c r="AB18" s="187">
        <f t="shared" si="21"/>
        <v>0.27397260273972607</v>
      </c>
      <c r="AC18" s="187">
        <v>0.97</v>
      </c>
      <c r="AD18" s="187">
        <f t="shared" si="22"/>
        <v>0.66438356164383561</v>
      </c>
      <c r="AE18" s="187">
        <v>0.09</v>
      </c>
      <c r="AF18" s="80">
        <f t="shared" si="13"/>
        <v>0.12</v>
      </c>
      <c r="AG18" s="80">
        <f>AE:AE/P:P</f>
        <v>5.5900621118012417E-2</v>
      </c>
      <c r="AH18" s="187">
        <f t="shared" si="23"/>
        <v>0.81818181818181812</v>
      </c>
      <c r="AI18" s="187">
        <v>0.09</v>
      </c>
      <c r="AJ18" s="187">
        <v>0.06</v>
      </c>
      <c r="AK18" s="187">
        <f t="shared" si="16"/>
        <v>1.5</v>
      </c>
      <c r="AL18" s="187">
        <f t="shared" si="28"/>
        <v>1</v>
      </c>
      <c r="AM18" s="187">
        <f t="shared" si="29"/>
        <v>0.81818181818181812</v>
      </c>
      <c r="AN18" s="187">
        <f t="shared" si="10"/>
        <v>0.12</v>
      </c>
      <c r="AO18" s="187">
        <f t="shared" si="4"/>
        <v>0.5625</v>
      </c>
      <c r="AP18" s="187">
        <v>0.16</v>
      </c>
      <c r="AQ18" s="187">
        <v>0.1</v>
      </c>
      <c r="AR18" s="187">
        <f t="shared" si="24"/>
        <v>0.10958904109589042</v>
      </c>
      <c r="AS18" s="187">
        <f t="shared" si="6"/>
        <v>1.5999999999999999</v>
      </c>
      <c r="AT18" s="187">
        <f t="shared" si="25"/>
        <v>0.21333333333333335</v>
      </c>
      <c r="AU18" s="187">
        <v>0.08</v>
      </c>
      <c r="AV18" s="187">
        <v>0.11</v>
      </c>
      <c r="AW18" s="187">
        <f t="shared" ref="AW18" si="32">AU18/AV18</f>
        <v>0.72727272727272729</v>
      </c>
      <c r="AX18" s="80">
        <f t="shared" ref="AX18" si="33">AP18/AU18</f>
        <v>2</v>
      </c>
      <c r="AY18" s="189" t="s">
        <v>75</v>
      </c>
      <c r="AZ18" s="189">
        <v>13</v>
      </c>
      <c r="BA18" s="189" t="s">
        <v>75</v>
      </c>
      <c r="BB18" s="189" t="s">
        <v>75</v>
      </c>
      <c r="BC18" s="190" t="s">
        <v>75</v>
      </c>
    </row>
    <row r="19" spans="2:55" ht="12.75" customHeight="1" x14ac:dyDescent="0.2">
      <c r="B19" s="83">
        <v>21736</v>
      </c>
      <c r="C19" s="70" t="s">
        <v>221</v>
      </c>
      <c r="D19" s="71" t="s">
        <v>237</v>
      </c>
      <c r="E19" s="71" t="s">
        <v>177</v>
      </c>
      <c r="F19" s="197">
        <v>1.45</v>
      </c>
      <c r="G19" s="82" t="s">
        <v>75</v>
      </c>
      <c r="H19" s="82" t="s">
        <v>75</v>
      </c>
      <c r="I19" s="197">
        <v>0.08</v>
      </c>
      <c r="J19" s="197">
        <v>0.05</v>
      </c>
      <c r="K19" s="197">
        <v>0.69</v>
      </c>
      <c r="L19" s="197">
        <v>0.45</v>
      </c>
      <c r="M19" s="197">
        <v>0.47</v>
      </c>
      <c r="N19" s="197">
        <v>0.1</v>
      </c>
      <c r="O19" s="197" t="s">
        <v>75</v>
      </c>
      <c r="P19" s="82" t="s">
        <v>75</v>
      </c>
      <c r="Q19" s="82" t="s">
        <v>75</v>
      </c>
      <c r="R19" s="82">
        <f t="shared" si="1"/>
        <v>0.6811594202898551</v>
      </c>
      <c r="S19" s="82">
        <f t="shared" si="2"/>
        <v>0.65217391304347838</v>
      </c>
      <c r="T19" s="82" t="s">
        <v>75</v>
      </c>
      <c r="U19" s="197">
        <v>0.26</v>
      </c>
      <c r="V19" s="82" t="s">
        <v>75</v>
      </c>
      <c r="W19" s="197">
        <v>0.47</v>
      </c>
      <c r="X19" s="197">
        <v>0.11</v>
      </c>
      <c r="Y19" s="82">
        <f>W:W/X:X</f>
        <v>4.2727272727272725</v>
      </c>
      <c r="Z19" s="197">
        <v>0.28000000000000003</v>
      </c>
      <c r="AA19" s="197">
        <v>0.37</v>
      </c>
      <c r="AB19" s="197">
        <f t="shared" si="21"/>
        <v>0.25517241379310346</v>
      </c>
      <c r="AC19" s="197">
        <v>0.88</v>
      </c>
      <c r="AD19" s="197">
        <f t="shared" si="22"/>
        <v>0.60689655172413792</v>
      </c>
      <c r="AE19" s="197">
        <v>0.09</v>
      </c>
      <c r="AF19" s="82">
        <f t="shared" si="13"/>
        <v>0.13043478260869565</v>
      </c>
      <c r="AG19" s="82" t="s">
        <v>75</v>
      </c>
      <c r="AH19" s="197">
        <f t="shared" si="23"/>
        <v>0.89999999999999991</v>
      </c>
      <c r="AI19" s="197">
        <v>0.09</v>
      </c>
      <c r="AJ19" s="197">
        <v>0.06</v>
      </c>
      <c r="AK19" s="197">
        <f t="shared" si="16"/>
        <v>1.5</v>
      </c>
      <c r="AL19" s="197">
        <f t="shared" si="28"/>
        <v>1</v>
      </c>
      <c r="AM19" s="197">
        <f t="shared" si="29"/>
        <v>0.89999999999999991</v>
      </c>
      <c r="AN19" s="197">
        <f t="shared" si="10"/>
        <v>0.13043478260869565</v>
      </c>
      <c r="AO19" s="197">
        <f t="shared" si="4"/>
        <v>0.5625</v>
      </c>
      <c r="AP19" s="197">
        <v>0.16</v>
      </c>
      <c r="AQ19" s="197">
        <v>0.08</v>
      </c>
      <c r="AR19" s="197">
        <f t="shared" si="24"/>
        <v>0.11034482758620691</v>
      </c>
      <c r="AS19" s="197">
        <f t="shared" si="6"/>
        <v>2</v>
      </c>
      <c r="AT19" s="197">
        <f t="shared" si="25"/>
        <v>0.23188405797101452</v>
      </c>
      <c r="AU19" s="197">
        <v>0.08</v>
      </c>
      <c r="AV19" s="197">
        <v>0.1</v>
      </c>
      <c r="AW19" s="197">
        <f t="shared" si="7"/>
        <v>0.79999999999999993</v>
      </c>
      <c r="AX19" s="82">
        <f t="shared" si="8"/>
        <v>2</v>
      </c>
      <c r="AY19" s="200">
        <v>5</v>
      </c>
      <c r="AZ19" s="198">
        <v>10</v>
      </c>
      <c r="BA19" s="200">
        <v>8</v>
      </c>
      <c r="BB19" s="200">
        <v>7</v>
      </c>
      <c r="BC19" s="201">
        <v>6</v>
      </c>
    </row>
    <row r="20" spans="2:55" ht="12.75" customHeight="1" x14ac:dyDescent="0.2">
      <c r="B20" s="69"/>
      <c r="C20" s="71"/>
      <c r="D20" s="71"/>
      <c r="E20" s="71"/>
      <c r="F20" s="197">
        <v>1.45</v>
      </c>
      <c r="G20" s="82" t="s">
        <v>75</v>
      </c>
      <c r="H20" s="82" t="s">
        <v>75</v>
      </c>
      <c r="I20" s="197">
        <v>0.08</v>
      </c>
      <c r="J20" s="197">
        <v>0.05</v>
      </c>
      <c r="K20" s="197">
        <v>0.71</v>
      </c>
      <c r="L20" s="197">
        <v>0.46</v>
      </c>
      <c r="M20" s="197">
        <v>0.48</v>
      </c>
      <c r="N20" s="197">
        <v>0.11</v>
      </c>
      <c r="O20" s="197" t="s">
        <v>75</v>
      </c>
      <c r="P20" s="82" t="s">
        <v>75</v>
      </c>
      <c r="Q20" s="82" t="s">
        <v>75</v>
      </c>
      <c r="R20" s="82">
        <f t="shared" si="1"/>
        <v>0.676056338028169</v>
      </c>
      <c r="S20" s="82">
        <f t="shared" si="2"/>
        <v>0.647887323943662</v>
      </c>
      <c r="T20" s="82" t="s">
        <v>75</v>
      </c>
      <c r="U20" s="197">
        <v>0.26</v>
      </c>
      <c r="V20" s="82" t="s">
        <v>75</v>
      </c>
      <c r="W20" s="197" t="s">
        <v>75</v>
      </c>
      <c r="X20" s="197" t="s">
        <v>75</v>
      </c>
      <c r="Y20" s="82" t="s">
        <v>75</v>
      </c>
      <c r="Z20" s="197">
        <v>0.28999999999999998</v>
      </c>
      <c r="AA20" s="197">
        <v>0.37</v>
      </c>
      <c r="AB20" s="197">
        <f t="shared" si="21"/>
        <v>0.25517241379310346</v>
      </c>
      <c r="AC20" s="197">
        <v>0.86</v>
      </c>
      <c r="AD20" s="197">
        <f t="shared" si="22"/>
        <v>0.59310344827586203</v>
      </c>
      <c r="AE20" s="197">
        <v>0.08</v>
      </c>
      <c r="AF20" s="82">
        <f t="shared" si="13"/>
        <v>0.11267605633802817</v>
      </c>
      <c r="AG20" s="82" t="s">
        <v>75</v>
      </c>
      <c r="AH20" s="197">
        <f t="shared" si="23"/>
        <v>0.72727272727272729</v>
      </c>
      <c r="AI20" s="197">
        <v>0.09</v>
      </c>
      <c r="AJ20" s="197">
        <v>0.06</v>
      </c>
      <c r="AK20" s="197">
        <f t="shared" si="16"/>
        <v>1.5</v>
      </c>
      <c r="AL20" s="197">
        <f t="shared" si="28"/>
        <v>1.125</v>
      </c>
      <c r="AM20" s="197">
        <f t="shared" si="29"/>
        <v>0.81818181818181812</v>
      </c>
      <c r="AN20" s="197">
        <f t="shared" si="10"/>
        <v>0.12676056338028169</v>
      </c>
      <c r="AO20" s="197">
        <f t="shared" si="4"/>
        <v>0.5625</v>
      </c>
      <c r="AP20" s="197">
        <v>0.16</v>
      </c>
      <c r="AQ20" s="197">
        <v>0.09</v>
      </c>
      <c r="AR20" s="197">
        <f t="shared" si="24"/>
        <v>0.11034482758620691</v>
      </c>
      <c r="AS20" s="197">
        <f t="shared" si="6"/>
        <v>1.7777777777777779</v>
      </c>
      <c r="AT20" s="197">
        <f t="shared" si="25"/>
        <v>0.22535211267605634</v>
      </c>
      <c r="AU20" s="197">
        <v>0.08</v>
      </c>
      <c r="AV20" s="197">
        <v>0.1</v>
      </c>
      <c r="AW20" s="197">
        <f t="shared" ref="AW20" si="34">AU20/AV20</f>
        <v>0.79999999999999993</v>
      </c>
      <c r="AX20" s="82">
        <f t="shared" ref="AX20" si="35">AP20/AU20</f>
        <v>2</v>
      </c>
      <c r="AY20" s="200" t="s">
        <v>75</v>
      </c>
      <c r="AZ20" s="200">
        <v>11</v>
      </c>
      <c r="BA20" s="200" t="s">
        <v>75</v>
      </c>
      <c r="BB20" s="200" t="s">
        <v>75</v>
      </c>
      <c r="BC20" s="201" t="s">
        <v>75</v>
      </c>
    </row>
    <row r="21" spans="2:55" ht="12.75" customHeight="1" x14ac:dyDescent="0.2">
      <c r="B21" s="86">
        <v>21736</v>
      </c>
      <c r="C21" s="76" t="s">
        <v>221</v>
      </c>
      <c r="D21" s="77" t="s">
        <v>237</v>
      </c>
      <c r="E21" s="77" t="s">
        <v>177</v>
      </c>
      <c r="F21" s="187">
        <v>1.49</v>
      </c>
      <c r="G21" s="80">
        <f>I21+J21+K21+L21+M21+N21+O21</f>
        <v>3</v>
      </c>
      <c r="H21" s="80">
        <f>G21/F21</f>
        <v>2.0134228187919465</v>
      </c>
      <c r="I21" s="187">
        <v>0.08</v>
      </c>
      <c r="J21" s="187">
        <v>0.05</v>
      </c>
      <c r="K21" s="187">
        <v>0.77</v>
      </c>
      <c r="L21" s="187">
        <v>0.52</v>
      </c>
      <c r="M21" s="187">
        <v>0.54</v>
      </c>
      <c r="N21" s="187">
        <v>0.11</v>
      </c>
      <c r="O21" s="187">
        <v>0.93</v>
      </c>
      <c r="P21" s="80">
        <f>N:N+O:O</f>
        <v>1.04</v>
      </c>
      <c r="Q21" s="80">
        <f t="shared" si="0"/>
        <v>1.3506493506493507</v>
      </c>
      <c r="R21" s="80">
        <f t="shared" si="1"/>
        <v>0.70129870129870131</v>
      </c>
      <c r="S21" s="80">
        <f t="shared" si="2"/>
        <v>0.67532467532467533</v>
      </c>
      <c r="T21" s="80">
        <f t="shared" si="3"/>
        <v>8.454545454545455</v>
      </c>
      <c r="U21" s="187" t="s">
        <v>75</v>
      </c>
      <c r="V21" s="80" t="s">
        <v>75</v>
      </c>
      <c r="W21" s="187">
        <v>0.52</v>
      </c>
      <c r="X21" s="187">
        <v>0.1</v>
      </c>
      <c r="Y21" s="80">
        <f>W:W/X:X</f>
        <v>5.2</v>
      </c>
      <c r="Z21" s="187">
        <v>0.28999999999999998</v>
      </c>
      <c r="AA21" s="187">
        <v>0.38</v>
      </c>
      <c r="AB21" s="187">
        <f t="shared" si="21"/>
        <v>0.25503355704697989</v>
      </c>
      <c r="AC21" s="187">
        <v>0.96</v>
      </c>
      <c r="AD21" s="187">
        <f t="shared" si="22"/>
        <v>0.64429530201342278</v>
      </c>
      <c r="AE21" s="187">
        <v>0.08</v>
      </c>
      <c r="AF21" s="80">
        <f t="shared" si="13"/>
        <v>0.10389610389610389</v>
      </c>
      <c r="AG21" s="80">
        <f>AE:AE/P:P</f>
        <v>7.6923076923076927E-2</v>
      </c>
      <c r="AH21" s="187">
        <f t="shared" si="23"/>
        <v>0.72727272727272729</v>
      </c>
      <c r="AI21" s="187">
        <v>0.08</v>
      </c>
      <c r="AJ21" s="187">
        <v>0.06</v>
      </c>
      <c r="AK21" s="187">
        <f t="shared" si="16"/>
        <v>1.3333333333333335</v>
      </c>
      <c r="AL21" s="187">
        <f t="shared" si="28"/>
        <v>1</v>
      </c>
      <c r="AM21" s="187">
        <f t="shared" si="29"/>
        <v>0.72727272727272729</v>
      </c>
      <c r="AN21" s="187">
        <f t="shared" si="10"/>
        <v>0.10389610389610389</v>
      </c>
      <c r="AO21" s="187">
        <f t="shared" si="4"/>
        <v>0.5</v>
      </c>
      <c r="AP21" s="187">
        <v>0.16</v>
      </c>
      <c r="AQ21" s="187">
        <v>0.1</v>
      </c>
      <c r="AR21" s="187">
        <f t="shared" si="24"/>
        <v>0.10738255033557047</v>
      </c>
      <c r="AS21" s="187">
        <f t="shared" si="6"/>
        <v>1.5999999999999999</v>
      </c>
      <c r="AT21" s="187">
        <f t="shared" si="25"/>
        <v>0.20779220779220778</v>
      </c>
      <c r="AU21" s="187">
        <v>0.09</v>
      </c>
      <c r="AV21" s="187" t="s">
        <v>75</v>
      </c>
      <c r="AW21" s="187" t="s">
        <v>75</v>
      </c>
      <c r="AX21" s="80">
        <f t="shared" si="8"/>
        <v>1.7777777777777779</v>
      </c>
      <c r="AY21" s="189">
        <v>5</v>
      </c>
      <c r="AZ21" s="189">
        <v>10</v>
      </c>
      <c r="BA21" s="189">
        <v>9</v>
      </c>
      <c r="BB21" s="189" t="s">
        <v>75</v>
      </c>
      <c r="BC21" s="190">
        <v>8</v>
      </c>
    </row>
    <row r="22" spans="2:55" ht="12.75" customHeight="1" x14ac:dyDescent="0.2">
      <c r="B22" s="191"/>
      <c r="C22" s="77"/>
      <c r="D22" s="77"/>
      <c r="E22" s="77"/>
      <c r="F22" s="187">
        <v>1.49</v>
      </c>
      <c r="G22" s="80">
        <f>I22+J22+K22+L22+M22+N22+O22</f>
        <v>3.2800000000000002</v>
      </c>
      <c r="H22" s="80">
        <f>G22/F22</f>
        <v>2.201342281879195</v>
      </c>
      <c r="I22" s="187">
        <v>0.08</v>
      </c>
      <c r="J22" s="187">
        <v>0.05</v>
      </c>
      <c r="K22" s="187">
        <v>0.76</v>
      </c>
      <c r="L22" s="187">
        <v>0.52</v>
      </c>
      <c r="M22" s="187">
        <v>0.52</v>
      </c>
      <c r="N22" s="187">
        <v>0.12</v>
      </c>
      <c r="O22" s="187">
        <v>1.23</v>
      </c>
      <c r="P22" s="80">
        <f>N:N+O:O</f>
        <v>1.35</v>
      </c>
      <c r="Q22" s="80">
        <f t="shared" si="0"/>
        <v>1.7763157894736843</v>
      </c>
      <c r="R22" s="80">
        <f t="shared" si="1"/>
        <v>0.68421052631578949</v>
      </c>
      <c r="S22" s="80">
        <f t="shared" si="2"/>
        <v>0.68421052631578949</v>
      </c>
      <c r="T22" s="80">
        <f t="shared" si="3"/>
        <v>10.25</v>
      </c>
      <c r="U22" s="187" t="s">
        <v>75</v>
      </c>
      <c r="V22" s="80" t="s">
        <v>75</v>
      </c>
      <c r="W22" s="187" t="s">
        <v>75</v>
      </c>
      <c r="X22" s="187">
        <f>MAX(X5:X21)</f>
        <v>0.14499999999999999</v>
      </c>
      <c r="Y22" s="187" t="s">
        <v>75</v>
      </c>
      <c r="Z22" s="187">
        <v>0.28999999999999998</v>
      </c>
      <c r="AA22" s="187">
        <v>0.38</v>
      </c>
      <c r="AB22" s="187">
        <f t="shared" si="21"/>
        <v>0.25503355704697989</v>
      </c>
      <c r="AC22" s="187">
        <v>0.95</v>
      </c>
      <c r="AD22" s="187">
        <f t="shared" si="22"/>
        <v>0.63758389261744963</v>
      </c>
      <c r="AE22" s="187">
        <v>0.09</v>
      </c>
      <c r="AF22" s="80">
        <f t="shared" si="13"/>
        <v>0.11842105263157894</v>
      </c>
      <c r="AG22" s="80">
        <f>AE:AE/P:P</f>
        <v>6.6666666666666666E-2</v>
      </c>
      <c r="AH22" s="187">
        <f t="shared" si="23"/>
        <v>0.75</v>
      </c>
      <c r="AI22" s="187">
        <v>0.08</v>
      </c>
      <c r="AJ22" s="187">
        <v>0.06</v>
      </c>
      <c r="AK22" s="187">
        <f t="shared" si="16"/>
        <v>1.3333333333333335</v>
      </c>
      <c r="AL22" s="187">
        <f t="shared" si="28"/>
        <v>0.88888888888888895</v>
      </c>
      <c r="AM22" s="187">
        <f t="shared" si="29"/>
        <v>0.66666666666666674</v>
      </c>
      <c r="AN22" s="187">
        <f t="shared" si="10"/>
        <v>0.10526315789473684</v>
      </c>
      <c r="AO22" s="187">
        <f t="shared" si="4"/>
        <v>0.5</v>
      </c>
      <c r="AP22" s="187">
        <v>0.16</v>
      </c>
      <c r="AQ22" s="187">
        <v>0.09</v>
      </c>
      <c r="AR22" s="187">
        <f t="shared" si="24"/>
        <v>0.10738255033557047</v>
      </c>
      <c r="AS22" s="187">
        <f t="shared" si="6"/>
        <v>1.7777777777777779</v>
      </c>
      <c r="AT22" s="187">
        <f t="shared" si="25"/>
        <v>0.21052631578947367</v>
      </c>
      <c r="AU22" s="187">
        <v>0.09</v>
      </c>
      <c r="AV22" s="187" t="s">
        <v>75</v>
      </c>
      <c r="AW22" s="187" t="s">
        <v>75</v>
      </c>
      <c r="AX22" s="80">
        <f t="shared" ref="AX22" si="36">AP22/AU22</f>
        <v>1.7777777777777779</v>
      </c>
      <c r="AY22" s="189" t="s">
        <v>75</v>
      </c>
      <c r="AZ22" s="189">
        <v>11</v>
      </c>
      <c r="BA22" s="189" t="s">
        <v>75</v>
      </c>
      <c r="BB22" s="189" t="s">
        <v>75</v>
      </c>
      <c r="BC22" s="190" t="s">
        <v>75</v>
      </c>
    </row>
    <row r="23" spans="2:55" ht="12.75" customHeight="1" x14ac:dyDescent="0.2">
      <c r="B23" s="160">
        <v>38268</v>
      </c>
      <c r="C23" s="70" t="s">
        <v>221</v>
      </c>
      <c r="D23" s="71" t="s">
        <v>223</v>
      </c>
      <c r="E23" s="71" t="s">
        <v>302</v>
      </c>
      <c r="F23" s="197">
        <v>2.1</v>
      </c>
      <c r="G23" s="82">
        <f t="shared" ref="G23:G24" si="37">I23+J23+K23+L23+M23+N23+O23</f>
        <v>4.7530000000000001</v>
      </c>
      <c r="H23" s="82">
        <f t="shared" ref="H23:H24" si="38">G23/F23</f>
        <v>2.2633333333333332</v>
      </c>
      <c r="I23" s="197">
        <v>0.11</v>
      </c>
      <c r="J23" s="197">
        <v>0.06</v>
      </c>
      <c r="K23" s="197">
        <v>1.0900000000000001</v>
      </c>
      <c r="L23" s="197">
        <v>0.86</v>
      </c>
      <c r="M23" s="197">
        <v>0.83</v>
      </c>
      <c r="N23" s="197">
        <v>0.14299999999999999</v>
      </c>
      <c r="O23" s="197">
        <f>0.776+0.414+0.47</f>
        <v>1.66</v>
      </c>
      <c r="P23" s="82">
        <f>N:N+O:O</f>
        <v>1.8029999999999999</v>
      </c>
      <c r="Q23" s="82">
        <f t="shared" si="0"/>
        <v>1.6541284403669723</v>
      </c>
      <c r="R23" s="82">
        <f t="shared" si="1"/>
        <v>0.76146788990825676</v>
      </c>
      <c r="S23" s="82">
        <f t="shared" si="2"/>
        <v>0.78899082568807333</v>
      </c>
      <c r="T23" s="82">
        <f t="shared" si="3"/>
        <v>11.608391608391608</v>
      </c>
      <c r="U23" s="197">
        <v>0.34</v>
      </c>
      <c r="V23" s="82">
        <f t="shared" si="9"/>
        <v>13.979411764705882</v>
      </c>
      <c r="W23" s="197">
        <v>0.74</v>
      </c>
      <c r="X23" s="197">
        <v>0.14499999999999999</v>
      </c>
      <c r="Y23" s="197" t="s">
        <v>75</v>
      </c>
      <c r="Z23" s="197">
        <v>0.44700000000000001</v>
      </c>
      <c r="AA23" s="197">
        <v>0.63500000000000001</v>
      </c>
      <c r="AB23" s="197">
        <f t="shared" si="21"/>
        <v>0.30238095238095236</v>
      </c>
      <c r="AC23" s="197">
        <v>1.39</v>
      </c>
      <c r="AD23" s="197">
        <f t="shared" si="22"/>
        <v>0.66190476190476188</v>
      </c>
      <c r="AE23" s="197">
        <v>0.09</v>
      </c>
      <c r="AF23" s="82">
        <f t="shared" si="13"/>
        <v>8.2568807339449532E-2</v>
      </c>
      <c r="AG23" s="82">
        <f>AE:AE/P:P</f>
        <v>4.9916805324459232E-2</v>
      </c>
      <c r="AH23" s="197">
        <f t="shared" si="23"/>
        <v>0.62937062937062938</v>
      </c>
      <c r="AI23" s="197">
        <v>0.1</v>
      </c>
      <c r="AJ23" s="197">
        <v>6.6000000000000003E-2</v>
      </c>
      <c r="AK23" s="197">
        <f t="shared" si="16"/>
        <v>1.5151515151515151</v>
      </c>
      <c r="AL23" s="197">
        <f t="shared" si="28"/>
        <v>1.1111111111111112</v>
      </c>
      <c r="AM23" s="197">
        <f t="shared" si="29"/>
        <v>0.69930069930069938</v>
      </c>
      <c r="AN23" s="197">
        <f t="shared" si="10"/>
        <v>9.1743119266055051E-2</v>
      </c>
      <c r="AO23" s="197">
        <f t="shared" si="4"/>
        <v>0.33670033670033672</v>
      </c>
      <c r="AP23" s="197">
        <v>0.29699999999999999</v>
      </c>
      <c r="AQ23" s="197">
        <v>0.13600000000000001</v>
      </c>
      <c r="AR23" s="197">
        <f t="shared" si="24"/>
        <v>0.1414285714285714</v>
      </c>
      <c r="AS23" s="197">
        <f t="shared" si="6"/>
        <v>2.1838235294117645</v>
      </c>
      <c r="AT23" s="197">
        <f t="shared" si="25"/>
        <v>0.27247706422018347</v>
      </c>
      <c r="AU23" s="197">
        <v>8.7999999999999995E-2</v>
      </c>
      <c r="AV23" s="197">
        <v>0.155</v>
      </c>
      <c r="AW23" s="197">
        <f t="shared" si="7"/>
        <v>0.56774193548387097</v>
      </c>
      <c r="AX23" s="82">
        <f t="shared" si="8"/>
        <v>3.375</v>
      </c>
      <c r="AY23" s="200">
        <v>5</v>
      </c>
      <c r="AZ23" s="200">
        <v>12</v>
      </c>
      <c r="BA23" s="200" t="s">
        <v>75</v>
      </c>
      <c r="BB23" s="200">
        <v>7</v>
      </c>
      <c r="BC23" s="201">
        <v>8</v>
      </c>
    </row>
    <row r="24" spans="2:55" ht="12.75" customHeight="1" x14ac:dyDescent="0.2">
      <c r="B24" s="202"/>
      <c r="C24" s="203"/>
      <c r="D24" s="203"/>
      <c r="E24" s="203"/>
      <c r="F24" s="204">
        <v>2.1</v>
      </c>
      <c r="G24" s="122">
        <f t="shared" si="37"/>
        <v>4.72</v>
      </c>
      <c r="H24" s="122">
        <f t="shared" si="38"/>
        <v>2.2476190476190476</v>
      </c>
      <c r="I24" s="204">
        <v>0.13</v>
      </c>
      <c r="J24" s="204">
        <v>0.06</v>
      </c>
      <c r="K24" s="204">
        <v>1.0900000000000001</v>
      </c>
      <c r="L24" s="204">
        <v>0.8</v>
      </c>
      <c r="M24" s="204">
        <v>0.85</v>
      </c>
      <c r="N24" s="204">
        <v>0.13</v>
      </c>
      <c r="O24" s="204">
        <v>1.66</v>
      </c>
      <c r="P24" s="122">
        <f>N:N+O:O</f>
        <v>1.79</v>
      </c>
      <c r="Q24" s="122">
        <f t="shared" si="0"/>
        <v>1.6422018348623852</v>
      </c>
      <c r="R24" s="122">
        <f t="shared" si="1"/>
        <v>0.77981651376146777</v>
      </c>
      <c r="S24" s="122">
        <f t="shared" si="2"/>
        <v>0.73394495412844041</v>
      </c>
      <c r="T24" s="122">
        <f t="shared" si="3"/>
        <v>12.769230769230768</v>
      </c>
      <c r="U24" s="204">
        <v>0.34</v>
      </c>
      <c r="V24" s="122">
        <f t="shared" si="9"/>
        <v>13.882352941176469</v>
      </c>
      <c r="W24" s="204">
        <v>0.75</v>
      </c>
      <c r="X24" s="204">
        <v>0.14699999999999999</v>
      </c>
      <c r="Y24" s="204" t="s">
        <v>75</v>
      </c>
      <c r="Z24" s="204">
        <v>0.44600000000000001</v>
      </c>
      <c r="AA24" s="204">
        <v>0.64400000000000002</v>
      </c>
      <c r="AB24" s="204" t="s">
        <v>75</v>
      </c>
      <c r="AC24" s="204">
        <v>1.39</v>
      </c>
      <c r="AD24" s="204" t="s">
        <v>75</v>
      </c>
      <c r="AE24" s="204">
        <v>0.1</v>
      </c>
      <c r="AF24" s="122">
        <f t="shared" si="13"/>
        <v>9.1743119266055051E-2</v>
      </c>
      <c r="AG24" s="122">
        <f>AE:AE/P:P</f>
        <v>5.5865921787709501E-2</v>
      </c>
      <c r="AH24" s="204">
        <f t="shared" si="23"/>
        <v>0.76923076923076927</v>
      </c>
      <c r="AI24" s="204" t="s">
        <v>75</v>
      </c>
      <c r="AJ24" s="204" t="s">
        <v>75</v>
      </c>
      <c r="AK24" s="204" t="s">
        <v>75</v>
      </c>
      <c r="AL24" s="204" t="s">
        <v>75</v>
      </c>
      <c r="AM24" s="204" t="s">
        <v>75</v>
      </c>
      <c r="AN24" s="204" t="s">
        <v>75</v>
      </c>
      <c r="AO24" s="204" t="s">
        <v>75</v>
      </c>
      <c r="AP24" s="204">
        <v>0.26800000000000002</v>
      </c>
      <c r="AQ24" s="204">
        <v>0.159</v>
      </c>
      <c r="AR24" s="204">
        <f t="shared" si="24"/>
        <v>0.12761904761904763</v>
      </c>
      <c r="AS24" s="204">
        <f t="shared" si="6"/>
        <v>1.6855345911949686</v>
      </c>
      <c r="AT24" s="204">
        <f t="shared" si="25"/>
        <v>0.24587155963302751</v>
      </c>
      <c r="AU24" s="204">
        <v>8.7999999999999995E-2</v>
      </c>
      <c r="AV24" s="204">
        <v>0.155</v>
      </c>
      <c r="AW24" s="204">
        <f t="shared" ref="AW24" si="39">AU24/AV24</f>
        <v>0.56774193548387097</v>
      </c>
      <c r="AX24" s="122">
        <f t="shared" ref="AX24" si="40">AP24/AU24</f>
        <v>3.0454545454545459</v>
      </c>
      <c r="AY24" s="205" t="s">
        <v>75</v>
      </c>
      <c r="AZ24" s="205">
        <v>13</v>
      </c>
      <c r="BA24" s="205" t="s">
        <v>75</v>
      </c>
      <c r="BB24" s="205" t="s">
        <v>75</v>
      </c>
      <c r="BC24" s="206" t="s">
        <v>75</v>
      </c>
    </row>
    <row r="25" spans="2:55" ht="12.75" customHeight="1" x14ac:dyDescent="0.2">
      <c r="E25" s="58" t="s">
        <v>25</v>
      </c>
      <c r="F25" s="171">
        <f>MIN(F3:F24)</f>
        <v>1.05</v>
      </c>
      <c r="G25" s="171">
        <f t="shared" ref="G25:AX25" si="41">MIN(G3:G24)</f>
        <v>3</v>
      </c>
      <c r="H25" s="171">
        <f t="shared" si="41"/>
        <v>1.5020746887966805</v>
      </c>
      <c r="I25" s="171">
        <f t="shared" si="41"/>
        <v>0.08</v>
      </c>
      <c r="J25" s="171">
        <f t="shared" si="41"/>
        <v>4.5999999999999999E-2</v>
      </c>
      <c r="K25" s="171">
        <f t="shared" si="41"/>
        <v>0.69</v>
      </c>
      <c r="L25" s="171">
        <f t="shared" si="41"/>
        <v>0.45</v>
      </c>
      <c r="M25" s="171">
        <f t="shared" si="41"/>
        <v>0.47</v>
      </c>
      <c r="N25" s="171">
        <f t="shared" si="41"/>
        <v>0.1</v>
      </c>
      <c r="O25" s="171">
        <f t="shared" si="41"/>
        <v>0.92799999999999994</v>
      </c>
      <c r="P25" s="171">
        <f t="shared" si="41"/>
        <v>1.04</v>
      </c>
      <c r="Q25" s="171">
        <f t="shared" si="41"/>
        <v>0.99155722326454021</v>
      </c>
      <c r="R25" s="171">
        <f t="shared" si="41"/>
        <v>0.60869565217391319</v>
      </c>
      <c r="S25" s="171">
        <f t="shared" si="41"/>
        <v>0.56472795497185746</v>
      </c>
      <c r="T25" s="171">
        <f t="shared" si="41"/>
        <v>7.1937984496124026</v>
      </c>
      <c r="U25" s="171">
        <f t="shared" si="41"/>
        <v>0.25</v>
      </c>
      <c r="V25" s="171">
        <f t="shared" si="41"/>
        <v>10.813455657492355</v>
      </c>
      <c r="W25" s="171">
        <f t="shared" si="41"/>
        <v>0.47</v>
      </c>
      <c r="X25" s="171">
        <f t="shared" si="41"/>
        <v>0.1</v>
      </c>
      <c r="Y25" s="171">
        <f t="shared" si="41"/>
        <v>4.2727272727272725</v>
      </c>
      <c r="Z25" s="171">
        <f t="shared" si="41"/>
        <v>0.28000000000000003</v>
      </c>
      <c r="AA25" s="171">
        <f t="shared" si="41"/>
        <v>0.37</v>
      </c>
      <c r="AB25" s="171">
        <f t="shared" si="41"/>
        <v>0.24852071005917159</v>
      </c>
      <c r="AC25" s="171">
        <f t="shared" si="41"/>
        <v>0.86</v>
      </c>
      <c r="AD25" s="171">
        <f t="shared" si="41"/>
        <v>0.52697095435684649</v>
      </c>
      <c r="AE25" s="171">
        <f t="shared" si="41"/>
        <v>0.08</v>
      </c>
      <c r="AF25" s="171">
        <f t="shared" si="41"/>
        <v>8.2568807339449532E-2</v>
      </c>
      <c r="AG25" s="171">
        <f t="shared" si="41"/>
        <v>4.9916805324459232E-2</v>
      </c>
      <c r="AH25" s="171">
        <f t="shared" si="41"/>
        <v>0.62937062937062938</v>
      </c>
      <c r="AI25" s="171">
        <f t="shared" si="41"/>
        <v>0.08</v>
      </c>
      <c r="AJ25" s="171">
        <f t="shared" si="41"/>
        <v>0.06</v>
      </c>
      <c r="AK25" s="171">
        <f t="shared" si="41"/>
        <v>1.2857142857142856</v>
      </c>
      <c r="AL25" s="171">
        <f t="shared" si="41"/>
        <v>0.84112149532710279</v>
      </c>
      <c r="AM25" s="171">
        <f t="shared" si="41"/>
        <v>0.61643835616438358</v>
      </c>
      <c r="AN25" s="171">
        <f t="shared" si="41"/>
        <v>8.4427767354596617E-2</v>
      </c>
      <c r="AO25" s="171">
        <f t="shared" si="41"/>
        <v>0.33333333333333331</v>
      </c>
      <c r="AP25" s="171">
        <f t="shared" si="41"/>
        <v>0.14000000000000001</v>
      </c>
      <c r="AQ25" s="171">
        <f t="shared" si="41"/>
        <v>0.08</v>
      </c>
      <c r="AR25" s="171">
        <f t="shared" si="41"/>
        <v>9.5890410958904118E-2</v>
      </c>
      <c r="AS25" s="171">
        <f t="shared" si="41"/>
        <v>1.2727272727272729</v>
      </c>
      <c r="AT25" s="171">
        <f t="shared" si="41"/>
        <v>0.18181818181818182</v>
      </c>
      <c r="AU25" s="171">
        <f t="shared" si="41"/>
        <v>7.0000000000000007E-2</v>
      </c>
      <c r="AV25" s="171">
        <f t="shared" si="41"/>
        <v>8.2000000000000003E-2</v>
      </c>
      <c r="AW25" s="171">
        <f t="shared" si="41"/>
        <v>0.56774193548387097</v>
      </c>
      <c r="AX25" s="171">
        <f t="shared" si="41"/>
        <v>1.7500000000000002</v>
      </c>
      <c r="AY25" s="173">
        <f t="shared" ref="AY25:BC25" si="42">MIN(AY3:AY24)</f>
        <v>4</v>
      </c>
      <c r="AZ25" s="173">
        <f t="shared" si="42"/>
        <v>10</v>
      </c>
      <c r="BA25" s="173">
        <f t="shared" si="42"/>
        <v>3</v>
      </c>
      <c r="BB25" s="173">
        <f t="shared" si="42"/>
        <v>4</v>
      </c>
      <c r="BC25" s="173">
        <f t="shared" si="42"/>
        <v>4</v>
      </c>
    </row>
    <row r="26" spans="2:55" ht="12.75" customHeight="1" x14ac:dyDescent="0.2">
      <c r="E26" s="58" t="s">
        <v>26</v>
      </c>
      <c r="F26" s="171">
        <f>MAX(F3:F24)</f>
        <v>2.4289999999999998</v>
      </c>
      <c r="G26" s="171">
        <f t="shared" ref="G26:AX26" si="43">MAX(G3:G24)</f>
        <v>4.7530000000000001</v>
      </c>
      <c r="H26" s="171">
        <f t="shared" si="43"/>
        <v>3.1179531656548138</v>
      </c>
      <c r="I26" s="171">
        <f t="shared" si="43"/>
        <v>0.13</v>
      </c>
      <c r="J26" s="171">
        <f t="shared" si="43"/>
        <v>0.06</v>
      </c>
      <c r="K26" s="171">
        <f t="shared" si="43"/>
        <v>1.0900000000000001</v>
      </c>
      <c r="L26" s="171">
        <f t="shared" si="43"/>
        <v>0.86</v>
      </c>
      <c r="M26" s="171">
        <f t="shared" si="43"/>
        <v>0.85</v>
      </c>
      <c r="N26" s="171">
        <f t="shared" si="43"/>
        <v>0.14599999999999999</v>
      </c>
      <c r="O26" s="171">
        <f t="shared" si="43"/>
        <v>1.66</v>
      </c>
      <c r="P26" s="171">
        <f t="shared" si="43"/>
        <v>1.8029999999999999</v>
      </c>
      <c r="Q26" s="171">
        <f t="shared" si="43"/>
        <v>2.1466666666666669</v>
      </c>
      <c r="R26" s="171">
        <f t="shared" si="43"/>
        <v>0.81052631578947376</v>
      </c>
      <c r="S26" s="171">
        <f t="shared" si="43"/>
        <v>0.78899082568807333</v>
      </c>
      <c r="T26" s="171">
        <f t="shared" si="43"/>
        <v>13.818181818181818</v>
      </c>
      <c r="U26" s="171">
        <f t="shared" si="43"/>
        <v>0.34899999999999998</v>
      </c>
      <c r="V26" s="171">
        <f t="shared" si="43"/>
        <v>14.38</v>
      </c>
      <c r="W26" s="171">
        <f t="shared" si="43"/>
        <v>0.78600000000000003</v>
      </c>
      <c r="X26" s="171">
        <f t="shared" si="43"/>
        <v>0.14699999999999999</v>
      </c>
      <c r="Y26" s="171">
        <f t="shared" si="43"/>
        <v>5.6546762589928052</v>
      </c>
      <c r="Z26" s="171">
        <f t="shared" si="43"/>
        <v>0.48</v>
      </c>
      <c r="AA26" s="171">
        <f t="shared" si="43"/>
        <v>0.66200000000000003</v>
      </c>
      <c r="AB26" s="171">
        <f t="shared" si="43"/>
        <v>0.37294015611448394</v>
      </c>
      <c r="AC26" s="171">
        <f t="shared" si="43"/>
        <v>1.4</v>
      </c>
      <c r="AD26" s="171">
        <f t="shared" si="43"/>
        <v>0.82393755420641801</v>
      </c>
      <c r="AE26" s="171">
        <f t="shared" si="43"/>
        <v>0.12</v>
      </c>
      <c r="AF26" s="171">
        <f t="shared" si="43"/>
        <v>0.1348314606741573</v>
      </c>
      <c r="AG26" s="171">
        <f t="shared" si="43"/>
        <v>8.2758620689655157E-2</v>
      </c>
      <c r="AH26" s="171">
        <f t="shared" si="43"/>
        <v>1</v>
      </c>
      <c r="AI26" s="171">
        <f t="shared" si="43"/>
        <v>0.1</v>
      </c>
      <c r="AJ26" s="171">
        <f t="shared" si="43"/>
        <v>7.0000000000000007E-2</v>
      </c>
      <c r="AK26" s="171">
        <f t="shared" si="43"/>
        <v>1.5151515151515151</v>
      </c>
      <c r="AL26" s="171">
        <f t="shared" si="43"/>
        <v>1.125</v>
      </c>
      <c r="AM26" s="171">
        <f t="shared" si="43"/>
        <v>0.89999999999999991</v>
      </c>
      <c r="AN26" s="171">
        <f t="shared" si="43"/>
        <v>0.13043478260869565</v>
      </c>
      <c r="AO26" s="171">
        <f t="shared" si="43"/>
        <v>0.64285714285714279</v>
      </c>
      <c r="AP26" s="171">
        <f t="shared" si="43"/>
        <v>0.29699999999999999</v>
      </c>
      <c r="AQ26" s="171">
        <f t="shared" si="43"/>
        <v>0.159</v>
      </c>
      <c r="AR26" s="171">
        <f t="shared" si="43"/>
        <v>0.14657415437987859</v>
      </c>
      <c r="AS26" s="171">
        <f t="shared" si="43"/>
        <v>2.62</v>
      </c>
      <c r="AT26" s="171">
        <f t="shared" si="43"/>
        <v>0.31111111111111112</v>
      </c>
      <c r="AU26" s="171">
        <f t="shared" si="43"/>
        <v>0.14000000000000001</v>
      </c>
      <c r="AV26" s="171">
        <f t="shared" si="43"/>
        <v>0.155</v>
      </c>
      <c r="AW26" s="171">
        <f t="shared" si="43"/>
        <v>1.7073170731707319</v>
      </c>
      <c r="AX26" s="171">
        <f t="shared" si="43"/>
        <v>3.375</v>
      </c>
      <c r="AY26" s="173">
        <f t="shared" ref="AY26:BC26" si="44">MAX(AY3:AY24)</f>
        <v>5</v>
      </c>
      <c r="AZ26" s="173">
        <f t="shared" si="44"/>
        <v>16</v>
      </c>
      <c r="BA26" s="173">
        <f t="shared" si="44"/>
        <v>9</v>
      </c>
      <c r="BB26" s="173">
        <f t="shared" si="44"/>
        <v>7</v>
      </c>
      <c r="BC26" s="173">
        <f t="shared" si="44"/>
        <v>8</v>
      </c>
    </row>
    <row r="27" spans="2:55" ht="12.75" customHeight="1" x14ac:dyDescent="0.2"/>
    <row r="28" spans="2:55" ht="12.75" customHeight="1" x14ac:dyDescent="0.2"/>
    <row r="29" spans="2:55" ht="12.75" customHeight="1" x14ac:dyDescent="0.2"/>
    <row r="30" spans="2:55" ht="12.75" customHeight="1" x14ac:dyDescent="0.2"/>
    <row r="31" spans="2:55" ht="12.75" customHeight="1" x14ac:dyDescent="0.2"/>
    <row r="32" spans="2:55" ht="12.75" customHeight="1" x14ac:dyDescent="0.2"/>
    <row r="33" ht="12.75" customHeight="1" x14ac:dyDescent="0.2"/>
    <row r="34" ht="12.75" customHeight="1" x14ac:dyDescent="0.2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C57"/>
  <sheetViews>
    <sheetView zoomScaleNormal="100" workbookViewId="0"/>
  </sheetViews>
  <sheetFormatPr defaultColWidth="9.140625" defaultRowHeight="12.75" x14ac:dyDescent="0.2"/>
  <cols>
    <col min="1" max="1" width="1.7109375" style="1" customWidth="1"/>
    <col min="2" max="2" width="18.7109375" style="46" customWidth="1"/>
    <col min="3" max="4" width="18.7109375" style="1" customWidth="1"/>
    <col min="5" max="5" width="36.7109375" style="1" customWidth="1"/>
    <col min="6" max="52" width="8.7109375" style="1" customWidth="1"/>
    <col min="53" max="55" width="10.7109375" style="1" customWidth="1"/>
    <col min="56" max="16384" width="9.140625" style="1"/>
  </cols>
  <sheetData>
    <row r="1" spans="2:55" ht="12" customHeight="1" x14ac:dyDescent="0.2">
      <c r="AN1" s="96"/>
    </row>
    <row r="2" spans="2:55" s="46" customFormat="1" ht="59.1" customHeight="1" x14ac:dyDescent="0.25">
      <c r="B2" s="46" t="s">
        <v>57</v>
      </c>
      <c r="C2" s="46" t="s">
        <v>58</v>
      </c>
      <c r="D2" s="60" t="s">
        <v>141</v>
      </c>
      <c r="E2" s="60" t="s">
        <v>171</v>
      </c>
      <c r="F2" s="60" t="s">
        <v>34</v>
      </c>
      <c r="G2" s="60" t="s">
        <v>35</v>
      </c>
      <c r="H2" s="60" t="s">
        <v>95</v>
      </c>
      <c r="I2" s="60" t="s">
        <v>37</v>
      </c>
      <c r="J2" s="60" t="s">
        <v>38</v>
      </c>
      <c r="K2" s="60" t="s">
        <v>51</v>
      </c>
      <c r="L2" s="60" t="s">
        <v>39</v>
      </c>
      <c r="M2" s="60" t="s">
        <v>40</v>
      </c>
      <c r="N2" s="60" t="s">
        <v>92</v>
      </c>
      <c r="O2" s="60" t="s">
        <v>93</v>
      </c>
      <c r="P2" s="60" t="s">
        <v>41</v>
      </c>
      <c r="Q2" s="60" t="s">
        <v>42</v>
      </c>
      <c r="R2" s="60" t="s">
        <v>52</v>
      </c>
      <c r="S2" s="60" t="s">
        <v>53</v>
      </c>
      <c r="T2" s="60" t="s">
        <v>94</v>
      </c>
      <c r="U2" s="60" t="s">
        <v>43</v>
      </c>
      <c r="V2" s="60" t="s">
        <v>170</v>
      </c>
      <c r="W2" s="60" t="s">
        <v>44</v>
      </c>
      <c r="X2" s="60" t="s">
        <v>45</v>
      </c>
      <c r="Y2" s="60" t="s">
        <v>86</v>
      </c>
      <c r="Z2" s="60" t="s">
        <v>46</v>
      </c>
      <c r="AA2" s="60" t="s">
        <v>54</v>
      </c>
      <c r="AB2" s="60" t="s">
        <v>47</v>
      </c>
      <c r="AC2" s="60" t="s">
        <v>55</v>
      </c>
      <c r="AD2" s="60" t="s">
        <v>48</v>
      </c>
      <c r="AE2" s="60" t="s">
        <v>49</v>
      </c>
      <c r="AF2" s="60" t="s">
        <v>135</v>
      </c>
      <c r="AG2" s="60" t="s">
        <v>56</v>
      </c>
      <c r="AH2" s="60" t="s">
        <v>96</v>
      </c>
      <c r="AI2" s="60" t="s">
        <v>76</v>
      </c>
      <c r="AJ2" s="60" t="s">
        <v>77</v>
      </c>
      <c r="AK2" s="60" t="s">
        <v>78</v>
      </c>
      <c r="AL2" s="60" t="s">
        <v>87</v>
      </c>
      <c r="AM2" s="60" t="s">
        <v>97</v>
      </c>
      <c r="AN2" s="60" t="s">
        <v>136</v>
      </c>
      <c r="AO2" s="60" t="s">
        <v>152</v>
      </c>
      <c r="AP2" s="60" t="s">
        <v>88</v>
      </c>
      <c r="AQ2" s="60" t="s">
        <v>79</v>
      </c>
      <c r="AR2" s="60" t="s">
        <v>89</v>
      </c>
      <c r="AS2" s="60" t="s">
        <v>90</v>
      </c>
      <c r="AT2" s="60" t="s">
        <v>91</v>
      </c>
      <c r="AU2" s="60" t="s">
        <v>131</v>
      </c>
      <c r="AV2" s="60" t="s">
        <v>132</v>
      </c>
      <c r="AW2" s="60" t="s">
        <v>150</v>
      </c>
      <c r="AX2" s="60" t="s">
        <v>151</v>
      </c>
      <c r="AY2" s="60" t="s">
        <v>85</v>
      </c>
      <c r="AZ2" s="60" t="s">
        <v>81</v>
      </c>
      <c r="BA2" s="60" t="s">
        <v>84</v>
      </c>
      <c r="BB2" s="60" t="s">
        <v>82</v>
      </c>
      <c r="BC2" s="60" t="s">
        <v>83</v>
      </c>
    </row>
    <row r="3" spans="2:55" ht="12.75" customHeight="1" x14ac:dyDescent="0.2">
      <c r="B3" s="61">
        <v>22143</v>
      </c>
      <c r="C3" s="62" t="s">
        <v>226</v>
      </c>
      <c r="D3" s="63" t="s">
        <v>159</v>
      </c>
      <c r="E3" s="63" t="s">
        <v>200</v>
      </c>
      <c r="F3" s="64">
        <f>1.14+0.43</f>
        <v>1.5699999999999998</v>
      </c>
      <c r="G3" s="65">
        <f>I3+J3+K3+L3+M3+N3+O3</f>
        <v>3.54</v>
      </c>
      <c r="H3" s="65">
        <f>G3/F3</f>
        <v>2.2547770700636947</v>
      </c>
      <c r="I3" s="64">
        <v>0.09</v>
      </c>
      <c r="J3" s="64">
        <v>0.05</v>
      </c>
      <c r="K3" s="64">
        <v>0.79</v>
      </c>
      <c r="L3" s="64">
        <v>0.56999999999999995</v>
      </c>
      <c r="M3" s="64">
        <v>0.57999999999999996</v>
      </c>
      <c r="N3" s="64">
        <v>0.15</v>
      </c>
      <c r="O3" s="64">
        <v>1.31</v>
      </c>
      <c r="P3" s="64">
        <f>N:N+O:O</f>
        <v>1.46</v>
      </c>
      <c r="Q3" s="65">
        <f t="shared" ref="Q3:Q46" si="0">(N3+O3)/K3</f>
        <v>1.8481012658227847</v>
      </c>
      <c r="R3" s="65">
        <f t="shared" ref="R3:R50" si="1">M3/K3</f>
        <v>0.73417721518987333</v>
      </c>
      <c r="S3" s="65">
        <f t="shared" ref="S3:S50" si="2">L3/K3</f>
        <v>0.72151898734177211</v>
      </c>
      <c r="T3" s="65">
        <f t="shared" ref="T3:T46" si="3">O3/N3</f>
        <v>8.7333333333333343</v>
      </c>
      <c r="U3" s="64">
        <v>0.31</v>
      </c>
      <c r="V3" s="64">
        <f>G3/U3</f>
        <v>11.419354838709678</v>
      </c>
      <c r="W3" s="64">
        <v>0.56000000000000005</v>
      </c>
      <c r="X3" s="64">
        <v>0.12</v>
      </c>
      <c r="Y3" s="64">
        <f>W:W/X:X</f>
        <v>4.666666666666667</v>
      </c>
      <c r="Z3" s="64">
        <v>0.36</v>
      </c>
      <c r="AA3" s="64">
        <v>0.49</v>
      </c>
      <c r="AB3" s="64">
        <f>AA3/F3</f>
        <v>0.31210191082802552</v>
      </c>
      <c r="AC3" s="64">
        <v>1.0900000000000001</v>
      </c>
      <c r="AD3" s="64">
        <f>AC3/F3</f>
        <v>0.69426751592356695</v>
      </c>
      <c r="AE3" s="64">
        <v>0.1</v>
      </c>
      <c r="AF3" s="64">
        <f>AE:AE/K:K</f>
        <v>0.12658227848101267</v>
      </c>
      <c r="AG3" s="64">
        <f>AE:AE/P:P</f>
        <v>6.8493150684931517E-2</v>
      </c>
      <c r="AH3" s="64">
        <f>AE3/N3</f>
        <v>0.66666666666666674</v>
      </c>
      <c r="AI3" s="64">
        <v>7.0000000000000007E-2</v>
      </c>
      <c r="AJ3" s="64">
        <v>0.06</v>
      </c>
      <c r="AK3" s="64">
        <f t="shared" ref="AK3:AK14" si="4">AI3/AJ3</f>
        <v>1.1666666666666667</v>
      </c>
      <c r="AL3" s="64">
        <f>AI3/AE3</f>
        <v>0.70000000000000007</v>
      </c>
      <c r="AM3" s="64">
        <f>AI3/N3</f>
        <v>0.46666666666666673</v>
      </c>
      <c r="AN3" s="64">
        <f>AI:AI/K:K</f>
        <v>8.8607594936708861E-2</v>
      </c>
      <c r="AO3" s="64">
        <f t="shared" ref="AO3:AO14" si="5">AI3/AP3</f>
        <v>0.30434782608695654</v>
      </c>
      <c r="AP3" s="64">
        <v>0.23</v>
      </c>
      <c r="AQ3" s="64">
        <v>0.13</v>
      </c>
      <c r="AR3" s="64">
        <f>AP3/F3</f>
        <v>0.14649681528662423</v>
      </c>
      <c r="AS3" s="64">
        <f t="shared" ref="AS3:AS50" si="6">AP3/AQ3</f>
        <v>1.7692307692307692</v>
      </c>
      <c r="AT3" s="64">
        <f>AP3/K3</f>
        <v>0.29113924050632911</v>
      </c>
      <c r="AU3" s="64">
        <v>0.1</v>
      </c>
      <c r="AV3" s="64">
        <v>0.09</v>
      </c>
      <c r="AW3" s="64">
        <f t="shared" ref="AW3:AW8" si="7">AU3/AV3</f>
        <v>1.1111111111111112</v>
      </c>
      <c r="AX3" s="65">
        <f t="shared" ref="AX3:AX8" si="8">AP3/AU3</f>
        <v>2.2999999999999998</v>
      </c>
      <c r="AY3" s="209"/>
      <c r="AZ3" s="67">
        <v>11</v>
      </c>
      <c r="BA3" s="67"/>
      <c r="BB3" s="67"/>
      <c r="BC3" s="183"/>
    </row>
    <row r="4" spans="2:55" ht="12.75" customHeight="1" x14ac:dyDescent="0.2">
      <c r="B4" s="69"/>
      <c r="C4" s="71"/>
      <c r="D4" s="71"/>
      <c r="E4" s="71"/>
      <c r="F4" s="72">
        <f>1.14+0.43</f>
        <v>1.5699999999999998</v>
      </c>
      <c r="G4" s="82">
        <f>I4+J4+K4+L4+M4+N4+O4</f>
        <v>3.54</v>
      </c>
      <c r="H4" s="82">
        <f>G4/F4</f>
        <v>2.2547770700636947</v>
      </c>
      <c r="I4" s="72">
        <v>0.09</v>
      </c>
      <c r="J4" s="72">
        <v>0.04</v>
      </c>
      <c r="K4" s="72">
        <v>0.81</v>
      </c>
      <c r="L4" s="72">
        <v>0.59</v>
      </c>
      <c r="M4" s="72">
        <v>0.56999999999999995</v>
      </c>
      <c r="N4" s="72">
        <v>0.13</v>
      </c>
      <c r="O4" s="72">
        <v>1.31</v>
      </c>
      <c r="P4" s="72">
        <f>N:N+O:O</f>
        <v>1.44</v>
      </c>
      <c r="Q4" s="82">
        <f t="shared" si="0"/>
        <v>1.7777777777777777</v>
      </c>
      <c r="R4" s="82">
        <f t="shared" si="1"/>
        <v>0.70370370370370361</v>
      </c>
      <c r="S4" s="82">
        <f t="shared" si="2"/>
        <v>0.72839506172839497</v>
      </c>
      <c r="T4" s="82">
        <f t="shared" si="3"/>
        <v>10.076923076923077</v>
      </c>
      <c r="U4" s="72">
        <v>0.31</v>
      </c>
      <c r="V4" s="72">
        <f t="shared" ref="V4:V46" si="9">G4/U4</f>
        <v>11.419354838709678</v>
      </c>
      <c r="W4" s="72">
        <v>0.57999999999999996</v>
      </c>
      <c r="X4" s="72">
        <v>0.13</v>
      </c>
      <c r="Y4" s="72">
        <f>W:W/X:X</f>
        <v>4.4615384615384608</v>
      </c>
      <c r="Z4" s="72">
        <v>0.37</v>
      </c>
      <c r="AA4" s="72">
        <v>0.47</v>
      </c>
      <c r="AB4" s="72">
        <f>AA4/F4</f>
        <v>0.29936305732484075</v>
      </c>
      <c r="AC4" s="72">
        <v>1.1200000000000001</v>
      </c>
      <c r="AD4" s="72">
        <f>AC4/F4</f>
        <v>0.71337579617834412</v>
      </c>
      <c r="AE4" s="72">
        <v>0.11</v>
      </c>
      <c r="AF4" s="72">
        <f>AE:AE/K:K</f>
        <v>0.13580246913580246</v>
      </c>
      <c r="AG4" s="72">
        <f>AE:AE/P:P</f>
        <v>7.6388888888888895E-2</v>
      </c>
      <c r="AH4" s="72">
        <f>AE4/N4</f>
        <v>0.84615384615384615</v>
      </c>
      <c r="AI4" s="72">
        <v>7.0000000000000007E-2</v>
      </c>
      <c r="AJ4" s="72">
        <v>0.06</v>
      </c>
      <c r="AK4" s="72">
        <f t="shared" si="4"/>
        <v>1.1666666666666667</v>
      </c>
      <c r="AL4" s="72">
        <f>AI4/AE4</f>
        <v>0.63636363636363646</v>
      </c>
      <c r="AM4" s="72">
        <f>AI4/N4</f>
        <v>0.53846153846153855</v>
      </c>
      <c r="AN4" s="72">
        <f>AI:AI/K:K</f>
        <v>8.6419753086419762E-2</v>
      </c>
      <c r="AO4" s="72">
        <f t="shared" si="5"/>
        <v>0.31818181818181823</v>
      </c>
      <c r="AP4" s="72">
        <v>0.22</v>
      </c>
      <c r="AQ4" s="72">
        <v>0.12</v>
      </c>
      <c r="AR4" s="72">
        <f>AP4/F4</f>
        <v>0.14012738853503187</v>
      </c>
      <c r="AS4" s="72">
        <f t="shared" si="6"/>
        <v>1.8333333333333335</v>
      </c>
      <c r="AT4" s="72">
        <f>AP4/K4</f>
        <v>0.27160493827160492</v>
      </c>
      <c r="AU4" s="72">
        <v>0.1</v>
      </c>
      <c r="AV4" s="72">
        <v>0.09</v>
      </c>
      <c r="AW4" s="72">
        <f t="shared" si="7"/>
        <v>1.1111111111111112</v>
      </c>
      <c r="AX4" s="82">
        <f t="shared" si="8"/>
        <v>2.1999999999999997</v>
      </c>
      <c r="AY4" s="185"/>
      <c r="AZ4" s="72" t="s">
        <v>75</v>
      </c>
      <c r="BA4" s="84"/>
      <c r="BB4" s="84"/>
      <c r="BC4" s="85"/>
    </row>
    <row r="5" spans="2:55" ht="12.75" customHeight="1" x14ac:dyDescent="0.2">
      <c r="B5" s="86">
        <v>23261</v>
      </c>
      <c r="C5" s="76" t="s">
        <v>226</v>
      </c>
      <c r="D5" s="77" t="s">
        <v>238</v>
      </c>
      <c r="E5" s="77" t="s">
        <v>200</v>
      </c>
      <c r="F5" s="78">
        <f>1.16+0.84</f>
        <v>2</v>
      </c>
      <c r="G5" s="78" t="s">
        <v>75</v>
      </c>
      <c r="H5" s="78" t="s">
        <v>75</v>
      </c>
      <c r="I5" s="78">
        <v>0.1</v>
      </c>
      <c r="J5" s="78">
        <v>0.05</v>
      </c>
      <c r="K5" s="78">
        <v>0.88</v>
      </c>
      <c r="L5" s="78">
        <v>0.64</v>
      </c>
      <c r="M5" s="78" t="s">
        <v>75</v>
      </c>
      <c r="N5" s="78" t="s">
        <v>75</v>
      </c>
      <c r="O5" s="78" t="s">
        <v>75</v>
      </c>
      <c r="P5" s="78" t="s">
        <v>75</v>
      </c>
      <c r="Q5" s="78" t="s">
        <v>75</v>
      </c>
      <c r="R5" s="78" t="s">
        <v>75</v>
      </c>
      <c r="S5" s="80">
        <f t="shared" si="2"/>
        <v>0.72727272727272729</v>
      </c>
      <c r="T5" s="78" t="s">
        <v>75</v>
      </c>
      <c r="U5" s="78">
        <v>0.28000000000000003</v>
      </c>
      <c r="V5" s="78" t="s">
        <v>75</v>
      </c>
      <c r="W5" s="78">
        <v>0.65</v>
      </c>
      <c r="X5" s="78">
        <v>0.12</v>
      </c>
      <c r="Y5" s="78">
        <f>W:W/X:X</f>
        <v>5.416666666666667</v>
      </c>
      <c r="Z5" s="78">
        <v>0.38</v>
      </c>
      <c r="AA5" s="78">
        <v>0.52</v>
      </c>
      <c r="AB5" s="78">
        <f>AA5/F5</f>
        <v>0.26</v>
      </c>
      <c r="AC5" s="78">
        <v>1.21</v>
      </c>
      <c r="AD5" s="78">
        <f>AC5/F5</f>
        <v>0.60499999999999998</v>
      </c>
      <c r="AE5" s="78">
        <v>0.1</v>
      </c>
      <c r="AF5" s="78">
        <f>AE:AE/K:K</f>
        <v>0.11363636363636365</v>
      </c>
      <c r="AG5" s="78" t="s">
        <v>75</v>
      </c>
      <c r="AH5" s="78" t="s">
        <v>75</v>
      </c>
      <c r="AI5" s="78">
        <v>0.09</v>
      </c>
      <c r="AJ5" s="78">
        <v>7.0000000000000007E-2</v>
      </c>
      <c r="AK5" s="78">
        <f t="shared" si="4"/>
        <v>1.2857142857142856</v>
      </c>
      <c r="AL5" s="78">
        <f>AI5/AE5</f>
        <v>0.89999999999999991</v>
      </c>
      <c r="AM5" s="78" t="s">
        <v>75</v>
      </c>
      <c r="AN5" s="78">
        <f>AI:AI/K:K</f>
        <v>0.10227272727272727</v>
      </c>
      <c r="AO5" s="78">
        <f t="shared" si="5"/>
        <v>0.375</v>
      </c>
      <c r="AP5" s="78">
        <v>0.24</v>
      </c>
      <c r="AQ5" s="78">
        <v>0.12</v>
      </c>
      <c r="AR5" s="78">
        <f>AP5/F5</f>
        <v>0.12</v>
      </c>
      <c r="AS5" s="78">
        <f t="shared" si="6"/>
        <v>2</v>
      </c>
      <c r="AT5" s="78">
        <f>AP5/K5</f>
        <v>0.27272727272727271</v>
      </c>
      <c r="AU5" s="78">
        <v>0.1</v>
      </c>
      <c r="AV5" s="78">
        <v>0.1</v>
      </c>
      <c r="AW5" s="78">
        <f t="shared" si="7"/>
        <v>1</v>
      </c>
      <c r="AX5" s="80">
        <f t="shared" si="8"/>
        <v>2.4</v>
      </c>
      <c r="AY5" s="180"/>
      <c r="AZ5" s="87">
        <v>12</v>
      </c>
      <c r="BA5" s="87"/>
      <c r="BB5" s="87"/>
      <c r="BC5" s="88"/>
    </row>
    <row r="6" spans="2:55" ht="12.75" customHeight="1" x14ac:dyDescent="0.2">
      <c r="B6" s="75"/>
      <c r="C6" s="77"/>
      <c r="D6" s="77"/>
      <c r="E6" s="77"/>
      <c r="F6" s="78">
        <f>1.16+0.84</f>
        <v>2</v>
      </c>
      <c r="G6" s="78" t="s">
        <v>75</v>
      </c>
      <c r="H6" s="78" t="s">
        <v>75</v>
      </c>
      <c r="I6" s="78">
        <v>0.1</v>
      </c>
      <c r="J6" s="78">
        <v>0.04</v>
      </c>
      <c r="K6" s="78" t="s">
        <v>75</v>
      </c>
      <c r="L6" s="78" t="s">
        <v>75</v>
      </c>
      <c r="M6" s="78" t="s">
        <v>75</v>
      </c>
      <c r="N6" s="78" t="s">
        <v>75</v>
      </c>
      <c r="O6" s="78" t="s">
        <v>75</v>
      </c>
      <c r="P6" s="78" t="s">
        <v>75</v>
      </c>
      <c r="Q6" s="78" t="s">
        <v>75</v>
      </c>
      <c r="R6" s="78" t="s">
        <v>75</v>
      </c>
      <c r="S6" s="78" t="s">
        <v>75</v>
      </c>
      <c r="T6" s="78" t="s">
        <v>75</v>
      </c>
      <c r="U6" s="78">
        <v>0.28000000000000003</v>
      </c>
      <c r="V6" s="78" t="s">
        <v>75</v>
      </c>
      <c r="W6" s="78" t="s">
        <v>75</v>
      </c>
      <c r="X6" s="78" t="s">
        <v>75</v>
      </c>
      <c r="Y6" s="78" t="s">
        <v>75</v>
      </c>
      <c r="Z6" s="78">
        <v>0.37</v>
      </c>
      <c r="AA6" s="78">
        <v>0.52</v>
      </c>
      <c r="AB6" s="78">
        <f>AA6/F6</f>
        <v>0.26</v>
      </c>
      <c r="AC6" s="78" t="s">
        <v>75</v>
      </c>
      <c r="AD6" s="78" t="s">
        <v>75</v>
      </c>
      <c r="AE6" s="78" t="s">
        <v>75</v>
      </c>
      <c r="AF6" s="78" t="s">
        <v>75</v>
      </c>
      <c r="AG6" s="78" t="s">
        <v>75</v>
      </c>
      <c r="AH6" s="78" t="s">
        <v>75</v>
      </c>
      <c r="AI6" s="78">
        <v>0.09</v>
      </c>
      <c r="AJ6" s="78">
        <v>7.0000000000000007E-2</v>
      </c>
      <c r="AK6" s="78">
        <f t="shared" si="4"/>
        <v>1.2857142857142856</v>
      </c>
      <c r="AL6" s="78" t="s">
        <v>75</v>
      </c>
      <c r="AM6" s="78" t="s">
        <v>75</v>
      </c>
      <c r="AN6" s="78" t="s">
        <v>75</v>
      </c>
      <c r="AO6" s="78">
        <f t="shared" si="5"/>
        <v>0.375</v>
      </c>
      <c r="AP6" s="78">
        <v>0.24</v>
      </c>
      <c r="AQ6" s="78">
        <v>0.12</v>
      </c>
      <c r="AR6" s="78">
        <f>AP6/F6</f>
        <v>0.12</v>
      </c>
      <c r="AS6" s="78">
        <f t="shared" si="6"/>
        <v>2</v>
      </c>
      <c r="AT6" s="78" t="s">
        <v>75</v>
      </c>
      <c r="AU6" s="78">
        <v>0.1</v>
      </c>
      <c r="AV6" s="78">
        <v>0.1</v>
      </c>
      <c r="AW6" s="78">
        <f t="shared" si="7"/>
        <v>1</v>
      </c>
      <c r="AX6" s="80">
        <f t="shared" si="8"/>
        <v>2.4</v>
      </c>
      <c r="AY6" s="180"/>
      <c r="AZ6" s="78" t="s">
        <v>75</v>
      </c>
      <c r="BA6" s="87"/>
      <c r="BB6" s="87"/>
      <c r="BC6" s="88"/>
    </row>
    <row r="7" spans="2:55" ht="12.75" customHeight="1" x14ac:dyDescent="0.2">
      <c r="B7" s="83">
        <v>23261</v>
      </c>
      <c r="C7" s="70" t="s">
        <v>226</v>
      </c>
      <c r="D7" s="71" t="s">
        <v>238</v>
      </c>
      <c r="E7" s="71" t="s">
        <v>200</v>
      </c>
      <c r="F7" s="72" t="s">
        <v>75</v>
      </c>
      <c r="G7" s="72" t="s">
        <v>75</v>
      </c>
      <c r="H7" s="72" t="s">
        <v>75</v>
      </c>
      <c r="I7" s="72">
        <v>0.1</v>
      </c>
      <c r="J7" s="72">
        <v>0.05</v>
      </c>
      <c r="K7" s="72">
        <v>0.87</v>
      </c>
      <c r="L7" s="72">
        <v>0.59</v>
      </c>
      <c r="M7" s="72">
        <v>0.6</v>
      </c>
      <c r="N7" s="72">
        <v>0.14000000000000001</v>
      </c>
      <c r="O7" s="72" t="s">
        <v>75</v>
      </c>
      <c r="P7" s="72" t="s">
        <v>75</v>
      </c>
      <c r="Q7" s="72" t="s">
        <v>75</v>
      </c>
      <c r="R7" s="82">
        <f t="shared" si="1"/>
        <v>0.68965517241379304</v>
      </c>
      <c r="S7" s="82">
        <f t="shared" si="2"/>
        <v>0.67816091954022983</v>
      </c>
      <c r="T7" s="72" t="s">
        <v>75</v>
      </c>
      <c r="U7" s="72">
        <v>0.31</v>
      </c>
      <c r="V7" s="72" t="s">
        <v>75</v>
      </c>
      <c r="W7" s="72">
        <v>0.6</v>
      </c>
      <c r="X7" s="72">
        <v>0.12</v>
      </c>
      <c r="Y7" s="72">
        <f>W:W/X:X</f>
        <v>5</v>
      </c>
      <c r="Z7" s="72" t="s">
        <v>75</v>
      </c>
      <c r="AA7" s="72">
        <v>0.53</v>
      </c>
      <c r="AB7" s="72" t="s">
        <v>75</v>
      </c>
      <c r="AC7" s="72">
        <v>1.18</v>
      </c>
      <c r="AD7" s="72" t="s">
        <v>75</v>
      </c>
      <c r="AE7" s="72">
        <v>0.1</v>
      </c>
      <c r="AF7" s="72">
        <f>AE:AE/K:K</f>
        <v>0.1149425287356322</v>
      </c>
      <c r="AG7" s="72" t="s">
        <v>75</v>
      </c>
      <c r="AH7" s="72">
        <f>AE7/N7</f>
        <v>0.7142857142857143</v>
      </c>
      <c r="AI7" s="72">
        <v>0.1</v>
      </c>
      <c r="AJ7" s="72">
        <v>0.08</v>
      </c>
      <c r="AK7" s="72">
        <f t="shared" si="4"/>
        <v>1.25</v>
      </c>
      <c r="AL7" s="72">
        <f>AI7/AE7</f>
        <v>1</v>
      </c>
      <c r="AM7" s="72">
        <f>AI7/N7</f>
        <v>0.7142857142857143</v>
      </c>
      <c r="AN7" s="72">
        <f t="shared" ref="AN7:AN13" si="10">AI:AI/K:K</f>
        <v>0.1149425287356322</v>
      </c>
      <c r="AO7" s="72">
        <f t="shared" si="5"/>
        <v>0.41666666666666669</v>
      </c>
      <c r="AP7" s="72">
        <v>0.24</v>
      </c>
      <c r="AQ7" s="72">
        <v>0.15</v>
      </c>
      <c r="AR7" s="72" t="s">
        <v>75</v>
      </c>
      <c r="AS7" s="72">
        <f t="shared" si="6"/>
        <v>1.6</v>
      </c>
      <c r="AT7" s="72">
        <f t="shared" ref="AT7:AT13" si="11">AP7/K7</f>
        <v>0.27586206896551724</v>
      </c>
      <c r="AU7" s="72">
        <v>0.09</v>
      </c>
      <c r="AV7" s="72">
        <v>0.13</v>
      </c>
      <c r="AW7" s="72">
        <f t="shared" si="7"/>
        <v>0.69230769230769229</v>
      </c>
      <c r="AX7" s="82">
        <f t="shared" si="8"/>
        <v>2.6666666666666665</v>
      </c>
      <c r="AY7" s="185"/>
      <c r="AZ7" s="84">
        <v>9</v>
      </c>
      <c r="BA7" s="84"/>
      <c r="BB7" s="84"/>
      <c r="BC7" s="85"/>
    </row>
    <row r="8" spans="2:55" ht="12.75" customHeight="1" x14ac:dyDescent="0.2">
      <c r="B8" s="69"/>
      <c r="C8" s="71"/>
      <c r="D8" s="71"/>
      <c r="E8" s="71"/>
      <c r="F8" s="72" t="s">
        <v>75</v>
      </c>
      <c r="G8" s="72" t="s">
        <v>75</v>
      </c>
      <c r="H8" s="72" t="s">
        <v>75</v>
      </c>
      <c r="I8" s="72">
        <v>0.1</v>
      </c>
      <c r="J8" s="72">
        <v>0.05</v>
      </c>
      <c r="K8" s="72">
        <v>0.86</v>
      </c>
      <c r="L8" s="72" t="s">
        <v>75</v>
      </c>
      <c r="M8" s="72" t="s">
        <v>75</v>
      </c>
      <c r="N8" s="72" t="s">
        <v>75</v>
      </c>
      <c r="O8" s="72" t="s">
        <v>75</v>
      </c>
      <c r="P8" s="72" t="s">
        <v>75</v>
      </c>
      <c r="Q8" s="72" t="s">
        <v>75</v>
      </c>
      <c r="R8" s="72" t="s">
        <v>75</v>
      </c>
      <c r="S8" s="72" t="s">
        <v>75</v>
      </c>
      <c r="T8" s="72" t="s">
        <v>75</v>
      </c>
      <c r="U8" s="72">
        <v>0.31</v>
      </c>
      <c r="V8" s="72" t="s">
        <v>75</v>
      </c>
      <c r="W8" s="72" t="s">
        <v>75</v>
      </c>
      <c r="X8" s="72" t="s">
        <v>75</v>
      </c>
      <c r="Y8" s="72" t="s">
        <v>75</v>
      </c>
      <c r="Z8" s="72" t="s">
        <v>75</v>
      </c>
      <c r="AA8" s="72">
        <v>0.54</v>
      </c>
      <c r="AB8" s="72" t="s">
        <v>75</v>
      </c>
      <c r="AC8" s="72" t="s">
        <v>75</v>
      </c>
      <c r="AD8" s="72" t="s">
        <v>75</v>
      </c>
      <c r="AE8" s="72" t="s">
        <v>75</v>
      </c>
      <c r="AF8" s="72" t="s">
        <v>75</v>
      </c>
      <c r="AG8" s="72" t="s">
        <v>75</v>
      </c>
      <c r="AH8" s="72" t="s">
        <v>75</v>
      </c>
      <c r="AI8" s="72">
        <v>0.1</v>
      </c>
      <c r="AJ8" s="72">
        <v>0.08</v>
      </c>
      <c r="AK8" s="72">
        <f t="shared" si="4"/>
        <v>1.25</v>
      </c>
      <c r="AL8" s="72" t="s">
        <v>75</v>
      </c>
      <c r="AM8" s="72" t="s">
        <v>75</v>
      </c>
      <c r="AN8" s="72">
        <f t="shared" si="10"/>
        <v>0.11627906976744187</v>
      </c>
      <c r="AO8" s="72">
        <f t="shared" si="5"/>
        <v>0.41666666666666669</v>
      </c>
      <c r="AP8" s="72">
        <v>0.24</v>
      </c>
      <c r="AQ8" s="72">
        <v>0.15</v>
      </c>
      <c r="AR8" s="72" t="s">
        <v>75</v>
      </c>
      <c r="AS8" s="72">
        <f t="shared" si="6"/>
        <v>1.6</v>
      </c>
      <c r="AT8" s="72">
        <f t="shared" si="11"/>
        <v>0.27906976744186046</v>
      </c>
      <c r="AU8" s="72">
        <v>0.09</v>
      </c>
      <c r="AV8" s="72">
        <v>0.13</v>
      </c>
      <c r="AW8" s="72">
        <f t="shared" si="7"/>
        <v>0.69230769230769229</v>
      </c>
      <c r="AX8" s="82">
        <f t="shared" si="8"/>
        <v>2.6666666666666665</v>
      </c>
      <c r="AY8" s="185"/>
      <c r="AZ8" s="84">
        <v>10</v>
      </c>
      <c r="BA8" s="84"/>
      <c r="BB8" s="84"/>
      <c r="BC8" s="85"/>
    </row>
    <row r="9" spans="2:55" ht="12.75" customHeight="1" x14ac:dyDescent="0.2">
      <c r="B9" s="86">
        <v>23261</v>
      </c>
      <c r="C9" s="76" t="s">
        <v>226</v>
      </c>
      <c r="D9" s="77" t="s">
        <v>238</v>
      </c>
      <c r="E9" s="77" t="s">
        <v>200</v>
      </c>
      <c r="F9" s="78">
        <f>1.26+0.95</f>
        <v>2.21</v>
      </c>
      <c r="G9" s="78" t="s">
        <v>75</v>
      </c>
      <c r="H9" s="78" t="s">
        <v>75</v>
      </c>
      <c r="I9" s="78">
        <v>0.1</v>
      </c>
      <c r="J9" s="78">
        <v>0.05</v>
      </c>
      <c r="K9" s="78">
        <v>1.03</v>
      </c>
      <c r="L9" s="78">
        <v>0.68</v>
      </c>
      <c r="M9" s="78" t="s">
        <v>75</v>
      </c>
      <c r="N9" s="78" t="s">
        <v>75</v>
      </c>
      <c r="O9" s="78" t="s">
        <v>75</v>
      </c>
      <c r="P9" s="78" t="s">
        <v>75</v>
      </c>
      <c r="Q9" s="78" t="s">
        <v>75</v>
      </c>
      <c r="R9" s="78" t="s">
        <v>75</v>
      </c>
      <c r="S9" s="80">
        <f t="shared" si="2"/>
        <v>0.66019417475728159</v>
      </c>
      <c r="T9" s="78" t="s">
        <v>75</v>
      </c>
      <c r="U9" s="78">
        <v>0.35</v>
      </c>
      <c r="V9" s="78" t="s">
        <v>75</v>
      </c>
      <c r="W9" s="78">
        <v>0.7</v>
      </c>
      <c r="X9" s="78">
        <v>0.14000000000000001</v>
      </c>
      <c r="Y9" s="78">
        <f>W:W/X:X</f>
        <v>4.9999999999999991</v>
      </c>
      <c r="Z9" s="78">
        <v>0.43</v>
      </c>
      <c r="AA9" s="78">
        <v>0.61</v>
      </c>
      <c r="AB9" s="78">
        <f>AA9/F9</f>
        <v>0.27601809954751133</v>
      </c>
      <c r="AC9" s="78">
        <v>1.34</v>
      </c>
      <c r="AD9" s="78">
        <f>AC9/F9</f>
        <v>0.60633484162895934</v>
      </c>
      <c r="AE9" s="78">
        <v>0.12</v>
      </c>
      <c r="AF9" s="78">
        <f>AE:AE/K:K</f>
        <v>0.11650485436893203</v>
      </c>
      <c r="AG9" s="78" t="s">
        <v>75</v>
      </c>
      <c r="AH9" s="78" t="s">
        <v>75</v>
      </c>
      <c r="AI9" s="78">
        <v>0.1</v>
      </c>
      <c r="AJ9" s="78">
        <v>0.06</v>
      </c>
      <c r="AK9" s="78">
        <f t="shared" si="4"/>
        <v>1.6666666666666667</v>
      </c>
      <c r="AL9" s="78">
        <f>AI9/AE9</f>
        <v>0.83333333333333337</v>
      </c>
      <c r="AM9" s="78" t="s">
        <v>75</v>
      </c>
      <c r="AN9" s="78">
        <f t="shared" si="10"/>
        <v>9.7087378640776698E-2</v>
      </c>
      <c r="AO9" s="78">
        <f t="shared" si="5"/>
        <v>0.37037037037037035</v>
      </c>
      <c r="AP9" s="78">
        <v>0.27</v>
      </c>
      <c r="AQ9" s="78">
        <v>0.18</v>
      </c>
      <c r="AR9" s="78">
        <f t="shared" ref="AR9:AR50" si="12">AP9/F9</f>
        <v>0.12217194570135748</v>
      </c>
      <c r="AS9" s="78">
        <f t="shared" si="6"/>
        <v>1.5000000000000002</v>
      </c>
      <c r="AT9" s="78">
        <f t="shared" si="11"/>
        <v>0.26213592233009708</v>
      </c>
      <c r="AU9" s="78" t="s">
        <v>75</v>
      </c>
      <c r="AV9" s="78" t="s">
        <v>75</v>
      </c>
      <c r="AW9" s="78" t="s">
        <v>75</v>
      </c>
      <c r="AX9" s="78" t="s">
        <v>75</v>
      </c>
      <c r="AY9" s="180"/>
      <c r="AZ9" s="87">
        <v>10</v>
      </c>
      <c r="BA9" s="87"/>
      <c r="BB9" s="87"/>
      <c r="BC9" s="88"/>
    </row>
    <row r="10" spans="2:55" ht="12.75" customHeight="1" x14ac:dyDescent="0.2">
      <c r="B10" s="75"/>
      <c r="C10" s="77"/>
      <c r="D10" s="77"/>
      <c r="E10" s="77"/>
      <c r="F10" s="78">
        <f>1.26+0.95</f>
        <v>2.21</v>
      </c>
      <c r="G10" s="78" t="s">
        <v>75</v>
      </c>
      <c r="H10" s="78" t="s">
        <v>75</v>
      </c>
      <c r="I10" s="78">
        <v>0.1</v>
      </c>
      <c r="J10" s="78">
        <v>0.05</v>
      </c>
      <c r="K10" s="78">
        <v>1.03</v>
      </c>
      <c r="L10" s="78">
        <v>0.66</v>
      </c>
      <c r="M10" s="78" t="s">
        <v>75</v>
      </c>
      <c r="N10" s="78" t="s">
        <v>75</v>
      </c>
      <c r="O10" s="78" t="s">
        <v>75</v>
      </c>
      <c r="P10" s="78" t="s">
        <v>75</v>
      </c>
      <c r="Q10" s="78" t="s">
        <v>75</v>
      </c>
      <c r="R10" s="78" t="s">
        <v>75</v>
      </c>
      <c r="S10" s="80">
        <f t="shared" si="2"/>
        <v>0.64077669902912626</v>
      </c>
      <c r="T10" s="78" t="s">
        <v>75</v>
      </c>
      <c r="U10" s="78">
        <v>0.35</v>
      </c>
      <c r="V10" s="78" t="s">
        <v>75</v>
      </c>
      <c r="W10" s="78" t="s">
        <v>75</v>
      </c>
      <c r="X10" s="78" t="s">
        <v>75</v>
      </c>
      <c r="Y10" s="78" t="s">
        <v>75</v>
      </c>
      <c r="Z10" s="78">
        <v>0.44</v>
      </c>
      <c r="AA10" s="78" t="s">
        <v>75</v>
      </c>
      <c r="AB10" s="78" t="s">
        <v>75</v>
      </c>
      <c r="AC10" s="78" t="s">
        <v>75</v>
      </c>
      <c r="AD10" s="78" t="s">
        <v>75</v>
      </c>
      <c r="AE10" s="78" t="s">
        <v>75</v>
      </c>
      <c r="AF10" s="78" t="s">
        <v>75</v>
      </c>
      <c r="AG10" s="78" t="s">
        <v>75</v>
      </c>
      <c r="AH10" s="78" t="s">
        <v>75</v>
      </c>
      <c r="AI10" s="78">
        <v>0.1</v>
      </c>
      <c r="AJ10" s="78">
        <v>0.06</v>
      </c>
      <c r="AK10" s="78">
        <f t="shared" si="4"/>
        <v>1.6666666666666667</v>
      </c>
      <c r="AL10" s="78" t="s">
        <v>75</v>
      </c>
      <c r="AM10" s="78" t="s">
        <v>75</v>
      </c>
      <c r="AN10" s="78">
        <f t="shared" si="10"/>
        <v>9.7087378640776698E-2</v>
      </c>
      <c r="AO10" s="78">
        <f t="shared" si="5"/>
        <v>0.38461538461538464</v>
      </c>
      <c r="AP10" s="78">
        <v>0.26</v>
      </c>
      <c r="AQ10" s="78">
        <v>0.16</v>
      </c>
      <c r="AR10" s="78">
        <f t="shared" si="12"/>
        <v>0.11764705882352942</v>
      </c>
      <c r="AS10" s="78">
        <f t="shared" si="6"/>
        <v>1.625</v>
      </c>
      <c r="AT10" s="78">
        <f t="shared" si="11"/>
        <v>0.25242718446601942</v>
      </c>
      <c r="AU10" s="78" t="s">
        <v>75</v>
      </c>
      <c r="AV10" s="78" t="s">
        <v>75</v>
      </c>
      <c r="AW10" s="78" t="s">
        <v>75</v>
      </c>
      <c r="AX10" s="78" t="s">
        <v>75</v>
      </c>
      <c r="AY10" s="180"/>
      <c r="AZ10" s="87">
        <v>11</v>
      </c>
      <c r="BA10" s="87"/>
      <c r="BB10" s="87"/>
      <c r="BC10" s="88"/>
    </row>
    <row r="11" spans="2:55" ht="12.75" customHeight="1" x14ac:dyDescent="0.2">
      <c r="B11" s="83">
        <v>22143</v>
      </c>
      <c r="C11" s="70" t="s">
        <v>226</v>
      </c>
      <c r="D11" s="71" t="s">
        <v>229</v>
      </c>
      <c r="E11" s="71" t="s">
        <v>200</v>
      </c>
      <c r="F11" s="72">
        <f>1.4</f>
        <v>1.4</v>
      </c>
      <c r="G11" s="82">
        <f t="shared" ref="G11:G12" si="13">I11+J11+K11+L11+M11+N11+O11</f>
        <v>3.3000000000000003</v>
      </c>
      <c r="H11" s="82">
        <f t="shared" ref="H11:H12" si="14">G11/F11</f>
        <v>2.3571428571428577</v>
      </c>
      <c r="I11" s="72">
        <v>0.1</v>
      </c>
      <c r="J11" s="72">
        <v>0.05</v>
      </c>
      <c r="K11" s="72">
        <v>0.68</v>
      </c>
      <c r="L11" s="72">
        <v>0.5</v>
      </c>
      <c r="M11" s="72">
        <v>0.49</v>
      </c>
      <c r="N11" s="72">
        <v>0.11</v>
      </c>
      <c r="O11" s="72">
        <v>1.37</v>
      </c>
      <c r="P11" s="72">
        <f>N:N+O:O</f>
        <v>1.4800000000000002</v>
      </c>
      <c r="Q11" s="82">
        <f t="shared" si="0"/>
        <v>2.1764705882352944</v>
      </c>
      <c r="R11" s="82">
        <f t="shared" si="1"/>
        <v>0.72058823529411753</v>
      </c>
      <c r="S11" s="82">
        <f t="shared" si="2"/>
        <v>0.73529411764705876</v>
      </c>
      <c r="T11" s="82">
        <f t="shared" si="3"/>
        <v>12.454545454545455</v>
      </c>
      <c r="U11" s="72">
        <v>0.25</v>
      </c>
      <c r="V11" s="72">
        <f t="shared" si="9"/>
        <v>13.200000000000001</v>
      </c>
      <c r="W11" s="72">
        <v>0.48</v>
      </c>
      <c r="X11" s="72">
        <v>0.1</v>
      </c>
      <c r="Y11" s="72">
        <f>W:W/X:X</f>
        <v>4.8</v>
      </c>
      <c r="Z11" s="72">
        <v>0.32</v>
      </c>
      <c r="AA11" s="72">
        <v>0.41</v>
      </c>
      <c r="AB11" s="72">
        <f>AA11/F11</f>
        <v>0.29285714285714287</v>
      </c>
      <c r="AC11" s="72">
        <v>0.99</v>
      </c>
      <c r="AD11" s="72">
        <f>AC11/F11</f>
        <v>0.70714285714285718</v>
      </c>
      <c r="AE11" s="72">
        <v>0.09</v>
      </c>
      <c r="AF11" s="72">
        <f>AE:AE/K:K</f>
        <v>0.13235294117647056</v>
      </c>
      <c r="AG11" s="72">
        <f>AE:AE/P:P</f>
        <v>6.08108108108108E-2</v>
      </c>
      <c r="AH11" s="72">
        <f>AE11/N11</f>
        <v>0.81818181818181812</v>
      </c>
      <c r="AI11" s="72">
        <v>0.08</v>
      </c>
      <c r="AJ11" s="72">
        <v>0.06</v>
      </c>
      <c r="AK11" s="72">
        <f t="shared" si="4"/>
        <v>1.3333333333333335</v>
      </c>
      <c r="AL11" s="72">
        <f>AI11/AE11</f>
        <v>0.88888888888888895</v>
      </c>
      <c r="AM11" s="72">
        <f>AI11/N11</f>
        <v>0.72727272727272729</v>
      </c>
      <c r="AN11" s="72">
        <f t="shared" si="10"/>
        <v>0.11764705882352941</v>
      </c>
      <c r="AO11" s="72">
        <f t="shared" si="5"/>
        <v>0.38095238095238099</v>
      </c>
      <c r="AP11" s="72">
        <v>0.21</v>
      </c>
      <c r="AQ11" s="72">
        <v>0.11</v>
      </c>
      <c r="AR11" s="72">
        <f t="shared" si="12"/>
        <v>0.15</v>
      </c>
      <c r="AS11" s="72">
        <f t="shared" si="6"/>
        <v>1.9090909090909089</v>
      </c>
      <c r="AT11" s="72">
        <f t="shared" si="11"/>
        <v>0.30882352941176466</v>
      </c>
      <c r="AU11" s="72">
        <v>7.0000000000000007E-2</v>
      </c>
      <c r="AV11" s="72">
        <v>0.11</v>
      </c>
      <c r="AW11" s="72">
        <f t="shared" ref="AW11:AW26" si="15">AU11/AV11</f>
        <v>0.63636363636363646</v>
      </c>
      <c r="AX11" s="82">
        <f t="shared" ref="AX11:AX26" si="16">AP11/AU11</f>
        <v>2.9999999999999996</v>
      </c>
      <c r="AY11" s="185"/>
      <c r="AZ11" s="72" t="s">
        <v>75</v>
      </c>
      <c r="BA11" s="84"/>
      <c r="BB11" s="84"/>
      <c r="BC11" s="85"/>
    </row>
    <row r="12" spans="2:55" ht="12.75" customHeight="1" x14ac:dyDescent="0.2">
      <c r="B12" s="69"/>
      <c r="C12" s="71"/>
      <c r="D12" s="71"/>
      <c r="E12" s="71"/>
      <c r="F12" s="72">
        <f>1.4</f>
        <v>1.4</v>
      </c>
      <c r="G12" s="82">
        <f t="shared" si="13"/>
        <v>3.35</v>
      </c>
      <c r="H12" s="82">
        <f t="shared" si="14"/>
        <v>2.3928571428571432</v>
      </c>
      <c r="I12" s="72">
        <v>0.09</v>
      </c>
      <c r="J12" s="72">
        <v>0.04</v>
      </c>
      <c r="K12" s="72">
        <v>0.69</v>
      </c>
      <c r="L12" s="72">
        <v>0.49</v>
      </c>
      <c r="M12" s="72">
        <v>0.52</v>
      </c>
      <c r="N12" s="72">
        <v>0.12</v>
      </c>
      <c r="O12" s="72">
        <v>1.4</v>
      </c>
      <c r="P12" s="72">
        <f>N:N+O:O</f>
        <v>1.52</v>
      </c>
      <c r="Q12" s="82">
        <f t="shared" si="0"/>
        <v>2.2028985507246377</v>
      </c>
      <c r="R12" s="82">
        <f t="shared" si="1"/>
        <v>0.75362318840579723</v>
      </c>
      <c r="S12" s="82">
        <f t="shared" si="2"/>
        <v>0.71014492753623193</v>
      </c>
      <c r="T12" s="82">
        <f t="shared" si="3"/>
        <v>11.666666666666666</v>
      </c>
      <c r="U12" s="72">
        <v>0.25</v>
      </c>
      <c r="V12" s="72">
        <f t="shared" si="9"/>
        <v>13.4</v>
      </c>
      <c r="W12" s="72">
        <v>0.48</v>
      </c>
      <c r="X12" s="72">
        <v>0.1</v>
      </c>
      <c r="Y12" s="72">
        <f>W:W/X:X</f>
        <v>4.8</v>
      </c>
      <c r="Z12" s="72" t="s">
        <v>75</v>
      </c>
      <c r="AA12" s="72" t="s">
        <v>75</v>
      </c>
      <c r="AB12" s="72" t="s">
        <v>75</v>
      </c>
      <c r="AC12" s="72" t="s">
        <v>75</v>
      </c>
      <c r="AD12" s="72" t="s">
        <v>75</v>
      </c>
      <c r="AE12" s="72" t="s">
        <v>75</v>
      </c>
      <c r="AF12" s="72" t="s">
        <v>75</v>
      </c>
      <c r="AG12" s="72" t="s">
        <v>75</v>
      </c>
      <c r="AH12" s="72" t="s">
        <v>75</v>
      </c>
      <c r="AI12" s="72">
        <v>0.08</v>
      </c>
      <c r="AJ12" s="72">
        <v>0.06</v>
      </c>
      <c r="AK12" s="72">
        <f t="shared" si="4"/>
        <v>1.3333333333333335</v>
      </c>
      <c r="AL12" s="72" t="s">
        <v>75</v>
      </c>
      <c r="AM12" s="72">
        <f>AI12/N12</f>
        <v>0.66666666666666674</v>
      </c>
      <c r="AN12" s="72">
        <f t="shared" si="10"/>
        <v>0.11594202898550726</v>
      </c>
      <c r="AO12" s="72">
        <f t="shared" si="5"/>
        <v>0.39999999999999997</v>
      </c>
      <c r="AP12" s="72">
        <v>0.2</v>
      </c>
      <c r="AQ12" s="72">
        <v>0.1</v>
      </c>
      <c r="AR12" s="72">
        <f t="shared" si="12"/>
        <v>0.14285714285714288</v>
      </c>
      <c r="AS12" s="72">
        <f t="shared" si="6"/>
        <v>2</v>
      </c>
      <c r="AT12" s="72">
        <f t="shared" si="11"/>
        <v>0.28985507246376818</v>
      </c>
      <c r="AU12" s="72">
        <v>7.0000000000000007E-2</v>
      </c>
      <c r="AV12" s="72">
        <v>0.11</v>
      </c>
      <c r="AW12" s="72">
        <f t="shared" si="15"/>
        <v>0.63636363636363646</v>
      </c>
      <c r="AX12" s="82">
        <f t="shared" si="16"/>
        <v>2.8571428571428572</v>
      </c>
      <c r="AY12" s="185"/>
      <c r="AZ12" s="72" t="s">
        <v>75</v>
      </c>
      <c r="BA12" s="84"/>
      <c r="BB12" s="84"/>
      <c r="BC12" s="85"/>
    </row>
    <row r="13" spans="2:55" ht="12.75" customHeight="1" x14ac:dyDescent="0.2">
      <c r="B13" s="86">
        <v>25405</v>
      </c>
      <c r="C13" s="76" t="s">
        <v>226</v>
      </c>
      <c r="D13" s="77" t="s">
        <v>227</v>
      </c>
      <c r="E13" s="77" t="s">
        <v>246</v>
      </c>
      <c r="F13" s="78">
        <f>1.46+0.52</f>
        <v>1.98</v>
      </c>
      <c r="G13" s="80">
        <f>I13+J13+K13+L13+M13+N13+O13</f>
        <v>4.17</v>
      </c>
      <c r="H13" s="80">
        <f>G13/F13</f>
        <v>2.106060606060606</v>
      </c>
      <c r="I13" s="78">
        <v>0.11</v>
      </c>
      <c r="J13" s="78">
        <v>0.06</v>
      </c>
      <c r="K13" s="78">
        <v>0.87</v>
      </c>
      <c r="L13" s="78">
        <v>0.69</v>
      </c>
      <c r="M13" s="78">
        <v>0.74</v>
      </c>
      <c r="N13" s="78">
        <v>0.15</v>
      </c>
      <c r="O13" s="78">
        <v>1.55</v>
      </c>
      <c r="P13" s="78">
        <f>N:N+O:O</f>
        <v>1.7</v>
      </c>
      <c r="Q13" s="80">
        <f t="shared" si="0"/>
        <v>1.9540229885057472</v>
      </c>
      <c r="R13" s="80">
        <f t="shared" si="1"/>
        <v>0.85057471264367812</v>
      </c>
      <c r="S13" s="80">
        <f t="shared" si="2"/>
        <v>0.79310344827586199</v>
      </c>
      <c r="T13" s="80">
        <f t="shared" si="3"/>
        <v>10.333333333333334</v>
      </c>
      <c r="U13" s="78">
        <v>0.3</v>
      </c>
      <c r="V13" s="78">
        <f t="shared" si="9"/>
        <v>13.9</v>
      </c>
      <c r="W13" s="78">
        <v>0.66</v>
      </c>
      <c r="X13" s="78">
        <v>0.14000000000000001</v>
      </c>
      <c r="Y13" s="78">
        <f>W:W/X:X</f>
        <v>4.7142857142857144</v>
      </c>
      <c r="Z13" s="78">
        <v>0.41</v>
      </c>
      <c r="AA13" s="78">
        <v>0.56999999999999995</v>
      </c>
      <c r="AB13" s="78">
        <f t="shared" ref="AB13:AB25" si="17">AA13/F13</f>
        <v>0.28787878787878785</v>
      </c>
      <c r="AC13" s="78">
        <v>1.35</v>
      </c>
      <c r="AD13" s="78">
        <f t="shared" ref="AD13:AD23" si="18">AC13/F13</f>
        <v>0.68181818181818188</v>
      </c>
      <c r="AE13" s="78">
        <v>0.12</v>
      </c>
      <c r="AF13" s="78">
        <f>AE:AE/K:K</f>
        <v>0.13793103448275862</v>
      </c>
      <c r="AG13" s="78">
        <f>AE:AE/P:P</f>
        <v>7.0588235294117646E-2</v>
      </c>
      <c r="AH13" s="78">
        <f>AE13/N13</f>
        <v>0.8</v>
      </c>
      <c r="AI13" s="78">
        <v>0.09</v>
      </c>
      <c r="AJ13" s="78">
        <v>0.06</v>
      </c>
      <c r="AK13" s="78">
        <f t="shared" si="4"/>
        <v>1.5</v>
      </c>
      <c r="AL13" s="78">
        <f>AI13/AE13</f>
        <v>0.75</v>
      </c>
      <c r="AM13" s="78">
        <f>AI13/N13</f>
        <v>0.6</v>
      </c>
      <c r="AN13" s="78">
        <f t="shared" si="10"/>
        <v>0.10344827586206896</v>
      </c>
      <c r="AO13" s="78">
        <f t="shared" si="5"/>
        <v>0.375</v>
      </c>
      <c r="AP13" s="78">
        <v>0.24</v>
      </c>
      <c r="AQ13" s="78">
        <v>0.14000000000000001</v>
      </c>
      <c r="AR13" s="78">
        <f t="shared" si="12"/>
        <v>0.12121212121212122</v>
      </c>
      <c r="AS13" s="78">
        <f t="shared" si="6"/>
        <v>1.714285714285714</v>
      </c>
      <c r="AT13" s="78">
        <f t="shared" si="11"/>
        <v>0.27586206896551724</v>
      </c>
      <c r="AU13" s="78">
        <v>0.08</v>
      </c>
      <c r="AV13" s="78">
        <v>0.11</v>
      </c>
      <c r="AW13" s="78">
        <f t="shared" si="15"/>
        <v>0.72727272727272729</v>
      </c>
      <c r="AX13" s="80">
        <f t="shared" si="16"/>
        <v>3</v>
      </c>
      <c r="AY13" s="180"/>
      <c r="AZ13" s="87">
        <v>15</v>
      </c>
      <c r="BA13" s="87"/>
      <c r="BB13" s="87"/>
      <c r="BC13" s="88"/>
    </row>
    <row r="14" spans="2:55" ht="12.75" customHeight="1" x14ac:dyDescent="0.2">
      <c r="B14" s="75"/>
      <c r="C14" s="77"/>
      <c r="D14" s="77"/>
      <c r="E14" s="77"/>
      <c r="F14" s="78">
        <f>1.46+0.52</f>
        <v>1.98</v>
      </c>
      <c r="G14" s="78" t="s">
        <v>75</v>
      </c>
      <c r="H14" s="78" t="s">
        <v>75</v>
      </c>
      <c r="I14" s="78">
        <v>0.11</v>
      </c>
      <c r="J14" s="78">
        <v>0.06</v>
      </c>
      <c r="K14" s="78" t="s">
        <v>75</v>
      </c>
      <c r="L14" s="78" t="s">
        <v>75</v>
      </c>
      <c r="M14" s="78" t="s">
        <v>75</v>
      </c>
      <c r="N14" s="78" t="s">
        <v>75</v>
      </c>
      <c r="O14" s="78" t="s">
        <v>75</v>
      </c>
      <c r="P14" s="78" t="s">
        <v>75</v>
      </c>
      <c r="Q14" s="78" t="s">
        <v>75</v>
      </c>
      <c r="R14" s="78" t="s">
        <v>75</v>
      </c>
      <c r="S14" s="78" t="s">
        <v>75</v>
      </c>
      <c r="T14" s="78" t="s">
        <v>75</v>
      </c>
      <c r="U14" s="78">
        <v>0.3</v>
      </c>
      <c r="V14" s="78" t="s">
        <v>75</v>
      </c>
      <c r="W14" s="78" t="s">
        <v>75</v>
      </c>
      <c r="X14" s="78" t="s">
        <v>75</v>
      </c>
      <c r="Y14" s="78" t="s">
        <v>75</v>
      </c>
      <c r="Z14" s="78" t="s">
        <v>75</v>
      </c>
      <c r="AA14" s="78">
        <v>0.56999999999999995</v>
      </c>
      <c r="AB14" s="78">
        <f t="shared" si="17"/>
        <v>0.28787878787878785</v>
      </c>
      <c r="AC14" s="78">
        <v>1.37</v>
      </c>
      <c r="AD14" s="78">
        <f t="shared" si="18"/>
        <v>0.69191919191919193</v>
      </c>
      <c r="AE14" s="78">
        <v>0.12</v>
      </c>
      <c r="AF14" s="78" t="s">
        <v>75</v>
      </c>
      <c r="AG14" s="78" t="s">
        <v>75</v>
      </c>
      <c r="AH14" s="78" t="s">
        <v>75</v>
      </c>
      <c r="AI14" s="78">
        <v>0.09</v>
      </c>
      <c r="AJ14" s="78">
        <v>0.06</v>
      </c>
      <c r="AK14" s="78">
        <f t="shared" si="4"/>
        <v>1.5</v>
      </c>
      <c r="AL14" s="78">
        <f>AI14/AE14</f>
        <v>0.75</v>
      </c>
      <c r="AM14" s="78" t="s">
        <v>75</v>
      </c>
      <c r="AN14" s="78" t="s">
        <v>75</v>
      </c>
      <c r="AO14" s="78">
        <f t="shared" si="5"/>
        <v>0.36</v>
      </c>
      <c r="AP14" s="78">
        <v>0.25</v>
      </c>
      <c r="AQ14" s="78">
        <v>0.13</v>
      </c>
      <c r="AR14" s="78">
        <f t="shared" si="12"/>
        <v>0.12626262626262627</v>
      </c>
      <c r="AS14" s="78">
        <f t="shared" si="6"/>
        <v>1.9230769230769229</v>
      </c>
      <c r="AT14" s="78" t="s">
        <v>75</v>
      </c>
      <c r="AU14" s="78">
        <v>0.08</v>
      </c>
      <c r="AV14" s="78">
        <v>0.11</v>
      </c>
      <c r="AW14" s="78">
        <f t="shared" si="15"/>
        <v>0.72727272727272729</v>
      </c>
      <c r="AX14" s="80">
        <f t="shared" si="16"/>
        <v>3.125</v>
      </c>
      <c r="AY14" s="180"/>
      <c r="AZ14" s="78" t="s">
        <v>75</v>
      </c>
      <c r="BA14" s="87"/>
      <c r="BB14" s="87"/>
      <c r="BC14" s="88"/>
    </row>
    <row r="15" spans="2:55" ht="12.75" customHeight="1" x14ac:dyDescent="0.2">
      <c r="B15" s="83">
        <v>22143</v>
      </c>
      <c r="C15" s="70" t="s">
        <v>226</v>
      </c>
      <c r="D15" s="71" t="s">
        <v>228</v>
      </c>
      <c r="E15" s="71" t="s">
        <v>200</v>
      </c>
      <c r="F15" s="72">
        <f>1.38+0.6</f>
        <v>1.98</v>
      </c>
      <c r="G15" s="82">
        <f>I15+J15+K15+L15+M15+N15+O15</f>
        <v>3.7700000000000005</v>
      </c>
      <c r="H15" s="82">
        <f>G15/F15</f>
        <v>1.9040404040404042</v>
      </c>
      <c r="I15" s="72">
        <v>0.1</v>
      </c>
      <c r="J15" s="72">
        <v>0.05</v>
      </c>
      <c r="K15" s="72">
        <v>0.91</v>
      </c>
      <c r="L15" s="72">
        <v>0.62</v>
      </c>
      <c r="M15" s="72">
        <v>0.64</v>
      </c>
      <c r="N15" s="72">
        <v>0.15</v>
      </c>
      <c r="O15" s="72">
        <v>1.3</v>
      </c>
      <c r="P15" s="72">
        <f>N:N+O:O</f>
        <v>1.45</v>
      </c>
      <c r="Q15" s="82">
        <f t="shared" si="0"/>
        <v>1.5934065934065933</v>
      </c>
      <c r="R15" s="82">
        <f t="shared" si="1"/>
        <v>0.70329670329670324</v>
      </c>
      <c r="S15" s="82">
        <f t="shared" si="2"/>
        <v>0.68131868131868134</v>
      </c>
      <c r="T15" s="82">
        <f t="shared" si="3"/>
        <v>8.6666666666666679</v>
      </c>
      <c r="U15" s="72">
        <v>0.3</v>
      </c>
      <c r="V15" s="72">
        <f t="shared" si="9"/>
        <v>12.566666666666668</v>
      </c>
      <c r="W15" s="72">
        <v>0.69</v>
      </c>
      <c r="X15" s="72">
        <v>0.14000000000000001</v>
      </c>
      <c r="Y15" s="72">
        <f>W:W/X:X</f>
        <v>4.9285714285714279</v>
      </c>
      <c r="Z15" s="72">
        <v>0.37</v>
      </c>
      <c r="AA15" s="72">
        <v>0.54</v>
      </c>
      <c r="AB15" s="72">
        <f t="shared" si="17"/>
        <v>0.27272727272727276</v>
      </c>
      <c r="AC15" s="72">
        <v>1.26</v>
      </c>
      <c r="AD15" s="72">
        <f t="shared" si="18"/>
        <v>0.63636363636363635</v>
      </c>
      <c r="AE15" s="72">
        <v>0.1</v>
      </c>
      <c r="AF15" s="72">
        <f t="shared" ref="AF15:AF25" si="19">AE:AE/K:K</f>
        <v>0.10989010989010989</v>
      </c>
      <c r="AG15" s="72">
        <f>AE:AE/P:P</f>
        <v>6.8965517241379309E-2</v>
      </c>
      <c r="AH15" s="72">
        <f t="shared" ref="AH15:AH25" si="20">AE15/N15</f>
        <v>0.66666666666666674</v>
      </c>
      <c r="AI15" s="72" t="s">
        <v>75</v>
      </c>
      <c r="AJ15" s="72" t="s">
        <v>75</v>
      </c>
      <c r="AK15" s="72" t="s">
        <v>75</v>
      </c>
      <c r="AL15" s="72" t="s">
        <v>75</v>
      </c>
      <c r="AM15" s="72" t="s">
        <v>75</v>
      </c>
      <c r="AN15" s="72" t="s">
        <v>75</v>
      </c>
      <c r="AO15" s="72" t="s">
        <v>75</v>
      </c>
      <c r="AP15" s="72">
        <v>0.25</v>
      </c>
      <c r="AQ15" s="72">
        <v>0.15</v>
      </c>
      <c r="AR15" s="72">
        <f t="shared" si="12"/>
        <v>0.12626262626262627</v>
      </c>
      <c r="AS15" s="72">
        <f t="shared" si="6"/>
        <v>1.6666666666666667</v>
      </c>
      <c r="AT15" s="72">
        <f t="shared" ref="AT15:AT31" si="21">AP15/K15</f>
        <v>0.27472527472527469</v>
      </c>
      <c r="AU15" s="72">
        <v>0.1</v>
      </c>
      <c r="AV15" s="72">
        <v>0.11</v>
      </c>
      <c r="AW15" s="72">
        <f t="shared" si="15"/>
        <v>0.90909090909090917</v>
      </c>
      <c r="AX15" s="82">
        <f t="shared" si="16"/>
        <v>2.5</v>
      </c>
      <c r="AY15" s="185"/>
      <c r="AZ15" s="84">
        <v>12</v>
      </c>
      <c r="BA15" s="84"/>
      <c r="BB15" s="84"/>
      <c r="BC15" s="85"/>
    </row>
    <row r="16" spans="2:55" ht="12.75" customHeight="1" x14ac:dyDescent="0.2">
      <c r="B16" s="69"/>
      <c r="C16" s="71"/>
      <c r="D16" s="71"/>
      <c r="E16" s="71"/>
      <c r="F16" s="72">
        <f>1.38+0.6</f>
        <v>1.98</v>
      </c>
      <c r="G16" s="82">
        <f>I16+J16+K16+L16+M16+N16+O16</f>
        <v>3.87</v>
      </c>
      <c r="H16" s="82">
        <f>G16/F16</f>
        <v>1.9545454545454546</v>
      </c>
      <c r="I16" s="72">
        <v>0.09</v>
      </c>
      <c r="J16" s="72">
        <v>0.05</v>
      </c>
      <c r="K16" s="72">
        <v>0.93</v>
      </c>
      <c r="L16" s="72">
        <v>0.62</v>
      </c>
      <c r="M16" s="72">
        <v>0.64</v>
      </c>
      <c r="N16" s="72">
        <v>0.14000000000000001</v>
      </c>
      <c r="O16" s="72">
        <v>1.4</v>
      </c>
      <c r="P16" s="72">
        <f>N:N+O:O</f>
        <v>1.54</v>
      </c>
      <c r="Q16" s="82">
        <f t="shared" si="0"/>
        <v>1.6559139784946235</v>
      </c>
      <c r="R16" s="82">
        <f t="shared" si="1"/>
        <v>0.68817204301075263</v>
      </c>
      <c r="S16" s="82">
        <f t="shared" si="2"/>
        <v>0.66666666666666663</v>
      </c>
      <c r="T16" s="82">
        <f t="shared" si="3"/>
        <v>9.9999999999999982</v>
      </c>
      <c r="U16" s="72">
        <v>0.3</v>
      </c>
      <c r="V16" s="72">
        <f t="shared" si="9"/>
        <v>12.9</v>
      </c>
      <c r="W16" s="72">
        <v>0.67</v>
      </c>
      <c r="X16" s="72">
        <v>0.13</v>
      </c>
      <c r="Y16" s="72">
        <f>W:W/X:X</f>
        <v>5.1538461538461542</v>
      </c>
      <c r="Z16" s="72">
        <v>0.37</v>
      </c>
      <c r="AA16" s="72">
        <v>0.55000000000000004</v>
      </c>
      <c r="AB16" s="72">
        <f t="shared" si="17"/>
        <v>0.27777777777777779</v>
      </c>
      <c r="AC16" s="72">
        <v>1.27</v>
      </c>
      <c r="AD16" s="72">
        <f t="shared" si="18"/>
        <v>0.64141414141414144</v>
      </c>
      <c r="AE16" s="72">
        <v>0.11</v>
      </c>
      <c r="AF16" s="72">
        <f t="shared" si="19"/>
        <v>0.11827956989247311</v>
      </c>
      <c r="AG16" s="72">
        <f>AE:AE/P:P</f>
        <v>7.1428571428571425E-2</v>
      </c>
      <c r="AH16" s="72">
        <f t="shared" si="20"/>
        <v>0.7857142857142857</v>
      </c>
      <c r="AI16" s="72" t="s">
        <v>75</v>
      </c>
      <c r="AJ16" s="72" t="s">
        <v>75</v>
      </c>
      <c r="AK16" s="72" t="s">
        <v>75</v>
      </c>
      <c r="AL16" s="72" t="s">
        <v>75</v>
      </c>
      <c r="AM16" s="72" t="s">
        <v>75</v>
      </c>
      <c r="AN16" s="72" t="s">
        <v>75</v>
      </c>
      <c r="AO16" s="72" t="s">
        <v>75</v>
      </c>
      <c r="AP16" s="72">
        <v>0.25</v>
      </c>
      <c r="AQ16" s="72">
        <v>0.15</v>
      </c>
      <c r="AR16" s="72">
        <f t="shared" si="12"/>
        <v>0.12626262626262627</v>
      </c>
      <c r="AS16" s="72">
        <f t="shared" si="6"/>
        <v>1.6666666666666667</v>
      </c>
      <c r="AT16" s="72">
        <f t="shared" si="21"/>
        <v>0.26881720430107525</v>
      </c>
      <c r="AU16" s="72">
        <v>0.1</v>
      </c>
      <c r="AV16" s="72">
        <v>0.11</v>
      </c>
      <c r="AW16" s="72">
        <f t="shared" si="15"/>
        <v>0.90909090909090917</v>
      </c>
      <c r="AX16" s="82">
        <f t="shared" si="16"/>
        <v>2.5</v>
      </c>
      <c r="AY16" s="185"/>
      <c r="AZ16" s="84">
        <v>14</v>
      </c>
      <c r="BA16" s="84"/>
      <c r="BB16" s="84"/>
      <c r="BC16" s="85"/>
    </row>
    <row r="17" spans="2:55" ht="12.75" customHeight="1" x14ac:dyDescent="0.2">
      <c r="B17" s="159">
        <v>21778</v>
      </c>
      <c r="C17" s="76" t="s">
        <v>226</v>
      </c>
      <c r="D17" s="77" t="s">
        <v>236</v>
      </c>
      <c r="E17" s="77" t="s">
        <v>200</v>
      </c>
      <c r="F17" s="78">
        <v>2.12</v>
      </c>
      <c r="G17" s="78" t="s">
        <v>75</v>
      </c>
      <c r="H17" s="78" t="s">
        <v>75</v>
      </c>
      <c r="I17" s="78">
        <v>0.1</v>
      </c>
      <c r="J17" s="78">
        <v>0.06</v>
      </c>
      <c r="K17" s="78">
        <v>1.04</v>
      </c>
      <c r="L17" s="78">
        <v>0.78</v>
      </c>
      <c r="M17" s="78">
        <v>0.81</v>
      </c>
      <c r="N17" s="78">
        <v>0.155</v>
      </c>
      <c r="O17" s="78" t="s">
        <v>75</v>
      </c>
      <c r="P17" s="78" t="s">
        <v>75</v>
      </c>
      <c r="Q17" s="78" t="s">
        <v>75</v>
      </c>
      <c r="R17" s="80">
        <f t="shared" si="1"/>
        <v>0.77884615384615385</v>
      </c>
      <c r="S17" s="80">
        <f t="shared" si="2"/>
        <v>0.75</v>
      </c>
      <c r="T17" s="78" t="s">
        <v>75</v>
      </c>
      <c r="U17" s="78">
        <v>0.32</v>
      </c>
      <c r="V17" s="78" t="s">
        <v>75</v>
      </c>
      <c r="W17" s="78">
        <v>0.79</v>
      </c>
      <c r="X17" s="78">
        <v>0.155</v>
      </c>
      <c r="Y17" s="78">
        <f>W:W/X:X</f>
        <v>5.096774193548387</v>
      </c>
      <c r="Z17" s="78">
        <v>0.46</v>
      </c>
      <c r="AA17" s="78">
        <v>0.64</v>
      </c>
      <c r="AB17" s="78">
        <f t="shared" si="17"/>
        <v>0.30188679245283018</v>
      </c>
      <c r="AC17" s="78">
        <v>1.49</v>
      </c>
      <c r="AD17" s="78">
        <f t="shared" si="18"/>
        <v>0.70283018867924529</v>
      </c>
      <c r="AE17" s="78">
        <v>0.114</v>
      </c>
      <c r="AF17" s="78">
        <f t="shared" si="19"/>
        <v>0.10961538461538461</v>
      </c>
      <c r="AG17" s="78" t="s">
        <v>75</v>
      </c>
      <c r="AH17" s="78">
        <f t="shared" si="20"/>
        <v>0.73548387096774193</v>
      </c>
      <c r="AI17" s="78" t="s">
        <v>75</v>
      </c>
      <c r="AJ17" s="78" t="s">
        <v>75</v>
      </c>
      <c r="AK17" s="78" t="s">
        <v>75</v>
      </c>
      <c r="AL17" s="78" t="s">
        <v>75</v>
      </c>
      <c r="AM17" s="78" t="s">
        <v>75</v>
      </c>
      <c r="AN17" s="78" t="s">
        <v>75</v>
      </c>
      <c r="AO17" s="78" t="s">
        <v>75</v>
      </c>
      <c r="AP17" s="78">
        <v>0.32</v>
      </c>
      <c r="AQ17" s="78">
        <v>0.19</v>
      </c>
      <c r="AR17" s="78">
        <f t="shared" si="12"/>
        <v>0.15094339622641509</v>
      </c>
      <c r="AS17" s="78">
        <f t="shared" si="6"/>
        <v>1.6842105263157894</v>
      </c>
      <c r="AT17" s="78">
        <f t="shared" si="21"/>
        <v>0.30769230769230771</v>
      </c>
      <c r="AU17" s="78">
        <v>0.1</v>
      </c>
      <c r="AV17" s="78">
        <v>0.11600000000000001</v>
      </c>
      <c r="AW17" s="78">
        <f t="shared" si="15"/>
        <v>0.86206896551724144</v>
      </c>
      <c r="AX17" s="80">
        <f t="shared" si="16"/>
        <v>3.1999999999999997</v>
      </c>
      <c r="AY17" s="180"/>
      <c r="AZ17" s="87">
        <v>11</v>
      </c>
      <c r="BA17" s="87"/>
      <c r="BB17" s="87"/>
      <c r="BC17" s="88"/>
    </row>
    <row r="18" spans="2:55" ht="12.75" customHeight="1" x14ac:dyDescent="0.2">
      <c r="B18" s="75"/>
      <c r="C18" s="77"/>
      <c r="D18" s="77"/>
      <c r="E18" s="77"/>
      <c r="F18" s="78">
        <v>2.12</v>
      </c>
      <c r="G18" s="78" t="s">
        <v>75</v>
      </c>
      <c r="H18" s="78" t="s">
        <v>75</v>
      </c>
      <c r="I18" s="78">
        <v>0.12</v>
      </c>
      <c r="J18" s="78">
        <v>0.06</v>
      </c>
      <c r="K18" s="78">
        <v>1.03</v>
      </c>
      <c r="L18" s="78">
        <v>0.76</v>
      </c>
      <c r="M18" s="78">
        <v>0.82</v>
      </c>
      <c r="N18" s="78">
        <v>0.15</v>
      </c>
      <c r="O18" s="78" t="s">
        <v>75</v>
      </c>
      <c r="P18" s="78" t="s">
        <v>75</v>
      </c>
      <c r="Q18" s="78" t="s">
        <v>75</v>
      </c>
      <c r="R18" s="80">
        <f t="shared" si="1"/>
        <v>0.79611650485436891</v>
      </c>
      <c r="S18" s="80">
        <f t="shared" si="2"/>
        <v>0.73786407766990292</v>
      </c>
      <c r="T18" s="78" t="s">
        <v>75</v>
      </c>
      <c r="U18" s="78">
        <v>0.32</v>
      </c>
      <c r="V18" s="78" t="s">
        <v>75</v>
      </c>
      <c r="W18" s="78" t="s">
        <v>75</v>
      </c>
      <c r="X18" s="78" t="s">
        <v>75</v>
      </c>
      <c r="Y18" s="78" t="s">
        <v>75</v>
      </c>
      <c r="Z18" s="78" t="s">
        <v>75</v>
      </c>
      <c r="AA18" s="78">
        <v>0.68</v>
      </c>
      <c r="AB18" s="78">
        <f t="shared" si="17"/>
        <v>0.32075471698113206</v>
      </c>
      <c r="AC18" s="78">
        <v>1.49</v>
      </c>
      <c r="AD18" s="78">
        <f t="shared" si="18"/>
        <v>0.70283018867924529</v>
      </c>
      <c r="AE18" s="78">
        <v>0.11600000000000001</v>
      </c>
      <c r="AF18" s="78">
        <f t="shared" si="19"/>
        <v>0.11262135922330098</v>
      </c>
      <c r="AG18" s="78" t="s">
        <v>75</v>
      </c>
      <c r="AH18" s="78">
        <f t="shared" si="20"/>
        <v>0.77333333333333343</v>
      </c>
      <c r="AI18" s="78" t="s">
        <v>75</v>
      </c>
      <c r="AJ18" s="78" t="s">
        <v>75</v>
      </c>
      <c r="AK18" s="78" t="s">
        <v>75</v>
      </c>
      <c r="AL18" s="78" t="s">
        <v>75</v>
      </c>
      <c r="AM18" s="78" t="s">
        <v>75</v>
      </c>
      <c r="AN18" s="78" t="s">
        <v>75</v>
      </c>
      <c r="AO18" s="78" t="s">
        <v>75</v>
      </c>
      <c r="AP18" s="78">
        <v>0.39</v>
      </c>
      <c r="AQ18" s="78">
        <v>0.2</v>
      </c>
      <c r="AR18" s="78">
        <f t="shared" si="12"/>
        <v>0.18396226415094338</v>
      </c>
      <c r="AS18" s="78">
        <f t="shared" si="6"/>
        <v>1.95</v>
      </c>
      <c r="AT18" s="78">
        <f t="shared" si="21"/>
        <v>0.37864077669902912</v>
      </c>
      <c r="AU18" s="78">
        <v>0.1</v>
      </c>
      <c r="AV18" s="78">
        <v>0.11600000000000001</v>
      </c>
      <c r="AW18" s="78">
        <f t="shared" si="15"/>
        <v>0.86206896551724144</v>
      </c>
      <c r="AX18" s="80">
        <f t="shared" si="16"/>
        <v>3.9</v>
      </c>
      <c r="AY18" s="180"/>
      <c r="AZ18" s="78" t="s">
        <v>75</v>
      </c>
      <c r="BA18" s="87"/>
      <c r="BB18" s="87"/>
      <c r="BC18" s="88"/>
    </row>
    <row r="19" spans="2:55" ht="12.75" customHeight="1" x14ac:dyDescent="0.2">
      <c r="B19" s="83">
        <v>24275</v>
      </c>
      <c r="C19" s="70" t="s">
        <v>226</v>
      </c>
      <c r="D19" s="71" t="s">
        <v>230</v>
      </c>
      <c r="E19" s="71" t="s">
        <v>244</v>
      </c>
      <c r="F19" s="72">
        <f>1.06+1.23</f>
        <v>2.29</v>
      </c>
      <c r="G19" s="82">
        <f>I19+J19+K19+L19+M19+N19+O19</f>
        <v>4.49</v>
      </c>
      <c r="H19" s="82">
        <f>G19/F19</f>
        <v>1.9606986899563319</v>
      </c>
      <c r="I19" s="72">
        <v>0.12</v>
      </c>
      <c r="J19" s="72">
        <v>0.06</v>
      </c>
      <c r="K19" s="72">
        <v>1.1599999999999999</v>
      </c>
      <c r="L19" s="72">
        <v>0.77</v>
      </c>
      <c r="M19" s="72">
        <v>0.8</v>
      </c>
      <c r="N19" s="72">
        <v>0.15</v>
      </c>
      <c r="O19" s="72">
        <v>1.43</v>
      </c>
      <c r="P19" s="72">
        <f>N:N+O:O</f>
        <v>1.5799999999999998</v>
      </c>
      <c r="Q19" s="82">
        <f t="shared" si="0"/>
        <v>1.3620689655172413</v>
      </c>
      <c r="R19" s="82">
        <f t="shared" si="1"/>
        <v>0.68965517241379315</v>
      </c>
      <c r="S19" s="82">
        <f t="shared" si="2"/>
        <v>0.66379310344827591</v>
      </c>
      <c r="T19" s="82">
        <f t="shared" si="3"/>
        <v>9.5333333333333332</v>
      </c>
      <c r="U19" s="72">
        <v>0.28999999999999998</v>
      </c>
      <c r="V19" s="72">
        <f t="shared" si="9"/>
        <v>15.482758620689657</v>
      </c>
      <c r="W19" s="72">
        <v>0.81</v>
      </c>
      <c r="X19" s="72">
        <v>0.1</v>
      </c>
      <c r="Y19" s="72">
        <f>W:W/X:X</f>
        <v>8.1</v>
      </c>
      <c r="Z19" s="72">
        <v>0.51</v>
      </c>
      <c r="AA19" s="72">
        <v>0.69</v>
      </c>
      <c r="AB19" s="72">
        <f t="shared" si="17"/>
        <v>0.30131004366812225</v>
      </c>
      <c r="AC19" s="72">
        <v>1.47</v>
      </c>
      <c r="AD19" s="72">
        <f t="shared" si="18"/>
        <v>0.64192139737991261</v>
      </c>
      <c r="AE19" s="72">
        <v>0.11</v>
      </c>
      <c r="AF19" s="72">
        <f t="shared" si="19"/>
        <v>9.4827586206896561E-2</v>
      </c>
      <c r="AG19" s="72">
        <f>AE:AE/P:P</f>
        <v>6.9620253164556972E-2</v>
      </c>
      <c r="AH19" s="72">
        <f t="shared" si="20"/>
        <v>0.73333333333333339</v>
      </c>
      <c r="AI19" s="72">
        <v>0.1</v>
      </c>
      <c r="AJ19" s="72">
        <v>7.0000000000000007E-2</v>
      </c>
      <c r="AK19" s="72">
        <f t="shared" ref="AK19:AK30" si="22">AI19/AJ19</f>
        <v>1.4285714285714286</v>
      </c>
      <c r="AL19" s="72">
        <f t="shared" ref="AL19:AL25" si="23">AI19/AE19</f>
        <v>0.90909090909090917</v>
      </c>
      <c r="AM19" s="72">
        <f t="shared" ref="AM19:AM30" si="24">AI19/N19</f>
        <v>0.66666666666666674</v>
      </c>
      <c r="AN19" s="72">
        <f t="shared" ref="AN19:AN31" si="25">AI:AI/K:K</f>
        <v>8.6206896551724144E-2</v>
      </c>
      <c r="AO19" s="72">
        <f t="shared" ref="AO19:AO50" si="26">AI19/AP19</f>
        <v>0.30303030303030304</v>
      </c>
      <c r="AP19" s="72">
        <v>0.33</v>
      </c>
      <c r="AQ19" s="72">
        <v>0.13</v>
      </c>
      <c r="AR19" s="72">
        <f t="shared" si="12"/>
        <v>0.14410480349344978</v>
      </c>
      <c r="AS19" s="72">
        <f t="shared" si="6"/>
        <v>2.5384615384615383</v>
      </c>
      <c r="AT19" s="72">
        <f t="shared" si="21"/>
        <v>0.28448275862068967</v>
      </c>
      <c r="AU19" s="72">
        <v>0.12</v>
      </c>
      <c r="AV19" s="72">
        <v>0.11</v>
      </c>
      <c r="AW19" s="72">
        <f t="shared" si="15"/>
        <v>1.0909090909090908</v>
      </c>
      <c r="AX19" s="82">
        <f t="shared" si="16"/>
        <v>2.7500000000000004</v>
      </c>
      <c r="AY19" s="185"/>
      <c r="AZ19" s="84">
        <v>11</v>
      </c>
      <c r="BA19" s="84"/>
      <c r="BB19" s="84"/>
      <c r="BC19" s="85"/>
    </row>
    <row r="20" spans="2:55" ht="12.75" customHeight="1" x14ac:dyDescent="0.2">
      <c r="B20" s="69"/>
      <c r="C20" s="71"/>
      <c r="D20" s="71"/>
      <c r="E20" s="71"/>
      <c r="F20" s="72">
        <f>1.06+1.23</f>
        <v>2.29</v>
      </c>
      <c r="G20" s="72" t="s">
        <v>75</v>
      </c>
      <c r="H20" s="72" t="s">
        <v>75</v>
      </c>
      <c r="I20" s="72">
        <v>0.13</v>
      </c>
      <c r="J20" s="72">
        <v>0.06</v>
      </c>
      <c r="K20" s="72">
        <v>1.1299999999999999</v>
      </c>
      <c r="L20" s="72">
        <v>0.75</v>
      </c>
      <c r="M20" s="72">
        <v>0.83</v>
      </c>
      <c r="N20" s="72">
        <v>0.16</v>
      </c>
      <c r="O20" s="72" t="s">
        <v>75</v>
      </c>
      <c r="P20" s="72" t="s">
        <v>75</v>
      </c>
      <c r="Q20" s="72" t="s">
        <v>75</v>
      </c>
      <c r="R20" s="82">
        <f t="shared" si="1"/>
        <v>0.73451327433628322</v>
      </c>
      <c r="S20" s="82">
        <f t="shared" si="2"/>
        <v>0.66371681415929207</v>
      </c>
      <c r="T20" s="72" t="s">
        <v>75</v>
      </c>
      <c r="U20" s="72">
        <v>0.28999999999999998</v>
      </c>
      <c r="V20" s="72" t="s">
        <v>75</v>
      </c>
      <c r="W20" s="72" t="s">
        <v>75</v>
      </c>
      <c r="X20" s="72" t="s">
        <v>75</v>
      </c>
      <c r="Y20" s="72" t="s">
        <v>75</v>
      </c>
      <c r="Z20" s="72">
        <v>0.52</v>
      </c>
      <c r="AA20" s="72">
        <v>0.7</v>
      </c>
      <c r="AB20" s="72">
        <f t="shared" si="17"/>
        <v>0.3056768558951965</v>
      </c>
      <c r="AC20" s="72">
        <v>1.45</v>
      </c>
      <c r="AD20" s="72">
        <f t="shared" si="18"/>
        <v>0.63318777292576411</v>
      </c>
      <c r="AE20" s="72">
        <v>0.11</v>
      </c>
      <c r="AF20" s="72">
        <f t="shared" si="19"/>
        <v>9.7345132743362844E-2</v>
      </c>
      <c r="AG20" s="72" t="s">
        <v>75</v>
      </c>
      <c r="AH20" s="72">
        <f t="shared" si="20"/>
        <v>0.6875</v>
      </c>
      <c r="AI20" s="72">
        <v>0.1</v>
      </c>
      <c r="AJ20" s="72">
        <v>7.0000000000000007E-2</v>
      </c>
      <c r="AK20" s="72">
        <f t="shared" si="22"/>
        <v>1.4285714285714286</v>
      </c>
      <c r="AL20" s="72">
        <f t="shared" si="23"/>
        <v>0.90909090909090917</v>
      </c>
      <c r="AM20" s="72">
        <f t="shared" si="24"/>
        <v>0.625</v>
      </c>
      <c r="AN20" s="72">
        <f t="shared" si="25"/>
        <v>8.8495575221238951E-2</v>
      </c>
      <c r="AO20" s="72">
        <f t="shared" si="26"/>
        <v>0.30303030303030304</v>
      </c>
      <c r="AP20" s="72">
        <v>0.33</v>
      </c>
      <c r="AQ20" s="72">
        <v>0.12</v>
      </c>
      <c r="AR20" s="72">
        <f t="shared" si="12"/>
        <v>0.14410480349344978</v>
      </c>
      <c r="AS20" s="72">
        <f t="shared" si="6"/>
        <v>2.7500000000000004</v>
      </c>
      <c r="AT20" s="72">
        <f t="shared" si="21"/>
        <v>0.29203539823008856</v>
      </c>
      <c r="AU20" s="72">
        <v>0.12</v>
      </c>
      <c r="AV20" s="72">
        <v>0.11</v>
      </c>
      <c r="AW20" s="72">
        <f t="shared" si="15"/>
        <v>1.0909090909090908</v>
      </c>
      <c r="AX20" s="82">
        <f t="shared" si="16"/>
        <v>2.7500000000000004</v>
      </c>
      <c r="AY20" s="185"/>
      <c r="AZ20" s="84">
        <v>14</v>
      </c>
      <c r="BA20" s="84"/>
      <c r="BB20" s="84"/>
      <c r="BC20" s="85"/>
    </row>
    <row r="21" spans="2:55" ht="12.75" customHeight="1" x14ac:dyDescent="0.2">
      <c r="B21" s="86">
        <v>24275</v>
      </c>
      <c r="C21" s="76" t="s">
        <v>226</v>
      </c>
      <c r="D21" s="77" t="s">
        <v>230</v>
      </c>
      <c r="E21" s="77" t="s">
        <v>244</v>
      </c>
      <c r="F21" s="78">
        <f>1.18+0.97</f>
        <v>2.15</v>
      </c>
      <c r="G21" s="80">
        <f>I21+J21+K21+L21+M21+N21+O21</f>
        <v>4.8</v>
      </c>
      <c r="H21" s="80">
        <f>G21/F21</f>
        <v>2.2325581395348837</v>
      </c>
      <c r="I21" s="78">
        <v>0.12</v>
      </c>
      <c r="J21" s="78">
        <v>0.06</v>
      </c>
      <c r="K21" s="78">
        <v>1.01</v>
      </c>
      <c r="L21" s="78">
        <v>0.74</v>
      </c>
      <c r="M21" s="78">
        <v>0.78</v>
      </c>
      <c r="N21" s="78">
        <v>0.15</v>
      </c>
      <c r="O21" s="78">
        <v>1.94</v>
      </c>
      <c r="P21" s="78">
        <f>N:N+O:O</f>
        <v>2.09</v>
      </c>
      <c r="Q21" s="80">
        <f t="shared" si="0"/>
        <v>2.0693069306930694</v>
      </c>
      <c r="R21" s="80">
        <f t="shared" si="1"/>
        <v>0.7722772277227723</v>
      </c>
      <c r="S21" s="80">
        <f t="shared" si="2"/>
        <v>0.73267326732673266</v>
      </c>
      <c r="T21" s="80">
        <f t="shared" si="3"/>
        <v>12.933333333333334</v>
      </c>
      <c r="U21" s="78">
        <v>0.32</v>
      </c>
      <c r="V21" s="78">
        <f t="shared" si="9"/>
        <v>15</v>
      </c>
      <c r="W21" s="78">
        <v>0.74</v>
      </c>
      <c r="X21" s="78">
        <v>0.1</v>
      </c>
      <c r="Y21" s="78">
        <f>W:W/X:X</f>
        <v>7.3999999999999995</v>
      </c>
      <c r="Z21" s="78">
        <v>0.46</v>
      </c>
      <c r="AA21" s="78">
        <v>0.62</v>
      </c>
      <c r="AB21" s="78">
        <f t="shared" si="17"/>
        <v>0.28837209302325584</v>
      </c>
      <c r="AC21" s="78">
        <v>1.5</v>
      </c>
      <c r="AD21" s="78">
        <f t="shared" si="18"/>
        <v>0.69767441860465118</v>
      </c>
      <c r="AE21" s="78">
        <v>0.09</v>
      </c>
      <c r="AF21" s="78">
        <f t="shared" si="19"/>
        <v>8.9108910891089105E-2</v>
      </c>
      <c r="AG21" s="78">
        <f>AE:AE/P:P</f>
        <v>4.3062200956937802E-2</v>
      </c>
      <c r="AH21" s="78">
        <f t="shared" si="20"/>
        <v>0.6</v>
      </c>
      <c r="AI21" s="78">
        <v>0.1</v>
      </c>
      <c r="AJ21" s="78">
        <v>0.06</v>
      </c>
      <c r="AK21" s="78">
        <f t="shared" si="22"/>
        <v>1.6666666666666667</v>
      </c>
      <c r="AL21" s="78">
        <f t="shared" si="23"/>
        <v>1.1111111111111112</v>
      </c>
      <c r="AM21" s="78">
        <f t="shared" si="24"/>
        <v>0.66666666666666674</v>
      </c>
      <c r="AN21" s="78">
        <f t="shared" si="25"/>
        <v>9.9009900990099015E-2</v>
      </c>
      <c r="AO21" s="78">
        <f t="shared" si="26"/>
        <v>0.34482758620689657</v>
      </c>
      <c r="AP21" s="78">
        <v>0.28999999999999998</v>
      </c>
      <c r="AQ21" s="78">
        <v>0.1</v>
      </c>
      <c r="AR21" s="78">
        <f t="shared" si="12"/>
        <v>0.13488372093023254</v>
      </c>
      <c r="AS21" s="78">
        <f t="shared" si="6"/>
        <v>2.8999999999999995</v>
      </c>
      <c r="AT21" s="78">
        <f t="shared" si="21"/>
        <v>0.28712871287128711</v>
      </c>
      <c r="AU21" s="78">
        <v>0.1</v>
      </c>
      <c r="AV21" s="78">
        <v>0.1</v>
      </c>
      <c r="AW21" s="78">
        <f t="shared" si="15"/>
        <v>1</v>
      </c>
      <c r="AX21" s="80">
        <f t="shared" si="16"/>
        <v>2.8999999999999995</v>
      </c>
      <c r="AY21" s="180"/>
      <c r="AZ21" s="87">
        <v>12</v>
      </c>
      <c r="BA21" s="87"/>
      <c r="BB21" s="87"/>
      <c r="BC21" s="88"/>
    </row>
    <row r="22" spans="2:55" ht="12.75" customHeight="1" x14ac:dyDescent="0.2">
      <c r="B22" s="75"/>
      <c r="C22" s="77"/>
      <c r="D22" s="77"/>
      <c r="E22" s="77"/>
      <c r="F22" s="78">
        <f>1.18+0.97</f>
        <v>2.15</v>
      </c>
      <c r="G22" s="80">
        <f>I22+J22+K22+L22+M22+N22+O22</f>
        <v>4.6400000000000006</v>
      </c>
      <c r="H22" s="80">
        <f>G22/F22</f>
        <v>2.1581395348837211</v>
      </c>
      <c r="I22" s="78">
        <v>0.13</v>
      </c>
      <c r="J22" s="78">
        <v>0.06</v>
      </c>
      <c r="K22" s="78">
        <v>1.02</v>
      </c>
      <c r="L22" s="78">
        <v>0.77</v>
      </c>
      <c r="M22" s="78">
        <v>0.79</v>
      </c>
      <c r="N22" s="78">
        <v>0.16</v>
      </c>
      <c r="O22" s="78">
        <v>1.71</v>
      </c>
      <c r="P22" s="78">
        <f>N:N+O:O</f>
        <v>1.8699999999999999</v>
      </c>
      <c r="Q22" s="80">
        <f t="shared" si="0"/>
        <v>1.8333333333333333</v>
      </c>
      <c r="R22" s="80">
        <f t="shared" si="1"/>
        <v>0.77450980392156865</v>
      </c>
      <c r="S22" s="80">
        <f t="shared" si="2"/>
        <v>0.75490196078431371</v>
      </c>
      <c r="T22" s="80">
        <f t="shared" si="3"/>
        <v>10.6875</v>
      </c>
      <c r="U22" s="78">
        <v>0.32</v>
      </c>
      <c r="V22" s="78">
        <f t="shared" si="9"/>
        <v>14.500000000000002</v>
      </c>
      <c r="W22" s="78">
        <v>0.72</v>
      </c>
      <c r="X22" s="78">
        <v>0.1</v>
      </c>
      <c r="Y22" s="78">
        <f>W:W/X:X</f>
        <v>7.1999999999999993</v>
      </c>
      <c r="Z22" s="78">
        <v>0.45</v>
      </c>
      <c r="AA22" s="78">
        <v>0.64</v>
      </c>
      <c r="AB22" s="78">
        <f t="shared" si="17"/>
        <v>0.29767441860465116</v>
      </c>
      <c r="AC22" s="78">
        <v>1.43</v>
      </c>
      <c r="AD22" s="78">
        <f t="shared" si="18"/>
        <v>0.66511627906976745</v>
      </c>
      <c r="AE22" s="78">
        <v>0.09</v>
      </c>
      <c r="AF22" s="78">
        <f t="shared" si="19"/>
        <v>8.8235294117647051E-2</v>
      </c>
      <c r="AG22" s="78">
        <f>AE:AE/P:P</f>
        <v>4.8128342245989303E-2</v>
      </c>
      <c r="AH22" s="78">
        <f t="shared" si="20"/>
        <v>0.5625</v>
      </c>
      <c r="AI22" s="78">
        <v>0.1</v>
      </c>
      <c r="AJ22" s="78">
        <v>0.06</v>
      </c>
      <c r="AK22" s="78">
        <f t="shared" si="22"/>
        <v>1.6666666666666667</v>
      </c>
      <c r="AL22" s="78">
        <f t="shared" si="23"/>
        <v>1.1111111111111112</v>
      </c>
      <c r="AM22" s="78">
        <f t="shared" si="24"/>
        <v>0.625</v>
      </c>
      <c r="AN22" s="78">
        <f t="shared" si="25"/>
        <v>9.8039215686274508E-2</v>
      </c>
      <c r="AO22" s="78">
        <f t="shared" si="26"/>
        <v>0.34482758620689657</v>
      </c>
      <c r="AP22" s="78">
        <v>0.28999999999999998</v>
      </c>
      <c r="AQ22" s="78">
        <v>0.1</v>
      </c>
      <c r="AR22" s="78">
        <f t="shared" si="12"/>
        <v>0.13488372093023254</v>
      </c>
      <c r="AS22" s="78">
        <f t="shared" si="6"/>
        <v>2.8999999999999995</v>
      </c>
      <c r="AT22" s="78">
        <f t="shared" si="21"/>
        <v>0.28431372549019607</v>
      </c>
      <c r="AU22" s="78">
        <v>0.1</v>
      </c>
      <c r="AV22" s="78">
        <v>0.1</v>
      </c>
      <c r="AW22" s="78">
        <f t="shared" si="15"/>
        <v>1</v>
      </c>
      <c r="AX22" s="80">
        <f t="shared" si="16"/>
        <v>2.8999999999999995</v>
      </c>
      <c r="AY22" s="180"/>
      <c r="AZ22" s="87">
        <v>13</v>
      </c>
      <c r="BA22" s="87"/>
      <c r="BB22" s="87"/>
      <c r="BC22" s="88"/>
    </row>
    <row r="23" spans="2:55" ht="12.75" customHeight="1" x14ac:dyDescent="0.2">
      <c r="B23" s="83">
        <v>24275</v>
      </c>
      <c r="C23" s="70" t="s">
        <v>226</v>
      </c>
      <c r="D23" s="71" t="s">
        <v>230</v>
      </c>
      <c r="E23" s="71" t="s">
        <v>244</v>
      </c>
      <c r="F23" s="72">
        <f>1.05+1.24</f>
        <v>2.29</v>
      </c>
      <c r="G23" s="72" t="s">
        <v>75</v>
      </c>
      <c r="H23" s="72" t="s">
        <v>75</v>
      </c>
      <c r="I23" s="72">
        <v>0.11</v>
      </c>
      <c r="J23" s="72">
        <v>0.06</v>
      </c>
      <c r="K23" s="72">
        <v>1.1000000000000001</v>
      </c>
      <c r="L23" s="72">
        <v>0.74</v>
      </c>
      <c r="M23" s="72">
        <v>0.78</v>
      </c>
      <c r="N23" s="72">
        <v>0.16</v>
      </c>
      <c r="O23" s="72" t="s">
        <v>75</v>
      </c>
      <c r="P23" s="72" t="s">
        <v>75</v>
      </c>
      <c r="Q23" s="72" t="s">
        <v>75</v>
      </c>
      <c r="R23" s="82">
        <f t="shared" si="1"/>
        <v>0.70909090909090911</v>
      </c>
      <c r="S23" s="82">
        <f t="shared" si="2"/>
        <v>0.67272727272727262</v>
      </c>
      <c r="T23" s="72" t="s">
        <v>75</v>
      </c>
      <c r="U23" s="72" t="s">
        <v>75</v>
      </c>
      <c r="V23" s="72" t="s">
        <v>75</v>
      </c>
      <c r="W23" s="72" t="s">
        <v>75</v>
      </c>
      <c r="X23" s="72" t="s">
        <v>75</v>
      </c>
      <c r="Y23" s="72" t="s">
        <v>75</v>
      </c>
      <c r="Z23" s="72">
        <v>0.46</v>
      </c>
      <c r="AA23" s="72">
        <v>0.68</v>
      </c>
      <c r="AB23" s="72">
        <f t="shared" si="17"/>
        <v>0.29694323144104806</v>
      </c>
      <c r="AC23" s="72">
        <v>1.44</v>
      </c>
      <c r="AD23" s="72">
        <f t="shared" si="18"/>
        <v>0.62882096069868987</v>
      </c>
      <c r="AE23" s="72">
        <v>0.11</v>
      </c>
      <c r="AF23" s="72">
        <f t="shared" si="19"/>
        <v>9.9999999999999992E-2</v>
      </c>
      <c r="AG23" s="72" t="s">
        <v>75</v>
      </c>
      <c r="AH23" s="72">
        <f t="shared" si="20"/>
        <v>0.6875</v>
      </c>
      <c r="AI23" s="72">
        <v>0.1</v>
      </c>
      <c r="AJ23" s="72">
        <v>0.06</v>
      </c>
      <c r="AK23" s="72">
        <f t="shared" si="22"/>
        <v>1.6666666666666667</v>
      </c>
      <c r="AL23" s="72">
        <f t="shared" si="23"/>
        <v>0.90909090909090917</v>
      </c>
      <c r="AM23" s="72">
        <f t="shared" si="24"/>
        <v>0.625</v>
      </c>
      <c r="AN23" s="72">
        <f t="shared" si="25"/>
        <v>9.0909090909090912E-2</v>
      </c>
      <c r="AO23" s="72">
        <f t="shared" si="26"/>
        <v>0.3125</v>
      </c>
      <c r="AP23" s="72">
        <v>0.32</v>
      </c>
      <c r="AQ23" s="72">
        <v>0.15</v>
      </c>
      <c r="AR23" s="72">
        <f t="shared" si="12"/>
        <v>0.13973799126637554</v>
      </c>
      <c r="AS23" s="72">
        <f t="shared" si="6"/>
        <v>2.1333333333333333</v>
      </c>
      <c r="AT23" s="72">
        <f t="shared" si="21"/>
        <v>0.29090909090909089</v>
      </c>
      <c r="AU23" s="72">
        <v>0.12</v>
      </c>
      <c r="AV23" s="72">
        <v>0.13</v>
      </c>
      <c r="AW23" s="72">
        <f t="shared" si="15"/>
        <v>0.92307692307692302</v>
      </c>
      <c r="AX23" s="82">
        <f t="shared" si="16"/>
        <v>2.666666666666667</v>
      </c>
      <c r="AY23" s="185"/>
      <c r="AZ23" s="84">
        <v>9</v>
      </c>
      <c r="BA23" s="84"/>
      <c r="BB23" s="84"/>
      <c r="BC23" s="85"/>
    </row>
    <row r="24" spans="2:55" ht="12.75" customHeight="1" x14ac:dyDescent="0.2">
      <c r="B24" s="69"/>
      <c r="C24" s="71"/>
      <c r="D24" s="71"/>
      <c r="E24" s="71"/>
      <c r="F24" s="72">
        <f>1.05+1.24</f>
        <v>2.29</v>
      </c>
      <c r="G24" s="82">
        <f t="shared" ref="G24:G25" si="27">I24+J24+K24+L24+M24+N24+O24</f>
        <v>4.1199999999999992</v>
      </c>
      <c r="H24" s="82">
        <f t="shared" ref="H24:H25" si="28">G24/F24</f>
        <v>1.7991266375545847</v>
      </c>
      <c r="I24" s="72">
        <v>0.12</v>
      </c>
      <c r="J24" s="72">
        <v>0.05</v>
      </c>
      <c r="K24" s="72">
        <v>1.07</v>
      </c>
      <c r="L24" s="72">
        <v>0.78</v>
      </c>
      <c r="M24" s="72">
        <v>0.78</v>
      </c>
      <c r="N24" s="72">
        <v>0.15</v>
      </c>
      <c r="O24" s="72">
        <v>1.17</v>
      </c>
      <c r="P24" s="72">
        <f>N:N+O:O</f>
        <v>1.3199999999999998</v>
      </c>
      <c r="Q24" s="82">
        <f t="shared" si="0"/>
        <v>1.2336448598130838</v>
      </c>
      <c r="R24" s="82">
        <f t="shared" si="1"/>
        <v>0.7289719626168224</v>
      </c>
      <c r="S24" s="82">
        <f t="shared" si="2"/>
        <v>0.7289719626168224</v>
      </c>
      <c r="T24" s="82">
        <f t="shared" si="3"/>
        <v>7.8</v>
      </c>
      <c r="U24" s="72" t="s">
        <v>75</v>
      </c>
      <c r="V24" s="72" t="s">
        <v>75</v>
      </c>
      <c r="W24" s="72" t="s">
        <v>75</v>
      </c>
      <c r="X24" s="72" t="s">
        <v>75</v>
      </c>
      <c r="Y24" s="72" t="s">
        <v>75</v>
      </c>
      <c r="Z24" s="72" t="s">
        <v>75</v>
      </c>
      <c r="AA24" s="72">
        <v>0.69</v>
      </c>
      <c r="AB24" s="72">
        <f t="shared" si="17"/>
        <v>0.30131004366812225</v>
      </c>
      <c r="AC24" s="72" t="s">
        <v>75</v>
      </c>
      <c r="AD24" s="72" t="s">
        <v>75</v>
      </c>
      <c r="AE24" s="72">
        <v>0.11</v>
      </c>
      <c r="AF24" s="72">
        <f t="shared" si="19"/>
        <v>0.10280373831775701</v>
      </c>
      <c r="AG24" s="72">
        <f>AE:AE/P:P</f>
        <v>8.3333333333333343E-2</v>
      </c>
      <c r="AH24" s="72">
        <f t="shared" si="20"/>
        <v>0.73333333333333339</v>
      </c>
      <c r="AI24" s="72">
        <v>0.1</v>
      </c>
      <c r="AJ24" s="72">
        <v>0.06</v>
      </c>
      <c r="AK24" s="72">
        <f t="shared" si="22"/>
        <v>1.6666666666666667</v>
      </c>
      <c r="AL24" s="72">
        <f t="shared" si="23"/>
        <v>0.90909090909090917</v>
      </c>
      <c r="AM24" s="72">
        <f t="shared" si="24"/>
        <v>0.66666666666666674</v>
      </c>
      <c r="AN24" s="72">
        <f t="shared" si="25"/>
        <v>9.3457943925233641E-2</v>
      </c>
      <c r="AO24" s="72">
        <f t="shared" si="26"/>
        <v>0.34482758620689657</v>
      </c>
      <c r="AP24" s="72">
        <v>0.28999999999999998</v>
      </c>
      <c r="AQ24" s="72">
        <v>0.15</v>
      </c>
      <c r="AR24" s="72">
        <f t="shared" si="12"/>
        <v>0.12663755458515283</v>
      </c>
      <c r="AS24" s="72">
        <f t="shared" si="6"/>
        <v>1.9333333333333333</v>
      </c>
      <c r="AT24" s="72">
        <f t="shared" si="21"/>
        <v>0.27102803738317754</v>
      </c>
      <c r="AU24" s="72">
        <v>0.12</v>
      </c>
      <c r="AV24" s="72">
        <v>0.13</v>
      </c>
      <c r="AW24" s="72">
        <f t="shared" si="15"/>
        <v>0.92307692307692302</v>
      </c>
      <c r="AX24" s="82">
        <f t="shared" si="16"/>
        <v>2.4166666666666665</v>
      </c>
      <c r="AY24" s="185"/>
      <c r="AZ24" s="84">
        <v>10</v>
      </c>
      <c r="BA24" s="84"/>
      <c r="BB24" s="84"/>
      <c r="BC24" s="85"/>
    </row>
    <row r="25" spans="2:55" ht="12.75" customHeight="1" x14ac:dyDescent="0.2">
      <c r="B25" s="159">
        <v>24296</v>
      </c>
      <c r="C25" s="76" t="s">
        <v>226</v>
      </c>
      <c r="D25" s="77" t="s">
        <v>231</v>
      </c>
      <c r="E25" s="77" t="s">
        <v>245</v>
      </c>
      <c r="F25" s="78">
        <v>1.9</v>
      </c>
      <c r="G25" s="80">
        <f t="shared" si="27"/>
        <v>4.4499999999999993</v>
      </c>
      <c r="H25" s="80">
        <f t="shared" si="28"/>
        <v>2.3421052631578947</v>
      </c>
      <c r="I25" s="78">
        <v>0.11</v>
      </c>
      <c r="J25" s="78">
        <v>0.06</v>
      </c>
      <c r="K25" s="78">
        <v>0.99</v>
      </c>
      <c r="L25" s="78">
        <v>0.69</v>
      </c>
      <c r="M25" s="78">
        <v>0.75</v>
      </c>
      <c r="N25" s="78">
        <v>0.15</v>
      </c>
      <c r="O25" s="78">
        <f>0.74+0.43+0.53</f>
        <v>1.7</v>
      </c>
      <c r="P25" s="78">
        <f>N:N+O:O</f>
        <v>1.8499999999999999</v>
      </c>
      <c r="Q25" s="80">
        <f t="shared" si="0"/>
        <v>1.8686868686868685</v>
      </c>
      <c r="R25" s="80">
        <f t="shared" si="1"/>
        <v>0.75757575757575757</v>
      </c>
      <c r="S25" s="80">
        <f t="shared" si="2"/>
        <v>0.69696969696969691</v>
      </c>
      <c r="T25" s="80">
        <f t="shared" si="3"/>
        <v>11.333333333333334</v>
      </c>
      <c r="U25" s="78">
        <v>0.28999999999999998</v>
      </c>
      <c r="V25" s="78">
        <f t="shared" si="9"/>
        <v>15.344827586206895</v>
      </c>
      <c r="W25" s="78">
        <v>0.74</v>
      </c>
      <c r="X25" s="78">
        <v>0.1</v>
      </c>
      <c r="Y25" s="78">
        <f>W:W/X:X</f>
        <v>7.3999999999999995</v>
      </c>
      <c r="Z25" s="78">
        <v>0.43</v>
      </c>
      <c r="AA25" s="78">
        <v>0.6</v>
      </c>
      <c r="AB25" s="78">
        <f t="shared" si="17"/>
        <v>0.31578947368421051</v>
      </c>
      <c r="AC25" s="78">
        <v>1.42</v>
      </c>
      <c r="AD25" s="78">
        <f>AC25/F25</f>
        <v>0.74736842105263157</v>
      </c>
      <c r="AE25" s="78">
        <v>0.11</v>
      </c>
      <c r="AF25" s="78">
        <f t="shared" si="19"/>
        <v>0.11111111111111112</v>
      </c>
      <c r="AG25" s="78">
        <f>AE:AE/P:P</f>
        <v>5.9459459459459463E-2</v>
      </c>
      <c r="AH25" s="78">
        <f t="shared" si="20"/>
        <v>0.73333333333333339</v>
      </c>
      <c r="AI25" s="78">
        <v>0.1</v>
      </c>
      <c r="AJ25" s="78">
        <v>0.06</v>
      </c>
      <c r="AK25" s="78">
        <f t="shared" si="22"/>
        <v>1.6666666666666667</v>
      </c>
      <c r="AL25" s="78">
        <f t="shared" si="23"/>
        <v>0.90909090909090917</v>
      </c>
      <c r="AM25" s="78">
        <f t="shared" si="24"/>
        <v>0.66666666666666674</v>
      </c>
      <c r="AN25" s="78">
        <f t="shared" si="25"/>
        <v>0.10101010101010102</v>
      </c>
      <c r="AO25" s="78">
        <f t="shared" si="26"/>
        <v>0.34482758620689657</v>
      </c>
      <c r="AP25" s="78">
        <v>0.28999999999999998</v>
      </c>
      <c r="AQ25" s="78">
        <v>0.12</v>
      </c>
      <c r="AR25" s="78">
        <f t="shared" si="12"/>
        <v>0.15263157894736842</v>
      </c>
      <c r="AS25" s="78">
        <f t="shared" si="6"/>
        <v>2.4166666666666665</v>
      </c>
      <c r="AT25" s="78">
        <f t="shared" si="21"/>
        <v>0.29292929292929293</v>
      </c>
      <c r="AU25" s="78">
        <v>0.09</v>
      </c>
      <c r="AV25" s="78">
        <v>0.12</v>
      </c>
      <c r="AW25" s="78">
        <f t="shared" si="15"/>
        <v>0.75</v>
      </c>
      <c r="AX25" s="80">
        <f t="shared" si="16"/>
        <v>3.2222222222222223</v>
      </c>
      <c r="AY25" s="180"/>
      <c r="AZ25" s="87">
        <v>11</v>
      </c>
      <c r="BA25" s="87"/>
      <c r="BB25" s="87"/>
      <c r="BC25" s="88"/>
    </row>
    <row r="26" spans="2:55" ht="12.75" customHeight="1" x14ac:dyDescent="0.2">
      <c r="B26" s="75"/>
      <c r="C26" s="77"/>
      <c r="D26" s="77"/>
      <c r="E26" s="77"/>
      <c r="F26" s="78">
        <v>1.9</v>
      </c>
      <c r="G26" s="78" t="s">
        <v>75</v>
      </c>
      <c r="H26" s="78" t="s">
        <v>75</v>
      </c>
      <c r="I26" s="78">
        <v>0.11</v>
      </c>
      <c r="J26" s="78">
        <v>0.06</v>
      </c>
      <c r="K26" s="78">
        <v>1</v>
      </c>
      <c r="L26" s="78">
        <v>0.71</v>
      </c>
      <c r="M26" s="78">
        <v>0.76</v>
      </c>
      <c r="N26" s="78">
        <v>0.15</v>
      </c>
      <c r="O26" s="78" t="s">
        <v>75</v>
      </c>
      <c r="P26" s="78" t="s">
        <v>75</v>
      </c>
      <c r="Q26" s="78" t="s">
        <v>75</v>
      </c>
      <c r="R26" s="80">
        <f t="shared" si="1"/>
        <v>0.76</v>
      </c>
      <c r="S26" s="80">
        <f t="shared" si="2"/>
        <v>0.71</v>
      </c>
      <c r="T26" s="78" t="s">
        <v>75</v>
      </c>
      <c r="U26" s="78">
        <v>0.28999999999999998</v>
      </c>
      <c r="V26" s="78" t="s">
        <v>75</v>
      </c>
      <c r="W26" s="78" t="s">
        <v>75</v>
      </c>
      <c r="X26" s="78" t="s">
        <v>75</v>
      </c>
      <c r="Y26" s="78" t="s">
        <v>75</v>
      </c>
      <c r="Z26" s="78">
        <v>0.45</v>
      </c>
      <c r="AA26" s="78" t="s">
        <v>75</v>
      </c>
      <c r="AB26" s="78" t="s">
        <v>75</v>
      </c>
      <c r="AC26" s="78" t="s">
        <v>75</v>
      </c>
      <c r="AD26" s="78" t="s">
        <v>75</v>
      </c>
      <c r="AE26" s="78" t="s">
        <v>75</v>
      </c>
      <c r="AF26" s="78" t="s">
        <v>75</v>
      </c>
      <c r="AG26" s="78" t="s">
        <v>75</v>
      </c>
      <c r="AH26" s="78" t="s">
        <v>75</v>
      </c>
      <c r="AI26" s="78">
        <v>0.1</v>
      </c>
      <c r="AJ26" s="78">
        <v>0.06</v>
      </c>
      <c r="AK26" s="78">
        <f t="shared" si="22"/>
        <v>1.6666666666666667</v>
      </c>
      <c r="AL26" s="78" t="s">
        <v>75</v>
      </c>
      <c r="AM26" s="78">
        <f t="shared" si="24"/>
        <v>0.66666666666666674</v>
      </c>
      <c r="AN26" s="78">
        <f t="shared" si="25"/>
        <v>0.1</v>
      </c>
      <c r="AO26" s="78">
        <f t="shared" si="26"/>
        <v>0.35714285714285715</v>
      </c>
      <c r="AP26" s="78">
        <v>0.28000000000000003</v>
      </c>
      <c r="AQ26" s="78">
        <v>0.1</v>
      </c>
      <c r="AR26" s="78">
        <f t="shared" si="12"/>
        <v>0.14736842105263159</v>
      </c>
      <c r="AS26" s="78">
        <f t="shared" si="6"/>
        <v>2.8000000000000003</v>
      </c>
      <c r="AT26" s="78">
        <f t="shared" si="21"/>
        <v>0.28000000000000003</v>
      </c>
      <c r="AU26" s="78">
        <v>0.09</v>
      </c>
      <c r="AV26" s="78">
        <v>0.12</v>
      </c>
      <c r="AW26" s="78">
        <f t="shared" si="15"/>
        <v>0.75</v>
      </c>
      <c r="AX26" s="80">
        <f t="shared" si="16"/>
        <v>3.1111111111111116</v>
      </c>
      <c r="AY26" s="180"/>
      <c r="AZ26" s="78" t="s">
        <v>75</v>
      </c>
      <c r="BA26" s="87"/>
      <c r="BB26" s="87"/>
      <c r="BC26" s="88"/>
    </row>
    <row r="27" spans="2:55" ht="12.75" customHeight="1" x14ac:dyDescent="0.2">
      <c r="B27" s="160">
        <v>24296</v>
      </c>
      <c r="C27" s="70" t="s">
        <v>226</v>
      </c>
      <c r="D27" s="71" t="s">
        <v>231</v>
      </c>
      <c r="E27" s="71" t="s">
        <v>245</v>
      </c>
      <c r="F27" s="72">
        <f>1.48+0.58</f>
        <v>2.06</v>
      </c>
      <c r="G27" s="82">
        <f>I27+J27+K27+L27+M27+N27+O27</f>
        <v>4.63</v>
      </c>
      <c r="H27" s="82">
        <f>G27/F27</f>
        <v>2.2475728155339807</v>
      </c>
      <c r="I27" s="72">
        <v>0.12</v>
      </c>
      <c r="J27" s="72">
        <v>0.06</v>
      </c>
      <c r="K27" s="72">
        <v>1.04</v>
      </c>
      <c r="L27" s="72">
        <v>0.73</v>
      </c>
      <c r="M27" s="72">
        <v>0.8</v>
      </c>
      <c r="N27" s="72">
        <v>0.14000000000000001</v>
      </c>
      <c r="O27" s="72">
        <v>1.74</v>
      </c>
      <c r="P27" s="72">
        <f>N:N+O:O</f>
        <v>1.88</v>
      </c>
      <c r="Q27" s="82">
        <f t="shared" si="0"/>
        <v>1.8076923076923075</v>
      </c>
      <c r="R27" s="82">
        <f t="shared" si="1"/>
        <v>0.76923076923076927</v>
      </c>
      <c r="S27" s="82">
        <f t="shared" si="2"/>
        <v>0.70192307692307687</v>
      </c>
      <c r="T27" s="82">
        <f t="shared" si="3"/>
        <v>12.428571428571427</v>
      </c>
      <c r="U27" s="72">
        <v>0.28000000000000003</v>
      </c>
      <c r="V27" s="72">
        <f t="shared" si="9"/>
        <v>16.535714285714285</v>
      </c>
      <c r="W27" s="72">
        <v>0.73</v>
      </c>
      <c r="X27" s="72">
        <v>0.1</v>
      </c>
      <c r="Y27" s="72">
        <f>W:W/X:X</f>
        <v>7.3</v>
      </c>
      <c r="Z27" s="72">
        <v>0.45</v>
      </c>
      <c r="AA27" s="72" t="s">
        <v>75</v>
      </c>
      <c r="AB27" s="72" t="s">
        <v>75</v>
      </c>
      <c r="AC27" s="72" t="s">
        <v>75</v>
      </c>
      <c r="AD27" s="72" t="s">
        <v>75</v>
      </c>
      <c r="AE27" s="72" t="s">
        <v>75</v>
      </c>
      <c r="AF27" s="72" t="s">
        <v>75</v>
      </c>
      <c r="AG27" s="72" t="s">
        <v>75</v>
      </c>
      <c r="AH27" s="72" t="s">
        <v>75</v>
      </c>
      <c r="AI27" s="72">
        <v>0.09</v>
      </c>
      <c r="AJ27" s="72">
        <v>0.06</v>
      </c>
      <c r="AK27" s="72">
        <f t="shared" si="22"/>
        <v>1.5</v>
      </c>
      <c r="AL27" s="72" t="s">
        <v>75</v>
      </c>
      <c r="AM27" s="72">
        <f t="shared" si="24"/>
        <v>0.64285714285714279</v>
      </c>
      <c r="AN27" s="72">
        <f t="shared" si="25"/>
        <v>8.6538461538461536E-2</v>
      </c>
      <c r="AO27" s="72">
        <f t="shared" si="26"/>
        <v>0.29032258064516125</v>
      </c>
      <c r="AP27" s="72">
        <v>0.31</v>
      </c>
      <c r="AQ27" s="72">
        <v>0.12</v>
      </c>
      <c r="AR27" s="72">
        <f t="shared" si="12"/>
        <v>0.15048543689320387</v>
      </c>
      <c r="AS27" s="72">
        <f t="shared" si="6"/>
        <v>2.5833333333333335</v>
      </c>
      <c r="AT27" s="72">
        <f t="shared" si="21"/>
        <v>0.29807692307692307</v>
      </c>
      <c r="AU27" s="72" t="s">
        <v>75</v>
      </c>
      <c r="AV27" s="72" t="s">
        <v>75</v>
      </c>
      <c r="AW27" s="72" t="s">
        <v>75</v>
      </c>
      <c r="AX27" s="72" t="s">
        <v>75</v>
      </c>
      <c r="AY27" s="185"/>
      <c r="AZ27" s="84">
        <v>11</v>
      </c>
      <c r="BA27" s="84"/>
      <c r="BB27" s="84"/>
      <c r="BC27" s="85"/>
    </row>
    <row r="28" spans="2:55" ht="12.75" customHeight="1" x14ac:dyDescent="0.2">
      <c r="B28" s="69"/>
      <c r="C28" s="71"/>
      <c r="D28" s="71"/>
      <c r="E28" s="71"/>
      <c r="F28" s="72">
        <f>1.48+0.58</f>
        <v>2.06</v>
      </c>
      <c r="G28" s="82">
        <f>I28+J28+K28+L28+M28+N28+O28</f>
        <v>4.34</v>
      </c>
      <c r="H28" s="82">
        <f>G28/F28</f>
        <v>2.1067961165048543</v>
      </c>
      <c r="I28" s="72">
        <v>0.12</v>
      </c>
      <c r="J28" s="72">
        <v>0.06</v>
      </c>
      <c r="K28" s="72">
        <v>1.02</v>
      </c>
      <c r="L28" s="72">
        <v>0.75</v>
      </c>
      <c r="M28" s="72">
        <v>0.79</v>
      </c>
      <c r="N28" s="72">
        <v>0.13</v>
      </c>
      <c r="O28" s="72">
        <f>0.622+0.135+0.176+0.367+0.17</f>
        <v>1.47</v>
      </c>
      <c r="P28" s="72">
        <f>N:N+O:O</f>
        <v>1.6</v>
      </c>
      <c r="Q28" s="82">
        <f t="shared" si="0"/>
        <v>1.5686274509803921</v>
      </c>
      <c r="R28" s="82">
        <f t="shared" si="1"/>
        <v>0.77450980392156865</v>
      </c>
      <c r="S28" s="82">
        <f t="shared" si="2"/>
        <v>0.73529411764705876</v>
      </c>
      <c r="T28" s="82">
        <f t="shared" si="3"/>
        <v>11.307692307692307</v>
      </c>
      <c r="U28" s="72">
        <v>0.28000000000000003</v>
      </c>
      <c r="V28" s="72">
        <f t="shared" si="9"/>
        <v>15.499999999999998</v>
      </c>
      <c r="W28" s="72" t="s">
        <v>75</v>
      </c>
      <c r="X28" s="72" t="s">
        <v>75</v>
      </c>
      <c r="Y28" s="72" t="s">
        <v>75</v>
      </c>
      <c r="Z28" s="72" t="s">
        <v>75</v>
      </c>
      <c r="AA28" s="72" t="s">
        <v>75</v>
      </c>
      <c r="AB28" s="72" t="s">
        <v>75</v>
      </c>
      <c r="AC28" s="72" t="s">
        <v>75</v>
      </c>
      <c r="AD28" s="72" t="s">
        <v>75</v>
      </c>
      <c r="AE28" s="72" t="s">
        <v>75</v>
      </c>
      <c r="AF28" s="72" t="s">
        <v>75</v>
      </c>
      <c r="AG28" s="72" t="s">
        <v>75</v>
      </c>
      <c r="AH28" s="72" t="s">
        <v>75</v>
      </c>
      <c r="AI28" s="72">
        <v>0.09</v>
      </c>
      <c r="AJ28" s="72">
        <v>0.06</v>
      </c>
      <c r="AK28" s="72">
        <f t="shared" si="22"/>
        <v>1.5</v>
      </c>
      <c r="AL28" s="72" t="s">
        <v>75</v>
      </c>
      <c r="AM28" s="72">
        <f t="shared" si="24"/>
        <v>0.69230769230769229</v>
      </c>
      <c r="AN28" s="72">
        <f t="shared" si="25"/>
        <v>8.8235294117647051E-2</v>
      </c>
      <c r="AO28" s="72">
        <f t="shared" si="26"/>
        <v>0.3</v>
      </c>
      <c r="AP28" s="72">
        <v>0.3</v>
      </c>
      <c r="AQ28" s="72">
        <v>0.11</v>
      </c>
      <c r="AR28" s="72">
        <f t="shared" si="12"/>
        <v>0.14563106796116504</v>
      </c>
      <c r="AS28" s="72">
        <f t="shared" si="6"/>
        <v>2.7272727272727271</v>
      </c>
      <c r="AT28" s="72">
        <f t="shared" si="21"/>
        <v>0.29411764705882354</v>
      </c>
      <c r="AU28" s="72" t="s">
        <v>75</v>
      </c>
      <c r="AV28" s="72" t="s">
        <v>75</v>
      </c>
      <c r="AW28" s="72" t="s">
        <v>75</v>
      </c>
      <c r="AX28" s="72" t="s">
        <v>75</v>
      </c>
      <c r="AY28" s="185"/>
      <c r="AZ28" s="84">
        <v>12</v>
      </c>
      <c r="BA28" s="84"/>
      <c r="BB28" s="84"/>
      <c r="BC28" s="85"/>
    </row>
    <row r="29" spans="2:55" ht="12.75" customHeight="1" x14ac:dyDescent="0.2">
      <c r="B29" s="159">
        <v>23261</v>
      </c>
      <c r="C29" s="76" t="s">
        <v>226</v>
      </c>
      <c r="D29" s="77" t="s">
        <v>232</v>
      </c>
      <c r="E29" s="77" t="s">
        <v>244</v>
      </c>
      <c r="F29" s="78">
        <f>1.39+0.89</f>
        <v>2.2799999999999998</v>
      </c>
      <c r="G29" s="78" t="s">
        <v>75</v>
      </c>
      <c r="H29" s="78" t="s">
        <v>75</v>
      </c>
      <c r="I29" s="78">
        <v>0.11</v>
      </c>
      <c r="J29" s="78">
        <v>0.05</v>
      </c>
      <c r="K29" s="78">
        <v>1.093</v>
      </c>
      <c r="L29" s="78">
        <v>0.75</v>
      </c>
      <c r="M29" s="78">
        <v>0.77</v>
      </c>
      <c r="N29" s="78">
        <v>0.15</v>
      </c>
      <c r="O29" s="78" t="s">
        <v>75</v>
      </c>
      <c r="P29" s="78" t="s">
        <v>75</v>
      </c>
      <c r="Q29" s="78" t="s">
        <v>75</v>
      </c>
      <c r="R29" s="80">
        <f t="shared" si="1"/>
        <v>0.70448307410795974</v>
      </c>
      <c r="S29" s="80">
        <f t="shared" si="2"/>
        <v>0.68618481244281793</v>
      </c>
      <c r="T29" s="78" t="s">
        <v>75</v>
      </c>
      <c r="U29" s="78">
        <v>0.35</v>
      </c>
      <c r="V29" s="78" t="s">
        <v>75</v>
      </c>
      <c r="W29" s="78" t="s">
        <v>75</v>
      </c>
      <c r="X29" s="78" t="s">
        <v>75</v>
      </c>
      <c r="Y29" s="78" t="s">
        <v>75</v>
      </c>
      <c r="Z29" s="78">
        <v>0.48</v>
      </c>
      <c r="AA29" s="78">
        <v>0.69</v>
      </c>
      <c r="AB29" s="78">
        <f>AA29/F29</f>
        <v>0.30263157894736842</v>
      </c>
      <c r="AC29" s="78">
        <v>1.4</v>
      </c>
      <c r="AD29" s="78">
        <f>AC29/F29</f>
        <v>0.61403508771929827</v>
      </c>
      <c r="AE29" s="78">
        <v>0.12</v>
      </c>
      <c r="AF29" s="78">
        <f>AE:AE/K:K</f>
        <v>0.10978956999085086</v>
      </c>
      <c r="AG29" s="78" t="s">
        <v>75</v>
      </c>
      <c r="AH29" s="78">
        <f>AE29/N29</f>
        <v>0.8</v>
      </c>
      <c r="AI29" s="78">
        <v>0.1</v>
      </c>
      <c r="AJ29" s="78">
        <v>0.06</v>
      </c>
      <c r="AK29" s="78">
        <f t="shared" si="22"/>
        <v>1.6666666666666667</v>
      </c>
      <c r="AL29" s="78">
        <f>AI29/AE29</f>
        <v>0.83333333333333337</v>
      </c>
      <c r="AM29" s="78">
        <f t="shared" si="24"/>
        <v>0.66666666666666674</v>
      </c>
      <c r="AN29" s="78">
        <f t="shared" si="25"/>
        <v>9.1491308325709064E-2</v>
      </c>
      <c r="AO29" s="78">
        <f t="shared" si="26"/>
        <v>0.34482758620689657</v>
      </c>
      <c r="AP29" s="78">
        <v>0.28999999999999998</v>
      </c>
      <c r="AQ29" s="78">
        <v>0.15</v>
      </c>
      <c r="AR29" s="78">
        <f t="shared" si="12"/>
        <v>0.12719298245614036</v>
      </c>
      <c r="AS29" s="78">
        <f t="shared" si="6"/>
        <v>1.9333333333333333</v>
      </c>
      <c r="AT29" s="78">
        <f t="shared" si="21"/>
        <v>0.26532479414455623</v>
      </c>
      <c r="AU29" s="78">
        <v>0.12</v>
      </c>
      <c r="AV29" s="78">
        <v>0.13</v>
      </c>
      <c r="AW29" s="78">
        <f t="shared" ref="AW29:AW38" si="29">AU29/AV29</f>
        <v>0.92307692307692302</v>
      </c>
      <c r="AX29" s="80">
        <f t="shared" ref="AX29:AX38" si="30">AP29/AU29</f>
        <v>2.4166666666666665</v>
      </c>
      <c r="AY29" s="180"/>
      <c r="AZ29" s="78" t="s">
        <v>75</v>
      </c>
      <c r="BA29" s="87"/>
      <c r="BB29" s="87"/>
      <c r="BC29" s="88"/>
    </row>
    <row r="30" spans="2:55" ht="12.75" customHeight="1" x14ac:dyDescent="0.2">
      <c r="B30" s="75"/>
      <c r="C30" s="77"/>
      <c r="D30" s="77"/>
      <c r="E30" s="77"/>
      <c r="F30" s="78">
        <f>1.39+0.89</f>
        <v>2.2799999999999998</v>
      </c>
      <c r="G30" s="80">
        <f>I30+J30+K30+L30+M30+N30+O30</f>
        <v>4.0839999999999996</v>
      </c>
      <c r="H30" s="80">
        <f>G30/F30</f>
        <v>1.7912280701754386</v>
      </c>
      <c r="I30" s="78">
        <v>0.11</v>
      </c>
      <c r="J30" s="78">
        <v>0.05</v>
      </c>
      <c r="K30" s="78">
        <v>1.0640000000000001</v>
      </c>
      <c r="L30" s="78">
        <v>0.77</v>
      </c>
      <c r="M30" s="78">
        <v>0.78</v>
      </c>
      <c r="N30" s="78">
        <v>0.15</v>
      </c>
      <c r="O30" s="78">
        <v>1.1599999999999999</v>
      </c>
      <c r="P30" s="78">
        <f>N:N+O:O</f>
        <v>1.3099999999999998</v>
      </c>
      <c r="Q30" s="80">
        <f t="shared" si="0"/>
        <v>1.2312030075187967</v>
      </c>
      <c r="R30" s="80">
        <f t="shared" si="1"/>
        <v>0.73308270676691722</v>
      </c>
      <c r="S30" s="80">
        <f t="shared" si="2"/>
        <v>0.72368421052631582</v>
      </c>
      <c r="T30" s="80">
        <f t="shared" si="3"/>
        <v>7.7333333333333334</v>
      </c>
      <c r="U30" s="78">
        <v>0.35</v>
      </c>
      <c r="V30" s="78">
        <f t="shared" si="9"/>
        <v>11.668571428571429</v>
      </c>
      <c r="W30" s="78" t="s">
        <v>75</v>
      </c>
      <c r="X30" s="78" t="s">
        <v>75</v>
      </c>
      <c r="Y30" s="78" t="s">
        <v>75</v>
      </c>
      <c r="Z30" s="78" t="s">
        <v>75</v>
      </c>
      <c r="AA30" s="78">
        <v>0.67</v>
      </c>
      <c r="AB30" s="78">
        <f>AA30/F30</f>
        <v>0.29385964912280704</v>
      </c>
      <c r="AC30" s="78">
        <v>1.4</v>
      </c>
      <c r="AD30" s="78">
        <f>AC30/F30</f>
        <v>0.61403508771929827</v>
      </c>
      <c r="AE30" s="78">
        <v>0.11</v>
      </c>
      <c r="AF30" s="78">
        <f>AE:AE/K:K</f>
        <v>0.10338345864661654</v>
      </c>
      <c r="AG30" s="78">
        <f>AE:AE/P:P</f>
        <v>8.3969465648854977E-2</v>
      </c>
      <c r="AH30" s="78">
        <f>AE30/N30</f>
        <v>0.73333333333333339</v>
      </c>
      <c r="AI30" s="78">
        <v>0.1</v>
      </c>
      <c r="AJ30" s="78">
        <v>0.06</v>
      </c>
      <c r="AK30" s="78">
        <f t="shared" si="22"/>
        <v>1.6666666666666667</v>
      </c>
      <c r="AL30" s="78">
        <f>AI30/AE30</f>
        <v>0.90909090909090917</v>
      </c>
      <c r="AM30" s="78">
        <f t="shared" si="24"/>
        <v>0.66666666666666674</v>
      </c>
      <c r="AN30" s="78">
        <f t="shared" si="25"/>
        <v>9.3984962406015032E-2</v>
      </c>
      <c r="AO30" s="78">
        <f t="shared" si="26"/>
        <v>0.34482758620689657</v>
      </c>
      <c r="AP30" s="78">
        <v>0.28999999999999998</v>
      </c>
      <c r="AQ30" s="78">
        <v>0.15</v>
      </c>
      <c r="AR30" s="78">
        <f t="shared" si="12"/>
        <v>0.12719298245614036</v>
      </c>
      <c r="AS30" s="78">
        <f t="shared" si="6"/>
        <v>1.9333333333333333</v>
      </c>
      <c r="AT30" s="78">
        <f t="shared" si="21"/>
        <v>0.27255639097744355</v>
      </c>
      <c r="AU30" s="78">
        <v>0.12</v>
      </c>
      <c r="AV30" s="78">
        <v>0.13</v>
      </c>
      <c r="AW30" s="78">
        <f t="shared" si="29"/>
        <v>0.92307692307692302</v>
      </c>
      <c r="AX30" s="80">
        <f t="shared" si="30"/>
        <v>2.4166666666666665</v>
      </c>
      <c r="AY30" s="180"/>
      <c r="AZ30" s="87">
        <v>11</v>
      </c>
      <c r="BA30" s="87"/>
      <c r="BB30" s="87"/>
      <c r="BC30" s="88"/>
    </row>
    <row r="31" spans="2:55" ht="12.75" customHeight="1" x14ac:dyDescent="0.2">
      <c r="B31" s="160">
        <v>23261</v>
      </c>
      <c r="C31" s="70" t="s">
        <v>226</v>
      </c>
      <c r="D31" s="71" t="s">
        <v>232</v>
      </c>
      <c r="E31" s="71" t="s">
        <v>244</v>
      </c>
      <c r="F31" s="72">
        <v>1.88</v>
      </c>
      <c r="G31" s="72" t="s">
        <v>75</v>
      </c>
      <c r="H31" s="72" t="s">
        <v>75</v>
      </c>
      <c r="I31" s="72">
        <v>0.1</v>
      </c>
      <c r="J31" s="72">
        <v>0.05</v>
      </c>
      <c r="K31" s="72">
        <v>0.92700000000000005</v>
      </c>
      <c r="L31" s="72">
        <v>0.71199999999999997</v>
      </c>
      <c r="M31" s="72" t="s">
        <v>75</v>
      </c>
      <c r="N31" s="72" t="s">
        <v>75</v>
      </c>
      <c r="O31" s="72" t="s">
        <v>75</v>
      </c>
      <c r="P31" s="72" t="s">
        <v>75</v>
      </c>
      <c r="Q31" s="72" t="s">
        <v>75</v>
      </c>
      <c r="R31" s="72" t="s">
        <v>75</v>
      </c>
      <c r="S31" s="82">
        <f t="shared" si="2"/>
        <v>0.76806903991370001</v>
      </c>
      <c r="T31" s="72" t="s">
        <v>75</v>
      </c>
      <c r="U31" s="72">
        <v>0.28999999999999998</v>
      </c>
      <c r="V31" s="72" t="s">
        <v>75</v>
      </c>
      <c r="W31" s="72" t="s">
        <v>75</v>
      </c>
      <c r="X31" s="72" t="s">
        <v>75</v>
      </c>
      <c r="Y31" s="72" t="s">
        <v>75</v>
      </c>
      <c r="Z31" s="72">
        <v>0.43</v>
      </c>
      <c r="AA31" s="72">
        <v>0.57999999999999996</v>
      </c>
      <c r="AB31" s="72">
        <f>AA31/F31</f>
        <v>0.30851063829787234</v>
      </c>
      <c r="AC31" s="72">
        <v>1.27</v>
      </c>
      <c r="AD31" s="72">
        <f>AC31/F31</f>
        <v>0.67553191489361708</v>
      </c>
      <c r="AE31" s="72">
        <v>0.11</v>
      </c>
      <c r="AF31" s="72">
        <f>AE:AE/K:K</f>
        <v>0.11866235167206041</v>
      </c>
      <c r="AG31" s="72" t="s">
        <v>75</v>
      </c>
      <c r="AH31" s="72" t="s">
        <v>75</v>
      </c>
      <c r="AI31" s="72">
        <v>0.1</v>
      </c>
      <c r="AJ31" s="72">
        <v>0.06</v>
      </c>
      <c r="AK31" s="72">
        <f t="shared" ref="AK31:AK49" si="31">AI31/AJ31</f>
        <v>1.6666666666666667</v>
      </c>
      <c r="AL31" s="72">
        <f>AI31/AE31</f>
        <v>0.90909090909090917</v>
      </c>
      <c r="AM31" s="72" t="s">
        <v>75</v>
      </c>
      <c r="AN31" s="72">
        <f t="shared" si="25"/>
        <v>0.10787486515641856</v>
      </c>
      <c r="AO31" s="72">
        <f t="shared" si="26"/>
        <v>0.35714285714285715</v>
      </c>
      <c r="AP31" s="72">
        <v>0.28000000000000003</v>
      </c>
      <c r="AQ31" s="72">
        <v>0.14000000000000001</v>
      </c>
      <c r="AR31" s="72">
        <f t="shared" si="12"/>
        <v>0.14893617021276598</v>
      </c>
      <c r="AS31" s="72">
        <f t="shared" si="6"/>
        <v>2</v>
      </c>
      <c r="AT31" s="72">
        <f t="shared" si="21"/>
        <v>0.30204962243797195</v>
      </c>
      <c r="AU31" s="72">
        <v>0.11</v>
      </c>
      <c r="AV31" s="72">
        <v>0.12</v>
      </c>
      <c r="AW31" s="72">
        <f t="shared" si="29"/>
        <v>0.91666666666666674</v>
      </c>
      <c r="AX31" s="82">
        <f t="shared" si="30"/>
        <v>2.5454545454545459</v>
      </c>
      <c r="AY31" s="185"/>
      <c r="AZ31" s="84">
        <v>12</v>
      </c>
      <c r="BA31" s="84"/>
      <c r="BB31" s="84"/>
      <c r="BC31" s="85"/>
    </row>
    <row r="32" spans="2:55" ht="12.75" customHeight="1" x14ac:dyDescent="0.2">
      <c r="B32" s="69"/>
      <c r="C32" s="71"/>
      <c r="D32" s="71"/>
      <c r="E32" s="71"/>
      <c r="F32" s="72">
        <v>1.88</v>
      </c>
      <c r="G32" s="72" t="s">
        <v>75</v>
      </c>
      <c r="H32" s="72" t="s">
        <v>75</v>
      </c>
      <c r="I32" s="72">
        <v>0.11</v>
      </c>
      <c r="J32" s="72">
        <v>0.06</v>
      </c>
      <c r="K32" s="72" t="s">
        <v>75</v>
      </c>
      <c r="L32" s="72" t="s">
        <v>75</v>
      </c>
      <c r="M32" s="72" t="s">
        <v>75</v>
      </c>
      <c r="N32" s="72" t="s">
        <v>75</v>
      </c>
      <c r="O32" s="72" t="s">
        <v>75</v>
      </c>
      <c r="P32" s="72" t="s">
        <v>75</v>
      </c>
      <c r="Q32" s="72" t="s">
        <v>75</v>
      </c>
      <c r="R32" s="72" t="s">
        <v>75</v>
      </c>
      <c r="S32" s="72" t="s">
        <v>75</v>
      </c>
      <c r="T32" s="72" t="s">
        <v>75</v>
      </c>
      <c r="U32" s="72">
        <v>0.28999999999999998</v>
      </c>
      <c r="V32" s="72" t="s">
        <v>75</v>
      </c>
      <c r="W32" s="72" t="s">
        <v>75</v>
      </c>
      <c r="X32" s="72" t="s">
        <v>75</v>
      </c>
      <c r="Y32" s="72" t="s">
        <v>75</v>
      </c>
      <c r="Z32" s="72" t="s">
        <v>75</v>
      </c>
      <c r="AA32" s="72" t="s">
        <v>75</v>
      </c>
      <c r="AB32" s="72" t="s">
        <v>75</v>
      </c>
      <c r="AC32" s="72" t="s">
        <v>75</v>
      </c>
      <c r="AD32" s="72" t="s">
        <v>75</v>
      </c>
      <c r="AE32" s="72" t="s">
        <v>75</v>
      </c>
      <c r="AF32" s="72" t="s">
        <v>75</v>
      </c>
      <c r="AG32" s="72" t="s">
        <v>75</v>
      </c>
      <c r="AH32" s="72" t="s">
        <v>75</v>
      </c>
      <c r="AI32" s="72">
        <v>0.1</v>
      </c>
      <c r="AJ32" s="72">
        <v>0.06</v>
      </c>
      <c r="AK32" s="72">
        <f t="shared" ref="AK32" si="32">AI32/AJ32</f>
        <v>1.6666666666666667</v>
      </c>
      <c r="AL32" s="72" t="s">
        <v>75</v>
      </c>
      <c r="AM32" s="72" t="s">
        <v>75</v>
      </c>
      <c r="AN32" s="72" t="s">
        <v>75</v>
      </c>
      <c r="AO32" s="72">
        <f t="shared" si="26"/>
        <v>0.37037037037037035</v>
      </c>
      <c r="AP32" s="72">
        <v>0.27</v>
      </c>
      <c r="AQ32" s="72">
        <v>0.15</v>
      </c>
      <c r="AR32" s="72">
        <f t="shared" si="12"/>
        <v>0.14361702127659576</v>
      </c>
      <c r="AS32" s="72">
        <f t="shared" si="6"/>
        <v>1.8000000000000003</v>
      </c>
      <c r="AT32" s="72" t="s">
        <v>75</v>
      </c>
      <c r="AU32" s="72">
        <v>0.11</v>
      </c>
      <c r="AV32" s="72">
        <v>0.12</v>
      </c>
      <c r="AW32" s="72">
        <f t="shared" si="29"/>
        <v>0.91666666666666674</v>
      </c>
      <c r="AX32" s="82">
        <f t="shared" si="30"/>
        <v>2.4545454545454546</v>
      </c>
      <c r="AY32" s="185"/>
      <c r="AZ32" s="72" t="s">
        <v>75</v>
      </c>
      <c r="BA32" s="84"/>
      <c r="BB32" s="84"/>
      <c r="BC32" s="85"/>
    </row>
    <row r="33" spans="2:55" ht="12.75" customHeight="1" x14ac:dyDescent="0.2">
      <c r="B33" s="159">
        <v>24294</v>
      </c>
      <c r="C33" s="76" t="s">
        <v>226</v>
      </c>
      <c r="D33" s="77" t="s">
        <v>233</v>
      </c>
      <c r="E33" s="77" t="s">
        <v>244</v>
      </c>
      <c r="F33" s="78">
        <f>1.09+1.03</f>
        <v>2.12</v>
      </c>
      <c r="G33" s="80">
        <f>I33+J33+K33+L33+M33+N33+O33</f>
        <v>4.1499999999999995</v>
      </c>
      <c r="H33" s="80">
        <f>G33/F33</f>
        <v>1.9575471698113205</v>
      </c>
      <c r="I33" s="78">
        <v>0.12</v>
      </c>
      <c r="J33" s="78">
        <v>0.06</v>
      </c>
      <c r="K33" s="78">
        <v>1.04</v>
      </c>
      <c r="L33" s="78">
        <v>0.75</v>
      </c>
      <c r="M33" s="78">
        <v>0.83</v>
      </c>
      <c r="N33" s="78">
        <v>0.15</v>
      </c>
      <c r="O33" s="78">
        <v>1.2</v>
      </c>
      <c r="P33" s="78">
        <f>N:N+O:O</f>
        <v>1.3499999999999999</v>
      </c>
      <c r="Q33" s="80">
        <f t="shared" si="0"/>
        <v>1.2980769230769229</v>
      </c>
      <c r="R33" s="80">
        <f t="shared" si="1"/>
        <v>0.79807692307692302</v>
      </c>
      <c r="S33" s="80">
        <f t="shared" si="2"/>
        <v>0.72115384615384615</v>
      </c>
      <c r="T33" s="80">
        <f t="shared" si="3"/>
        <v>8</v>
      </c>
      <c r="U33" s="78">
        <v>0.31</v>
      </c>
      <c r="V33" s="78">
        <f t="shared" si="9"/>
        <v>13.387096774193546</v>
      </c>
      <c r="W33" s="78" t="s">
        <v>75</v>
      </c>
      <c r="X33" s="78" t="s">
        <v>75</v>
      </c>
      <c r="Y33" s="78" t="s">
        <v>75</v>
      </c>
      <c r="Z33" s="78">
        <v>0.48</v>
      </c>
      <c r="AA33" s="78">
        <v>0.63</v>
      </c>
      <c r="AB33" s="78">
        <f t="shared" ref="AB33:AB50" si="33">AA33/F33</f>
        <v>0.29716981132075471</v>
      </c>
      <c r="AC33" s="78">
        <v>1.5</v>
      </c>
      <c r="AD33" s="78">
        <f t="shared" ref="AD33:AD50" si="34">AC33/F33</f>
        <v>0.70754716981132071</v>
      </c>
      <c r="AE33" s="78">
        <v>0.1</v>
      </c>
      <c r="AF33" s="78">
        <f>AE:AE/K:K</f>
        <v>9.6153846153846159E-2</v>
      </c>
      <c r="AG33" s="78">
        <f>AE:AE/P:P</f>
        <v>7.4074074074074084E-2</v>
      </c>
      <c r="AH33" s="78">
        <f>AE33/N33</f>
        <v>0.66666666666666674</v>
      </c>
      <c r="AI33" s="78">
        <v>0.1</v>
      </c>
      <c r="AJ33" s="78">
        <v>0.06</v>
      </c>
      <c r="AK33" s="78">
        <f t="shared" si="31"/>
        <v>1.6666666666666667</v>
      </c>
      <c r="AL33" s="78">
        <f>AI33/AE33</f>
        <v>1</v>
      </c>
      <c r="AM33" s="78">
        <f>AI33/N33</f>
        <v>0.66666666666666674</v>
      </c>
      <c r="AN33" s="78">
        <f>AI:AI/K:K</f>
        <v>9.6153846153846159E-2</v>
      </c>
      <c r="AO33" s="78">
        <f t="shared" si="26"/>
        <v>0.37037037037037035</v>
      </c>
      <c r="AP33" s="78">
        <v>0.27</v>
      </c>
      <c r="AQ33" s="78">
        <v>0.11</v>
      </c>
      <c r="AR33" s="78">
        <f t="shared" si="12"/>
        <v>0.12735849056603774</v>
      </c>
      <c r="AS33" s="78">
        <f t="shared" si="6"/>
        <v>2.4545454545454546</v>
      </c>
      <c r="AT33" s="78">
        <f>AP33/K33</f>
        <v>0.25961538461538464</v>
      </c>
      <c r="AU33" s="78">
        <v>0.08</v>
      </c>
      <c r="AV33" s="78">
        <v>0.11</v>
      </c>
      <c r="AW33" s="78">
        <f t="shared" si="29"/>
        <v>0.72727272727272729</v>
      </c>
      <c r="AX33" s="80">
        <f t="shared" si="30"/>
        <v>3.375</v>
      </c>
      <c r="AY33" s="180"/>
      <c r="AZ33" s="87">
        <v>13</v>
      </c>
      <c r="BA33" s="87"/>
      <c r="BB33" s="87"/>
      <c r="BC33" s="88"/>
    </row>
    <row r="34" spans="2:55" ht="12.75" customHeight="1" x14ac:dyDescent="0.2">
      <c r="B34" s="75"/>
      <c r="C34" s="77"/>
      <c r="D34" s="77"/>
      <c r="E34" s="77"/>
      <c r="F34" s="78">
        <f>1.09+1.03</f>
        <v>2.12</v>
      </c>
      <c r="G34" s="80">
        <f>I34+J34+K34+L34+M34+N34+O34</f>
        <v>4.1399999999999997</v>
      </c>
      <c r="H34" s="80">
        <f>G34/F34</f>
        <v>1.952830188679245</v>
      </c>
      <c r="I34" s="78">
        <v>0.12</v>
      </c>
      <c r="J34" s="78">
        <v>0.06</v>
      </c>
      <c r="K34" s="78">
        <v>1.03</v>
      </c>
      <c r="L34" s="78">
        <v>0.75</v>
      </c>
      <c r="M34" s="78">
        <v>0.83</v>
      </c>
      <c r="N34" s="78">
        <v>0.15</v>
      </c>
      <c r="O34" s="78">
        <v>1.2</v>
      </c>
      <c r="P34" s="78">
        <f>N:N+O:O</f>
        <v>1.3499999999999999</v>
      </c>
      <c r="Q34" s="80">
        <f t="shared" si="0"/>
        <v>1.3106796116504853</v>
      </c>
      <c r="R34" s="80">
        <f t="shared" si="1"/>
        <v>0.80582524271844658</v>
      </c>
      <c r="S34" s="80">
        <f t="shared" si="2"/>
        <v>0.72815533980582525</v>
      </c>
      <c r="T34" s="80">
        <f t="shared" si="3"/>
        <v>8</v>
      </c>
      <c r="U34" s="78">
        <v>0.31</v>
      </c>
      <c r="V34" s="78">
        <f t="shared" si="9"/>
        <v>13.354838709677418</v>
      </c>
      <c r="W34" s="78" t="s">
        <v>75</v>
      </c>
      <c r="X34" s="78" t="s">
        <v>75</v>
      </c>
      <c r="Y34" s="78" t="s">
        <v>75</v>
      </c>
      <c r="Z34" s="78">
        <v>0.45</v>
      </c>
      <c r="AA34" s="78">
        <v>0.65</v>
      </c>
      <c r="AB34" s="78">
        <f t="shared" si="33"/>
        <v>0.30660377358490565</v>
      </c>
      <c r="AC34" s="78">
        <v>1.5</v>
      </c>
      <c r="AD34" s="78">
        <f t="shared" si="34"/>
        <v>0.70754716981132071</v>
      </c>
      <c r="AE34" s="78" t="s">
        <v>75</v>
      </c>
      <c r="AF34" s="78" t="s">
        <v>75</v>
      </c>
      <c r="AG34" s="78" t="s">
        <v>75</v>
      </c>
      <c r="AH34" s="78" t="s">
        <v>75</v>
      </c>
      <c r="AI34" s="78">
        <v>0.1</v>
      </c>
      <c r="AJ34" s="78">
        <v>0.06</v>
      </c>
      <c r="AK34" s="78">
        <f t="shared" ref="AK34" si="35">AI34/AJ34</f>
        <v>1.6666666666666667</v>
      </c>
      <c r="AL34" s="78" t="s">
        <v>75</v>
      </c>
      <c r="AM34" s="78">
        <f>AI34/N34</f>
        <v>0.66666666666666674</v>
      </c>
      <c r="AN34" s="78">
        <f>AI:AI/K:K</f>
        <v>9.7087378640776698E-2</v>
      </c>
      <c r="AO34" s="78">
        <f t="shared" si="26"/>
        <v>0.34482758620689657</v>
      </c>
      <c r="AP34" s="78">
        <v>0.28999999999999998</v>
      </c>
      <c r="AQ34" s="78">
        <v>0.1</v>
      </c>
      <c r="AR34" s="78">
        <f t="shared" si="12"/>
        <v>0.13679245283018868</v>
      </c>
      <c r="AS34" s="78">
        <f t="shared" si="6"/>
        <v>2.8999999999999995</v>
      </c>
      <c r="AT34" s="78">
        <f>AP34/K34</f>
        <v>0.28155339805825241</v>
      </c>
      <c r="AU34" s="78">
        <v>0.08</v>
      </c>
      <c r="AV34" s="78">
        <v>0.11</v>
      </c>
      <c r="AW34" s="78">
        <f t="shared" si="29"/>
        <v>0.72727272727272729</v>
      </c>
      <c r="AX34" s="80">
        <f t="shared" si="30"/>
        <v>3.6249999999999996</v>
      </c>
      <c r="AY34" s="180"/>
      <c r="AZ34" s="87">
        <v>15</v>
      </c>
      <c r="BA34" s="87"/>
      <c r="BB34" s="87"/>
      <c r="BC34" s="88"/>
    </row>
    <row r="35" spans="2:55" ht="12.75" customHeight="1" x14ac:dyDescent="0.2">
      <c r="B35" s="160">
        <v>24294</v>
      </c>
      <c r="C35" s="70" t="s">
        <v>226</v>
      </c>
      <c r="D35" s="71" t="s">
        <v>233</v>
      </c>
      <c r="E35" s="71" t="s">
        <v>244</v>
      </c>
      <c r="F35" s="72">
        <f>1.12+1.34</f>
        <v>2.46</v>
      </c>
      <c r="G35" s="82">
        <f>I35+J35+K35+L35+M35+N35+O35</f>
        <v>4.25</v>
      </c>
      <c r="H35" s="82">
        <f>G35/F35</f>
        <v>1.7276422764227644</v>
      </c>
      <c r="I35" s="72">
        <v>0.13</v>
      </c>
      <c r="J35" s="72">
        <v>0.05</v>
      </c>
      <c r="K35" s="72">
        <v>1.1000000000000001</v>
      </c>
      <c r="L35" s="72">
        <v>0.8</v>
      </c>
      <c r="M35" s="72">
        <v>0.8</v>
      </c>
      <c r="N35" s="72">
        <v>0.17</v>
      </c>
      <c r="O35" s="72">
        <v>1.2</v>
      </c>
      <c r="P35" s="72">
        <f>N:N+O:O</f>
        <v>1.3699999999999999</v>
      </c>
      <c r="Q35" s="82">
        <f t="shared" si="0"/>
        <v>1.2454545454545451</v>
      </c>
      <c r="R35" s="82">
        <f t="shared" si="1"/>
        <v>0.72727272727272729</v>
      </c>
      <c r="S35" s="82">
        <f t="shared" si="2"/>
        <v>0.72727272727272729</v>
      </c>
      <c r="T35" s="82">
        <f t="shared" si="3"/>
        <v>7.0588235294117636</v>
      </c>
      <c r="U35" s="72">
        <v>0.28999999999999998</v>
      </c>
      <c r="V35" s="72">
        <f t="shared" si="9"/>
        <v>14.655172413793105</v>
      </c>
      <c r="W35" s="72">
        <v>0.85</v>
      </c>
      <c r="X35" s="72">
        <v>0.12</v>
      </c>
      <c r="Y35" s="72">
        <f>W:W/X:X</f>
        <v>7.083333333333333</v>
      </c>
      <c r="Z35" s="72">
        <v>0.52</v>
      </c>
      <c r="AA35" s="72">
        <v>0.78</v>
      </c>
      <c r="AB35" s="72">
        <f t="shared" si="33"/>
        <v>0.31707317073170732</v>
      </c>
      <c r="AC35" s="72">
        <v>1.69</v>
      </c>
      <c r="AD35" s="72">
        <f t="shared" si="34"/>
        <v>0.68699186991869921</v>
      </c>
      <c r="AE35" s="72">
        <v>0.12</v>
      </c>
      <c r="AF35" s="72">
        <f>AE:AE/K:K</f>
        <v>0.10909090909090907</v>
      </c>
      <c r="AG35" s="72">
        <f>AE:AE/P:P</f>
        <v>8.7591240875912413E-2</v>
      </c>
      <c r="AH35" s="72">
        <f>AE35/N35</f>
        <v>0.70588235294117641</v>
      </c>
      <c r="AI35" s="72">
        <v>0.1</v>
      </c>
      <c r="AJ35" s="72">
        <v>7.0000000000000007E-2</v>
      </c>
      <c r="AK35" s="72">
        <f t="shared" si="31"/>
        <v>1.4285714285714286</v>
      </c>
      <c r="AL35" s="72" t="s">
        <v>75</v>
      </c>
      <c r="AM35" s="72">
        <f>AI35/N35</f>
        <v>0.58823529411764708</v>
      </c>
      <c r="AN35" s="72">
        <f>AI:AI/K:K</f>
        <v>9.0909090909090912E-2</v>
      </c>
      <c r="AO35" s="72">
        <f t="shared" si="26"/>
        <v>0.29411764705882354</v>
      </c>
      <c r="AP35" s="72">
        <v>0.34</v>
      </c>
      <c r="AQ35" s="72">
        <v>0.13</v>
      </c>
      <c r="AR35" s="72">
        <f t="shared" si="12"/>
        <v>0.13821138211382114</v>
      </c>
      <c r="AS35" s="72">
        <f t="shared" si="6"/>
        <v>2.6153846153846154</v>
      </c>
      <c r="AT35" s="72">
        <f>AP35/K35</f>
        <v>0.30909090909090908</v>
      </c>
      <c r="AU35" s="72">
        <v>0.13</v>
      </c>
      <c r="AV35" s="72">
        <v>0.15</v>
      </c>
      <c r="AW35" s="72">
        <f t="shared" si="29"/>
        <v>0.8666666666666667</v>
      </c>
      <c r="AX35" s="82">
        <f t="shared" si="30"/>
        <v>2.6153846153846154</v>
      </c>
      <c r="AY35" s="185"/>
      <c r="AZ35" s="84">
        <v>11</v>
      </c>
      <c r="BA35" s="84"/>
      <c r="BB35" s="84"/>
      <c r="BC35" s="85"/>
    </row>
    <row r="36" spans="2:55" ht="12.75" customHeight="1" x14ac:dyDescent="0.2">
      <c r="B36" s="69"/>
      <c r="C36" s="71"/>
      <c r="D36" s="71"/>
      <c r="E36" s="71"/>
      <c r="F36" s="72">
        <f>1.12+1.34</f>
        <v>2.46</v>
      </c>
      <c r="G36" s="82">
        <f>I36+J36+K36+L36+M36+N36+O36</f>
        <v>4.28</v>
      </c>
      <c r="H36" s="82">
        <f>G36/F36</f>
        <v>1.7398373983739839</v>
      </c>
      <c r="I36" s="72">
        <v>0.13</v>
      </c>
      <c r="J36" s="72">
        <v>0.06</v>
      </c>
      <c r="K36" s="72">
        <v>1.1000000000000001</v>
      </c>
      <c r="L36" s="72">
        <v>0.79</v>
      </c>
      <c r="M36" s="72">
        <v>0.85</v>
      </c>
      <c r="N36" s="72">
        <v>0.15</v>
      </c>
      <c r="O36" s="72">
        <v>1.2</v>
      </c>
      <c r="P36" s="72">
        <f>N:N+O:O</f>
        <v>1.3499999999999999</v>
      </c>
      <c r="Q36" s="82">
        <f t="shared" si="0"/>
        <v>1.2272727272727271</v>
      </c>
      <c r="R36" s="82">
        <f t="shared" si="1"/>
        <v>0.7727272727272726</v>
      </c>
      <c r="S36" s="82">
        <f t="shared" si="2"/>
        <v>0.71818181818181814</v>
      </c>
      <c r="T36" s="82">
        <f t="shared" si="3"/>
        <v>8</v>
      </c>
      <c r="U36" s="72">
        <v>0.28999999999999998</v>
      </c>
      <c r="V36" s="72">
        <f t="shared" si="9"/>
        <v>14.758620689655174</v>
      </c>
      <c r="W36" s="72">
        <v>0.87</v>
      </c>
      <c r="X36" s="72">
        <v>0.11</v>
      </c>
      <c r="Y36" s="72">
        <f>W:W/X:X</f>
        <v>7.9090909090909092</v>
      </c>
      <c r="Z36" s="72">
        <v>0.53</v>
      </c>
      <c r="AA36" s="72">
        <v>0.8</v>
      </c>
      <c r="AB36" s="72">
        <f t="shared" si="33"/>
        <v>0.32520325203252037</v>
      </c>
      <c r="AC36" s="72">
        <v>1.66</v>
      </c>
      <c r="AD36" s="72">
        <f t="shared" si="34"/>
        <v>0.67479674796747968</v>
      </c>
      <c r="AE36" s="72">
        <v>0.12</v>
      </c>
      <c r="AF36" s="72">
        <f>AE:AE/K:K</f>
        <v>0.10909090909090907</v>
      </c>
      <c r="AG36" s="72">
        <f>AE:AE/P:P</f>
        <v>8.8888888888888892E-2</v>
      </c>
      <c r="AH36" s="72">
        <f>AE36/N36</f>
        <v>0.8</v>
      </c>
      <c r="AI36" s="72">
        <v>0.1</v>
      </c>
      <c r="AJ36" s="72">
        <v>7.0000000000000007E-2</v>
      </c>
      <c r="AK36" s="72">
        <f t="shared" ref="AK36" si="36">AI36/AJ36</f>
        <v>1.4285714285714286</v>
      </c>
      <c r="AL36" s="72" t="s">
        <v>75</v>
      </c>
      <c r="AM36" s="72">
        <f>AI36/N36</f>
        <v>0.66666666666666674</v>
      </c>
      <c r="AN36" s="72">
        <f>AI:AI/K:K</f>
        <v>9.0909090909090912E-2</v>
      </c>
      <c r="AO36" s="72">
        <f t="shared" si="26"/>
        <v>0.28571428571428575</v>
      </c>
      <c r="AP36" s="72">
        <v>0.35</v>
      </c>
      <c r="AQ36" s="72">
        <v>0.13</v>
      </c>
      <c r="AR36" s="72">
        <f t="shared" si="12"/>
        <v>0.14227642276422764</v>
      </c>
      <c r="AS36" s="72">
        <f t="shared" si="6"/>
        <v>2.6923076923076921</v>
      </c>
      <c r="AT36" s="72">
        <f>AP36/K36</f>
        <v>0.31818181818181812</v>
      </c>
      <c r="AU36" s="72">
        <v>0.13</v>
      </c>
      <c r="AV36" s="72">
        <v>0.15</v>
      </c>
      <c r="AW36" s="72">
        <f t="shared" si="29"/>
        <v>0.8666666666666667</v>
      </c>
      <c r="AX36" s="82">
        <f t="shared" si="30"/>
        <v>2.6923076923076921</v>
      </c>
      <c r="AY36" s="185"/>
      <c r="AZ36" s="84">
        <v>14</v>
      </c>
      <c r="BA36" s="84"/>
      <c r="BB36" s="84"/>
      <c r="BC36" s="85"/>
    </row>
    <row r="37" spans="2:55" ht="12.75" customHeight="1" x14ac:dyDescent="0.2">
      <c r="B37" s="159">
        <v>24294</v>
      </c>
      <c r="C37" s="76" t="s">
        <v>226</v>
      </c>
      <c r="D37" s="77" t="s">
        <v>233</v>
      </c>
      <c r="E37" s="77" t="s">
        <v>244</v>
      </c>
      <c r="F37" s="78">
        <f>1.09+1.33</f>
        <v>2.42</v>
      </c>
      <c r="G37" s="80">
        <f>I37+J37+K37+L37+M37+N37+O37</f>
        <v>4.7399999999999993</v>
      </c>
      <c r="H37" s="80">
        <f>G37/F37</f>
        <v>1.9586776859504129</v>
      </c>
      <c r="I37" s="78">
        <v>0.11</v>
      </c>
      <c r="J37" s="78">
        <v>0.05</v>
      </c>
      <c r="K37" s="78">
        <v>1.1299999999999999</v>
      </c>
      <c r="L37" s="78">
        <v>0.78</v>
      </c>
      <c r="M37" s="78">
        <v>0.82</v>
      </c>
      <c r="N37" s="78">
        <v>0.15</v>
      </c>
      <c r="O37" s="78">
        <v>1.7</v>
      </c>
      <c r="P37" s="78">
        <f>N:N+O:O</f>
        <v>1.8499999999999999</v>
      </c>
      <c r="Q37" s="80">
        <f t="shared" si="0"/>
        <v>1.6371681415929205</v>
      </c>
      <c r="R37" s="80">
        <f t="shared" si="1"/>
        <v>0.72566371681415931</v>
      </c>
      <c r="S37" s="80">
        <f t="shared" si="2"/>
        <v>0.69026548672566379</v>
      </c>
      <c r="T37" s="80">
        <f t="shared" si="3"/>
        <v>11.333333333333334</v>
      </c>
      <c r="U37" s="78">
        <v>0.33</v>
      </c>
      <c r="V37" s="78">
        <f t="shared" si="9"/>
        <v>14.363636363636362</v>
      </c>
      <c r="W37" s="78">
        <v>0.79</v>
      </c>
      <c r="X37" s="78">
        <v>0.11600000000000001</v>
      </c>
      <c r="Y37" s="78">
        <f>W:W/X:X</f>
        <v>6.8103448275862073</v>
      </c>
      <c r="Z37" s="78">
        <v>0.46</v>
      </c>
      <c r="AA37" s="78">
        <v>0.7</v>
      </c>
      <c r="AB37" s="78">
        <f t="shared" si="33"/>
        <v>0.28925619834710742</v>
      </c>
      <c r="AC37" s="78">
        <v>1.5</v>
      </c>
      <c r="AD37" s="78">
        <f t="shared" si="34"/>
        <v>0.6198347107438017</v>
      </c>
      <c r="AE37" s="78">
        <v>0.12</v>
      </c>
      <c r="AF37" s="78">
        <f>AE:AE/K:K</f>
        <v>0.10619469026548674</v>
      </c>
      <c r="AG37" s="78">
        <f>AE:AE/P:P</f>
        <v>6.4864864864864868E-2</v>
      </c>
      <c r="AH37" s="78">
        <f>AE37/N37</f>
        <v>0.8</v>
      </c>
      <c r="AI37" s="78">
        <v>0.1</v>
      </c>
      <c r="AJ37" s="78">
        <v>0.6</v>
      </c>
      <c r="AK37" s="78">
        <f t="shared" si="31"/>
        <v>0.16666666666666669</v>
      </c>
      <c r="AL37" s="78">
        <f t="shared" ref="AL37:AL50" si="37">AI37/AE37</f>
        <v>0.83333333333333337</v>
      </c>
      <c r="AM37" s="78">
        <f>AI37/N37</f>
        <v>0.66666666666666674</v>
      </c>
      <c r="AN37" s="78">
        <f>AI:AI/K:K</f>
        <v>8.8495575221238951E-2</v>
      </c>
      <c r="AO37" s="78">
        <f t="shared" si="26"/>
        <v>0.30303030303030304</v>
      </c>
      <c r="AP37" s="78">
        <v>0.33</v>
      </c>
      <c r="AQ37" s="78">
        <v>0.13</v>
      </c>
      <c r="AR37" s="78">
        <f t="shared" si="12"/>
        <v>0.13636363636363638</v>
      </c>
      <c r="AS37" s="78">
        <f t="shared" si="6"/>
        <v>2.5384615384615383</v>
      </c>
      <c r="AT37" s="78">
        <f>AP37/K37</f>
        <v>0.29203539823008856</v>
      </c>
      <c r="AU37" s="78">
        <v>0.1</v>
      </c>
      <c r="AV37" s="78">
        <v>0.1</v>
      </c>
      <c r="AW37" s="78">
        <f t="shared" si="29"/>
        <v>1</v>
      </c>
      <c r="AX37" s="80">
        <f t="shared" si="30"/>
        <v>3.3</v>
      </c>
      <c r="AY37" s="180"/>
      <c r="AZ37" s="87">
        <v>13</v>
      </c>
      <c r="BA37" s="87"/>
      <c r="BB37" s="87"/>
      <c r="BC37" s="88"/>
    </row>
    <row r="38" spans="2:55" ht="12.75" customHeight="1" x14ac:dyDescent="0.2">
      <c r="B38" s="75"/>
      <c r="C38" s="77"/>
      <c r="D38" s="77"/>
      <c r="E38" s="77"/>
      <c r="F38" s="78">
        <f>1.09+1.33</f>
        <v>2.42</v>
      </c>
      <c r="G38" s="78" t="s">
        <v>75</v>
      </c>
      <c r="H38" s="78" t="s">
        <v>75</v>
      </c>
      <c r="I38" s="78">
        <v>0.13</v>
      </c>
      <c r="J38" s="78">
        <v>0.06</v>
      </c>
      <c r="K38" s="78" t="s">
        <v>75</v>
      </c>
      <c r="L38" s="78" t="s">
        <v>75</v>
      </c>
      <c r="M38" s="78" t="s">
        <v>75</v>
      </c>
      <c r="N38" s="78" t="s">
        <v>75</v>
      </c>
      <c r="O38" s="78" t="s">
        <v>75</v>
      </c>
      <c r="P38" s="78" t="s">
        <v>75</v>
      </c>
      <c r="Q38" s="78" t="s">
        <v>75</v>
      </c>
      <c r="R38" s="78" t="s">
        <v>75</v>
      </c>
      <c r="S38" s="78" t="s">
        <v>75</v>
      </c>
      <c r="T38" s="78" t="s">
        <v>75</v>
      </c>
      <c r="U38" s="78">
        <v>0.33</v>
      </c>
      <c r="V38" s="78" t="s">
        <v>75</v>
      </c>
      <c r="W38" s="78" t="s">
        <v>75</v>
      </c>
      <c r="X38" s="78" t="s">
        <v>75</v>
      </c>
      <c r="Y38" s="78" t="s">
        <v>75</v>
      </c>
      <c r="Z38" s="78" t="s">
        <v>75</v>
      </c>
      <c r="AA38" s="78">
        <v>0.7</v>
      </c>
      <c r="AB38" s="78">
        <f t="shared" si="33"/>
        <v>0.28925619834710742</v>
      </c>
      <c r="AC38" s="78">
        <v>1.5</v>
      </c>
      <c r="AD38" s="78">
        <f t="shared" si="34"/>
        <v>0.6198347107438017</v>
      </c>
      <c r="AE38" s="78">
        <v>0.12</v>
      </c>
      <c r="AF38" s="78" t="s">
        <v>75</v>
      </c>
      <c r="AG38" s="78" t="s">
        <v>75</v>
      </c>
      <c r="AH38" s="78" t="s">
        <v>75</v>
      </c>
      <c r="AI38" s="78">
        <v>0.1</v>
      </c>
      <c r="AJ38" s="78">
        <v>0.6</v>
      </c>
      <c r="AK38" s="78">
        <f t="shared" ref="AK38" si="38">AI38/AJ38</f>
        <v>0.16666666666666669</v>
      </c>
      <c r="AL38" s="78">
        <f t="shared" si="37"/>
        <v>0.83333333333333337</v>
      </c>
      <c r="AM38" s="78" t="s">
        <v>75</v>
      </c>
      <c r="AN38" s="78" t="s">
        <v>75</v>
      </c>
      <c r="AO38" s="78">
        <f t="shared" si="26"/>
        <v>0.30303030303030304</v>
      </c>
      <c r="AP38" s="78">
        <v>0.33</v>
      </c>
      <c r="AQ38" s="78">
        <v>0.13</v>
      </c>
      <c r="AR38" s="78">
        <f t="shared" si="12"/>
        <v>0.13636363636363638</v>
      </c>
      <c r="AS38" s="78">
        <f t="shared" si="6"/>
        <v>2.5384615384615383</v>
      </c>
      <c r="AT38" s="78" t="s">
        <v>75</v>
      </c>
      <c r="AU38" s="78">
        <v>0.1</v>
      </c>
      <c r="AV38" s="78">
        <v>0.1</v>
      </c>
      <c r="AW38" s="78">
        <f t="shared" si="29"/>
        <v>1</v>
      </c>
      <c r="AX38" s="80">
        <f t="shared" si="30"/>
        <v>3.3</v>
      </c>
      <c r="AY38" s="180"/>
      <c r="AZ38" s="87">
        <v>15</v>
      </c>
      <c r="BA38" s="87"/>
      <c r="BB38" s="87"/>
      <c r="BC38" s="88"/>
    </row>
    <row r="39" spans="2:55" ht="12.75" customHeight="1" x14ac:dyDescent="0.2">
      <c r="B39" s="160">
        <v>24294</v>
      </c>
      <c r="C39" s="70" t="s">
        <v>226</v>
      </c>
      <c r="D39" s="71" t="s">
        <v>234</v>
      </c>
      <c r="E39" s="71" t="s">
        <v>244</v>
      </c>
      <c r="F39" s="72">
        <f>1.3+0.87</f>
        <v>2.17</v>
      </c>
      <c r="G39" s="82">
        <f>I39+J39+K39+L39+M39+N39+O39</f>
        <v>4.5599999999999996</v>
      </c>
      <c r="H39" s="82">
        <f>G39/F39</f>
        <v>2.1013824884792625</v>
      </c>
      <c r="I39" s="72">
        <v>0.11</v>
      </c>
      <c r="J39" s="72">
        <v>0.05</v>
      </c>
      <c r="K39" s="72">
        <v>1.03</v>
      </c>
      <c r="L39" s="72">
        <v>0.75</v>
      </c>
      <c r="M39" s="72">
        <v>0.77</v>
      </c>
      <c r="N39" s="72">
        <v>0.15</v>
      </c>
      <c r="O39" s="72">
        <f>1.14+0.26+0.3</f>
        <v>1.7</v>
      </c>
      <c r="P39" s="72">
        <f t="shared" ref="P39:P44" si="39">N:N+O:O</f>
        <v>1.8499999999999999</v>
      </c>
      <c r="Q39" s="82">
        <f t="shared" si="0"/>
        <v>1.7961165048543688</v>
      </c>
      <c r="R39" s="82">
        <f t="shared" si="1"/>
        <v>0.74757281553398058</v>
      </c>
      <c r="S39" s="82">
        <f t="shared" si="2"/>
        <v>0.72815533980582525</v>
      </c>
      <c r="T39" s="82">
        <f t="shared" si="3"/>
        <v>11.333333333333334</v>
      </c>
      <c r="U39" s="72">
        <v>0.31</v>
      </c>
      <c r="V39" s="72">
        <f t="shared" si="9"/>
        <v>14.709677419354838</v>
      </c>
      <c r="W39" s="72">
        <v>0.76</v>
      </c>
      <c r="X39" s="72">
        <v>0.12</v>
      </c>
      <c r="Y39" s="72">
        <f>W:W/X:X</f>
        <v>6.3333333333333339</v>
      </c>
      <c r="Z39" s="72">
        <v>0.45</v>
      </c>
      <c r="AA39" s="72">
        <v>0.62</v>
      </c>
      <c r="AB39" s="72">
        <f t="shared" si="33"/>
        <v>0.2857142857142857</v>
      </c>
      <c r="AC39" s="72">
        <v>1.4</v>
      </c>
      <c r="AD39" s="72">
        <f t="shared" si="34"/>
        <v>0.64516129032258063</v>
      </c>
      <c r="AE39" s="72">
        <v>0.11</v>
      </c>
      <c r="AF39" s="72">
        <f t="shared" ref="AF39:AF50" si="40">AE:AE/K:K</f>
        <v>0.10679611650485436</v>
      </c>
      <c r="AG39" s="72">
        <f t="shared" ref="AG39:AG44" si="41">AE:AE/P:P</f>
        <v>5.9459459459459463E-2</v>
      </c>
      <c r="AH39" s="72">
        <f t="shared" ref="AH39:AH46" si="42">AE39/N39</f>
        <v>0.73333333333333339</v>
      </c>
      <c r="AI39" s="72">
        <v>0.1</v>
      </c>
      <c r="AJ39" s="72">
        <v>0.06</v>
      </c>
      <c r="AK39" s="72">
        <f t="shared" si="31"/>
        <v>1.6666666666666667</v>
      </c>
      <c r="AL39" s="72">
        <f t="shared" si="37"/>
        <v>0.90909090909090917</v>
      </c>
      <c r="AM39" s="72">
        <f t="shared" ref="AM39:AM46" si="43">AI39/N39</f>
        <v>0.66666666666666674</v>
      </c>
      <c r="AN39" s="72">
        <f t="shared" ref="AN39:AN50" si="44">AI:AI/K:K</f>
        <v>9.7087378640776698E-2</v>
      </c>
      <c r="AO39" s="72">
        <f t="shared" si="26"/>
        <v>0.35714285714285715</v>
      </c>
      <c r="AP39" s="72">
        <v>0.28000000000000003</v>
      </c>
      <c r="AQ39" s="72">
        <v>0.14000000000000001</v>
      </c>
      <c r="AR39" s="72">
        <f t="shared" si="12"/>
        <v>0.12903225806451615</v>
      </c>
      <c r="AS39" s="72">
        <f t="shared" si="6"/>
        <v>2</v>
      </c>
      <c r="AT39" s="72">
        <f t="shared" ref="AT39:AT50" si="45">AP39/K39</f>
        <v>0.2718446601941748</v>
      </c>
      <c r="AU39" s="72" t="s">
        <v>75</v>
      </c>
      <c r="AV39" s="72" t="s">
        <v>75</v>
      </c>
      <c r="AW39" s="72" t="s">
        <v>75</v>
      </c>
      <c r="AX39" s="72" t="s">
        <v>75</v>
      </c>
      <c r="AY39" s="185"/>
      <c r="AZ39" s="84">
        <v>11</v>
      </c>
      <c r="BA39" s="84"/>
      <c r="BB39" s="84"/>
      <c r="BC39" s="85"/>
    </row>
    <row r="40" spans="2:55" ht="12.75" customHeight="1" x14ac:dyDescent="0.2">
      <c r="B40" s="69"/>
      <c r="C40" s="71"/>
      <c r="D40" s="71"/>
      <c r="E40" s="71"/>
      <c r="F40" s="72">
        <f>1.3+0.87</f>
        <v>2.17</v>
      </c>
      <c r="G40" s="82">
        <f>I40+J40+K40+L40+M40+N40+O40</f>
        <v>4.5199999999999996</v>
      </c>
      <c r="H40" s="82">
        <f>G40/F40</f>
        <v>2.0829493087557602</v>
      </c>
      <c r="I40" s="72">
        <v>0.1</v>
      </c>
      <c r="J40" s="72">
        <v>0.05</v>
      </c>
      <c r="K40" s="72">
        <v>1.03</v>
      </c>
      <c r="L40" s="72">
        <v>0.77</v>
      </c>
      <c r="M40" s="72">
        <v>0.79</v>
      </c>
      <c r="N40" s="72">
        <v>0.15</v>
      </c>
      <c r="O40" s="72">
        <v>1.63</v>
      </c>
      <c r="P40" s="72">
        <f t="shared" si="39"/>
        <v>1.7799999999999998</v>
      </c>
      <c r="Q40" s="82">
        <f t="shared" si="0"/>
        <v>1.7281553398058249</v>
      </c>
      <c r="R40" s="82">
        <f t="shared" si="1"/>
        <v>0.76699029126213591</v>
      </c>
      <c r="S40" s="82">
        <f t="shared" si="2"/>
        <v>0.74757281553398058</v>
      </c>
      <c r="T40" s="82">
        <f t="shared" si="3"/>
        <v>10.866666666666667</v>
      </c>
      <c r="U40" s="72">
        <v>0.31</v>
      </c>
      <c r="V40" s="72">
        <f t="shared" si="9"/>
        <v>14.580645161290322</v>
      </c>
      <c r="W40" s="72">
        <v>0.73</v>
      </c>
      <c r="X40" s="72">
        <v>0.13</v>
      </c>
      <c r="Y40" s="72">
        <f>W:W/X:X</f>
        <v>5.615384615384615</v>
      </c>
      <c r="Z40" s="72">
        <v>0.43</v>
      </c>
      <c r="AA40" s="72">
        <v>0.64</v>
      </c>
      <c r="AB40" s="72">
        <f t="shared" si="33"/>
        <v>0.29493087557603687</v>
      </c>
      <c r="AC40" s="72">
        <v>1.4</v>
      </c>
      <c r="AD40" s="72">
        <f t="shared" si="34"/>
        <v>0.64516129032258063</v>
      </c>
      <c r="AE40" s="72">
        <v>0.12</v>
      </c>
      <c r="AF40" s="72">
        <f t="shared" si="40"/>
        <v>0.11650485436893203</v>
      </c>
      <c r="AG40" s="72">
        <f t="shared" si="41"/>
        <v>6.741573033707865E-2</v>
      </c>
      <c r="AH40" s="72">
        <f t="shared" si="42"/>
        <v>0.8</v>
      </c>
      <c r="AI40" s="72">
        <v>0.1</v>
      </c>
      <c r="AJ40" s="72">
        <v>0.06</v>
      </c>
      <c r="AK40" s="72">
        <f t="shared" ref="AK40" si="46">AI40/AJ40</f>
        <v>1.6666666666666667</v>
      </c>
      <c r="AL40" s="72">
        <f t="shared" si="37"/>
        <v>0.83333333333333337</v>
      </c>
      <c r="AM40" s="72">
        <f t="shared" si="43"/>
        <v>0.66666666666666674</v>
      </c>
      <c r="AN40" s="72">
        <f t="shared" si="44"/>
        <v>9.7087378640776698E-2</v>
      </c>
      <c r="AO40" s="72">
        <f t="shared" si="26"/>
        <v>0.35714285714285715</v>
      </c>
      <c r="AP40" s="72">
        <v>0.28000000000000003</v>
      </c>
      <c r="AQ40" s="72">
        <v>0.15</v>
      </c>
      <c r="AR40" s="72">
        <f t="shared" si="12"/>
        <v>0.12903225806451615</v>
      </c>
      <c r="AS40" s="72">
        <f t="shared" si="6"/>
        <v>1.8666666666666669</v>
      </c>
      <c r="AT40" s="72">
        <f t="shared" si="45"/>
        <v>0.2718446601941748</v>
      </c>
      <c r="AU40" s="72" t="s">
        <v>75</v>
      </c>
      <c r="AV40" s="72" t="s">
        <v>75</v>
      </c>
      <c r="AW40" s="72" t="s">
        <v>75</v>
      </c>
      <c r="AX40" s="72" t="s">
        <v>75</v>
      </c>
      <c r="AY40" s="185"/>
      <c r="AZ40" s="84">
        <v>13</v>
      </c>
      <c r="BA40" s="84"/>
      <c r="BB40" s="84"/>
      <c r="BC40" s="85"/>
    </row>
    <row r="41" spans="2:55" ht="12.75" customHeight="1" x14ac:dyDescent="0.2">
      <c r="B41" s="159">
        <v>24294</v>
      </c>
      <c r="C41" s="76" t="s">
        <v>226</v>
      </c>
      <c r="D41" s="77" t="s">
        <v>234</v>
      </c>
      <c r="E41" s="77" t="s">
        <v>244</v>
      </c>
      <c r="F41" s="78">
        <f>1.27+0.92</f>
        <v>2.19</v>
      </c>
      <c r="G41" s="80">
        <f t="shared" ref="G41:G42" si="47">I41+J41+K41+L41+M41+N41+O41</f>
        <v>4.1199999999999992</v>
      </c>
      <c r="H41" s="80">
        <f t="shared" ref="H41:H42" si="48">G41/F41</f>
        <v>1.8812785388127851</v>
      </c>
      <c r="I41" s="78">
        <v>0.12</v>
      </c>
      <c r="J41" s="78">
        <v>0.05</v>
      </c>
      <c r="K41" s="78">
        <v>1</v>
      </c>
      <c r="L41" s="78">
        <v>0.71</v>
      </c>
      <c r="M41" s="78">
        <v>0.72</v>
      </c>
      <c r="N41" s="78">
        <v>0.14000000000000001</v>
      </c>
      <c r="O41" s="78">
        <v>1.38</v>
      </c>
      <c r="P41" s="78">
        <f t="shared" si="39"/>
        <v>1.52</v>
      </c>
      <c r="Q41" s="80">
        <f t="shared" si="0"/>
        <v>1.52</v>
      </c>
      <c r="R41" s="80">
        <f t="shared" si="1"/>
        <v>0.72</v>
      </c>
      <c r="S41" s="80">
        <f t="shared" si="2"/>
        <v>0.71</v>
      </c>
      <c r="T41" s="80">
        <f t="shared" si="3"/>
        <v>9.8571428571428559</v>
      </c>
      <c r="U41" s="78">
        <v>0.3</v>
      </c>
      <c r="V41" s="78">
        <f t="shared" si="9"/>
        <v>13.733333333333331</v>
      </c>
      <c r="W41" s="78">
        <v>0.73</v>
      </c>
      <c r="X41" s="78">
        <v>0.1</v>
      </c>
      <c r="Y41" s="78">
        <f>W:W/X:X</f>
        <v>7.3</v>
      </c>
      <c r="Z41" s="78">
        <v>0.45</v>
      </c>
      <c r="AA41" s="78">
        <v>0.64</v>
      </c>
      <c r="AB41" s="78">
        <f t="shared" si="33"/>
        <v>0.29223744292237447</v>
      </c>
      <c r="AC41" s="78">
        <v>1.4</v>
      </c>
      <c r="AD41" s="78">
        <f t="shared" si="34"/>
        <v>0.63926940639269403</v>
      </c>
      <c r="AE41" s="78">
        <v>0.11</v>
      </c>
      <c r="AF41" s="78">
        <f t="shared" si="40"/>
        <v>0.11</v>
      </c>
      <c r="AG41" s="78">
        <f t="shared" si="41"/>
        <v>7.2368421052631582E-2</v>
      </c>
      <c r="AH41" s="78">
        <f t="shared" si="42"/>
        <v>0.7857142857142857</v>
      </c>
      <c r="AI41" s="78">
        <v>0.1</v>
      </c>
      <c r="AJ41" s="78">
        <v>0.06</v>
      </c>
      <c r="AK41" s="78">
        <f t="shared" si="31"/>
        <v>1.6666666666666667</v>
      </c>
      <c r="AL41" s="78">
        <f t="shared" si="37"/>
        <v>0.90909090909090917</v>
      </c>
      <c r="AM41" s="78">
        <f t="shared" si="43"/>
        <v>0.7142857142857143</v>
      </c>
      <c r="AN41" s="78">
        <f t="shared" si="44"/>
        <v>0.1</v>
      </c>
      <c r="AO41" s="78">
        <f t="shared" si="26"/>
        <v>0.34482758620689657</v>
      </c>
      <c r="AP41" s="78">
        <v>0.28999999999999998</v>
      </c>
      <c r="AQ41" s="78">
        <v>0.13</v>
      </c>
      <c r="AR41" s="78">
        <f t="shared" si="12"/>
        <v>0.13242009132420091</v>
      </c>
      <c r="AS41" s="78">
        <f t="shared" si="6"/>
        <v>2.2307692307692304</v>
      </c>
      <c r="AT41" s="78">
        <f t="shared" si="45"/>
        <v>0.28999999999999998</v>
      </c>
      <c r="AU41" s="78">
        <v>0.08</v>
      </c>
      <c r="AV41" s="78">
        <v>0.12</v>
      </c>
      <c r="AW41" s="78">
        <f t="shared" ref="AW41:AW48" si="49">AU41/AV41</f>
        <v>0.66666666666666674</v>
      </c>
      <c r="AX41" s="80">
        <f t="shared" ref="AX41:AX48" si="50">AP41/AU41</f>
        <v>3.6249999999999996</v>
      </c>
      <c r="AY41" s="180"/>
      <c r="AZ41" s="87">
        <v>14</v>
      </c>
      <c r="BA41" s="87"/>
      <c r="BB41" s="87"/>
      <c r="BC41" s="88"/>
    </row>
    <row r="42" spans="2:55" ht="12.75" customHeight="1" x14ac:dyDescent="0.2">
      <c r="B42" s="75"/>
      <c r="C42" s="77"/>
      <c r="D42" s="77"/>
      <c r="E42" s="77"/>
      <c r="F42" s="78">
        <f>1.27+0.92</f>
        <v>2.19</v>
      </c>
      <c r="G42" s="80">
        <f t="shared" si="47"/>
        <v>4.41</v>
      </c>
      <c r="H42" s="80">
        <f t="shared" si="48"/>
        <v>2.0136986301369864</v>
      </c>
      <c r="I42" s="78">
        <v>0.12</v>
      </c>
      <c r="J42" s="78">
        <v>0.06</v>
      </c>
      <c r="K42" s="78">
        <v>1</v>
      </c>
      <c r="L42" s="78">
        <v>0.71</v>
      </c>
      <c r="M42" s="78">
        <v>0.72</v>
      </c>
      <c r="N42" s="78">
        <v>0.14000000000000001</v>
      </c>
      <c r="O42" s="78">
        <v>1.66</v>
      </c>
      <c r="P42" s="78">
        <f t="shared" si="39"/>
        <v>1.7999999999999998</v>
      </c>
      <c r="Q42" s="80">
        <f>(N42+O42)/K42</f>
        <v>1.7999999999999998</v>
      </c>
      <c r="R42" s="80">
        <f t="shared" si="1"/>
        <v>0.72</v>
      </c>
      <c r="S42" s="80">
        <f t="shared" si="2"/>
        <v>0.71</v>
      </c>
      <c r="T42" s="80">
        <f t="shared" si="3"/>
        <v>11.857142857142856</v>
      </c>
      <c r="U42" s="78">
        <v>0.3</v>
      </c>
      <c r="V42" s="78">
        <f t="shared" si="9"/>
        <v>14.700000000000001</v>
      </c>
      <c r="W42" s="78" t="s">
        <v>75</v>
      </c>
      <c r="X42" s="78" t="s">
        <v>75</v>
      </c>
      <c r="Y42" s="78" t="s">
        <v>75</v>
      </c>
      <c r="Z42" s="78">
        <v>0.46</v>
      </c>
      <c r="AA42" s="78">
        <v>0.64</v>
      </c>
      <c r="AB42" s="78">
        <f t="shared" si="33"/>
        <v>0.29223744292237447</v>
      </c>
      <c r="AC42" s="78">
        <v>1.4</v>
      </c>
      <c r="AD42" s="78">
        <f t="shared" si="34"/>
        <v>0.63926940639269403</v>
      </c>
      <c r="AE42" s="78">
        <v>0.11</v>
      </c>
      <c r="AF42" s="78">
        <f t="shared" si="40"/>
        <v>0.11</v>
      </c>
      <c r="AG42" s="78">
        <f t="shared" si="41"/>
        <v>6.1111111111111116E-2</v>
      </c>
      <c r="AH42" s="78">
        <f t="shared" si="42"/>
        <v>0.7857142857142857</v>
      </c>
      <c r="AI42" s="78">
        <v>0.1</v>
      </c>
      <c r="AJ42" s="78">
        <v>0.06</v>
      </c>
      <c r="AK42" s="78">
        <f t="shared" ref="AK42" si="51">AI42/AJ42</f>
        <v>1.6666666666666667</v>
      </c>
      <c r="AL42" s="78">
        <f t="shared" si="37"/>
        <v>0.90909090909090917</v>
      </c>
      <c r="AM42" s="78">
        <f t="shared" si="43"/>
        <v>0.7142857142857143</v>
      </c>
      <c r="AN42" s="78">
        <f t="shared" si="44"/>
        <v>0.1</v>
      </c>
      <c r="AO42" s="78">
        <f t="shared" si="26"/>
        <v>0.37037037037037035</v>
      </c>
      <c r="AP42" s="78">
        <v>0.27</v>
      </c>
      <c r="AQ42" s="78">
        <v>0.15</v>
      </c>
      <c r="AR42" s="78">
        <f t="shared" si="12"/>
        <v>0.12328767123287672</v>
      </c>
      <c r="AS42" s="78">
        <f t="shared" si="6"/>
        <v>1.8000000000000003</v>
      </c>
      <c r="AT42" s="78">
        <f t="shared" si="45"/>
        <v>0.27</v>
      </c>
      <c r="AU42" s="78">
        <v>0.08</v>
      </c>
      <c r="AV42" s="78">
        <v>0.12</v>
      </c>
      <c r="AW42" s="78">
        <f t="shared" si="49"/>
        <v>0.66666666666666674</v>
      </c>
      <c r="AX42" s="80">
        <f t="shared" si="50"/>
        <v>3.375</v>
      </c>
      <c r="AY42" s="180"/>
      <c r="AZ42" s="87">
        <v>15</v>
      </c>
      <c r="BA42" s="87"/>
      <c r="BB42" s="87"/>
      <c r="BC42" s="88"/>
    </row>
    <row r="43" spans="2:55" ht="12.75" customHeight="1" x14ac:dyDescent="0.2">
      <c r="B43" s="160">
        <v>24294</v>
      </c>
      <c r="C43" s="70" t="s">
        <v>226</v>
      </c>
      <c r="D43" s="71" t="s">
        <v>234</v>
      </c>
      <c r="E43" s="71" t="s">
        <v>244</v>
      </c>
      <c r="F43" s="72">
        <f>1.3+0.77</f>
        <v>2.0700000000000003</v>
      </c>
      <c r="G43" s="82">
        <f>I43+J43+K43+L43+M43+N43+O43</f>
        <v>4.47</v>
      </c>
      <c r="H43" s="82">
        <f>G43/F43</f>
        <v>2.1594202898550718</v>
      </c>
      <c r="I43" s="72">
        <v>0.11</v>
      </c>
      <c r="J43" s="72">
        <v>0.06</v>
      </c>
      <c r="K43" s="72">
        <v>0.96</v>
      </c>
      <c r="L43" s="72">
        <v>0.73</v>
      </c>
      <c r="M43" s="72">
        <v>0.75</v>
      </c>
      <c r="N43" s="72">
        <v>0.14000000000000001</v>
      </c>
      <c r="O43" s="72">
        <v>1.72</v>
      </c>
      <c r="P43" s="72">
        <f t="shared" si="39"/>
        <v>1.8599999999999999</v>
      </c>
      <c r="Q43" s="82">
        <f t="shared" si="0"/>
        <v>1.9375</v>
      </c>
      <c r="R43" s="82">
        <f t="shared" si="1"/>
        <v>0.78125</v>
      </c>
      <c r="S43" s="82">
        <f t="shared" si="2"/>
        <v>0.76041666666666663</v>
      </c>
      <c r="T43" s="82">
        <f t="shared" si="3"/>
        <v>12.285714285714285</v>
      </c>
      <c r="U43" s="72">
        <v>0.3</v>
      </c>
      <c r="V43" s="72">
        <f t="shared" si="9"/>
        <v>14.9</v>
      </c>
      <c r="W43" s="72">
        <v>0.75</v>
      </c>
      <c r="X43" s="72">
        <v>0.11</v>
      </c>
      <c r="Y43" s="72">
        <f>W:W/X:X</f>
        <v>6.8181818181818183</v>
      </c>
      <c r="Z43" s="72">
        <v>0.45</v>
      </c>
      <c r="AA43" s="72">
        <v>0.64</v>
      </c>
      <c r="AB43" s="72">
        <f t="shared" si="33"/>
        <v>0.30917874396135264</v>
      </c>
      <c r="AC43" s="72">
        <v>1.5</v>
      </c>
      <c r="AD43" s="72">
        <f t="shared" si="34"/>
        <v>0.72463768115942018</v>
      </c>
      <c r="AE43" s="72">
        <v>0.1</v>
      </c>
      <c r="AF43" s="72">
        <f t="shared" si="40"/>
        <v>0.10416666666666667</v>
      </c>
      <c r="AG43" s="72">
        <f t="shared" si="41"/>
        <v>5.3763440860215062E-2</v>
      </c>
      <c r="AH43" s="72">
        <f t="shared" si="42"/>
        <v>0.7142857142857143</v>
      </c>
      <c r="AI43" s="72">
        <v>0.1</v>
      </c>
      <c r="AJ43" s="72">
        <v>0.06</v>
      </c>
      <c r="AK43" s="72">
        <f t="shared" si="31"/>
        <v>1.6666666666666667</v>
      </c>
      <c r="AL43" s="72">
        <f t="shared" si="37"/>
        <v>1</v>
      </c>
      <c r="AM43" s="72">
        <f t="shared" si="43"/>
        <v>0.7142857142857143</v>
      </c>
      <c r="AN43" s="72">
        <f t="shared" si="44"/>
        <v>0.10416666666666667</v>
      </c>
      <c r="AO43" s="72">
        <f t="shared" si="26"/>
        <v>0.32258064516129037</v>
      </c>
      <c r="AP43" s="72">
        <v>0.31</v>
      </c>
      <c r="AQ43" s="72">
        <v>0.15</v>
      </c>
      <c r="AR43" s="72">
        <f t="shared" si="12"/>
        <v>0.14975845410628016</v>
      </c>
      <c r="AS43" s="72">
        <f t="shared" si="6"/>
        <v>2.0666666666666669</v>
      </c>
      <c r="AT43" s="72">
        <f t="shared" si="45"/>
        <v>0.32291666666666669</v>
      </c>
      <c r="AU43" s="72">
        <v>0.12</v>
      </c>
      <c r="AV43" s="72">
        <v>0.13</v>
      </c>
      <c r="AW43" s="72">
        <f t="shared" si="49"/>
        <v>0.92307692307692302</v>
      </c>
      <c r="AX43" s="82">
        <f t="shared" si="50"/>
        <v>2.5833333333333335</v>
      </c>
      <c r="AY43" s="185"/>
      <c r="AZ43" s="84">
        <v>11</v>
      </c>
      <c r="BA43" s="84"/>
      <c r="BB43" s="84"/>
      <c r="BC43" s="85"/>
    </row>
    <row r="44" spans="2:55" ht="12.75" customHeight="1" x14ac:dyDescent="0.2">
      <c r="B44" s="69"/>
      <c r="C44" s="71"/>
      <c r="D44" s="71"/>
      <c r="E44" s="71"/>
      <c r="F44" s="72">
        <f>1.3+0.77</f>
        <v>2.0700000000000003</v>
      </c>
      <c r="G44" s="82">
        <f>I44+J44+K44+L44+M44+N44+O44</f>
        <v>4</v>
      </c>
      <c r="H44" s="82">
        <f>G44/F44</f>
        <v>1.9323671497584538</v>
      </c>
      <c r="I44" s="72">
        <v>0.12</v>
      </c>
      <c r="J44" s="72">
        <v>0.06</v>
      </c>
      <c r="K44" s="72">
        <v>0.96</v>
      </c>
      <c r="L44" s="72">
        <v>0.71</v>
      </c>
      <c r="M44" s="72">
        <v>0.77</v>
      </c>
      <c r="N44" s="72">
        <v>0.15</v>
      </c>
      <c r="O44" s="72">
        <v>1.23</v>
      </c>
      <c r="P44" s="72">
        <f t="shared" si="39"/>
        <v>1.38</v>
      </c>
      <c r="Q44" s="82">
        <f t="shared" si="0"/>
        <v>1.4375</v>
      </c>
      <c r="R44" s="82">
        <f t="shared" si="1"/>
        <v>0.80208333333333337</v>
      </c>
      <c r="S44" s="82">
        <f t="shared" si="2"/>
        <v>0.73958333333333337</v>
      </c>
      <c r="T44" s="82">
        <f t="shared" si="3"/>
        <v>8.2000000000000011</v>
      </c>
      <c r="U44" s="72">
        <v>0.3</v>
      </c>
      <c r="V44" s="72">
        <f t="shared" si="9"/>
        <v>13.333333333333334</v>
      </c>
      <c r="W44" s="72" t="s">
        <v>75</v>
      </c>
      <c r="X44" s="72" t="s">
        <v>75</v>
      </c>
      <c r="Y44" s="72" t="s">
        <v>75</v>
      </c>
      <c r="Z44" s="72">
        <v>0.48</v>
      </c>
      <c r="AA44" s="72">
        <v>0.62</v>
      </c>
      <c r="AB44" s="72">
        <f t="shared" si="33"/>
        <v>0.29951690821256033</v>
      </c>
      <c r="AC44" s="72">
        <v>1.5</v>
      </c>
      <c r="AD44" s="72">
        <f t="shared" si="34"/>
        <v>0.72463768115942018</v>
      </c>
      <c r="AE44" s="72">
        <v>0.1</v>
      </c>
      <c r="AF44" s="72">
        <f t="shared" si="40"/>
        <v>0.10416666666666667</v>
      </c>
      <c r="AG44" s="72">
        <f t="shared" si="41"/>
        <v>7.2463768115942045E-2</v>
      </c>
      <c r="AH44" s="72">
        <f t="shared" si="42"/>
        <v>0.66666666666666674</v>
      </c>
      <c r="AI44" s="72">
        <v>0.1</v>
      </c>
      <c r="AJ44" s="72">
        <v>0.06</v>
      </c>
      <c r="AK44" s="72">
        <f t="shared" ref="AK44" si="52">AI44/AJ44</f>
        <v>1.6666666666666667</v>
      </c>
      <c r="AL44" s="72">
        <f t="shared" si="37"/>
        <v>1</v>
      </c>
      <c r="AM44" s="72">
        <f t="shared" si="43"/>
        <v>0.66666666666666674</v>
      </c>
      <c r="AN44" s="72">
        <f t="shared" si="44"/>
        <v>0.10416666666666667</v>
      </c>
      <c r="AO44" s="72">
        <f t="shared" si="26"/>
        <v>0.35714285714285715</v>
      </c>
      <c r="AP44" s="72">
        <v>0.28000000000000003</v>
      </c>
      <c r="AQ44" s="72">
        <v>0.15</v>
      </c>
      <c r="AR44" s="72">
        <f t="shared" si="12"/>
        <v>0.13526570048309178</v>
      </c>
      <c r="AS44" s="72">
        <f t="shared" si="6"/>
        <v>1.8666666666666669</v>
      </c>
      <c r="AT44" s="72">
        <f t="shared" si="45"/>
        <v>0.29166666666666669</v>
      </c>
      <c r="AU44" s="72">
        <v>0.12</v>
      </c>
      <c r="AV44" s="72">
        <v>0.13</v>
      </c>
      <c r="AW44" s="72">
        <f t="shared" si="49"/>
        <v>0.92307692307692302</v>
      </c>
      <c r="AX44" s="82">
        <f t="shared" si="50"/>
        <v>2.3333333333333335</v>
      </c>
      <c r="AY44" s="185"/>
      <c r="AZ44" s="84">
        <v>12</v>
      </c>
      <c r="BA44" s="84"/>
      <c r="BB44" s="84"/>
      <c r="BC44" s="85"/>
    </row>
    <row r="45" spans="2:55" ht="12.75" customHeight="1" x14ac:dyDescent="0.2">
      <c r="B45" s="159">
        <v>24294</v>
      </c>
      <c r="C45" s="76" t="s">
        <v>226</v>
      </c>
      <c r="D45" s="77" t="s">
        <v>235</v>
      </c>
      <c r="E45" s="77" t="s">
        <v>244</v>
      </c>
      <c r="F45" s="78">
        <v>1.76</v>
      </c>
      <c r="G45" s="78" t="s">
        <v>75</v>
      </c>
      <c r="H45" s="78" t="s">
        <v>75</v>
      </c>
      <c r="I45" s="78">
        <v>0.12</v>
      </c>
      <c r="J45" s="78">
        <v>0.06</v>
      </c>
      <c r="K45" s="78">
        <v>1</v>
      </c>
      <c r="L45" s="78">
        <v>0.76</v>
      </c>
      <c r="M45" s="78">
        <v>0.76</v>
      </c>
      <c r="N45" s="78">
        <v>0.14000000000000001</v>
      </c>
      <c r="O45" s="78" t="s">
        <v>75</v>
      </c>
      <c r="P45" s="78" t="s">
        <v>75</v>
      </c>
      <c r="Q45" s="78" t="s">
        <v>75</v>
      </c>
      <c r="R45" s="80">
        <f t="shared" si="1"/>
        <v>0.76</v>
      </c>
      <c r="S45" s="80">
        <f t="shared" si="2"/>
        <v>0.76</v>
      </c>
      <c r="T45" s="78" t="s">
        <v>75</v>
      </c>
      <c r="U45" s="78">
        <v>0.33</v>
      </c>
      <c r="V45" s="78" t="s">
        <v>75</v>
      </c>
      <c r="W45" s="78">
        <v>0.75</v>
      </c>
      <c r="X45" s="78">
        <v>0.13</v>
      </c>
      <c r="Y45" s="78">
        <f>W:W/X:X</f>
        <v>5.7692307692307692</v>
      </c>
      <c r="Z45" s="78">
        <v>0.45</v>
      </c>
      <c r="AA45" s="78">
        <v>0.67</v>
      </c>
      <c r="AB45" s="78">
        <f t="shared" si="33"/>
        <v>0.38068181818181818</v>
      </c>
      <c r="AC45" s="78">
        <v>1.45</v>
      </c>
      <c r="AD45" s="78">
        <f t="shared" si="34"/>
        <v>0.82386363636363635</v>
      </c>
      <c r="AE45" s="78">
        <v>0.11</v>
      </c>
      <c r="AF45" s="78">
        <f t="shared" si="40"/>
        <v>0.11</v>
      </c>
      <c r="AG45" s="78" t="s">
        <v>75</v>
      </c>
      <c r="AH45" s="78">
        <f t="shared" si="42"/>
        <v>0.7857142857142857</v>
      </c>
      <c r="AI45" s="78">
        <v>0.1</v>
      </c>
      <c r="AJ45" s="78">
        <v>7.0000000000000007E-2</v>
      </c>
      <c r="AK45" s="78">
        <f t="shared" si="31"/>
        <v>1.4285714285714286</v>
      </c>
      <c r="AL45" s="78">
        <f t="shared" si="37"/>
        <v>0.90909090909090917</v>
      </c>
      <c r="AM45" s="78">
        <f t="shared" si="43"/>
        <v>0.7142857142857143</v>
      </c>
      <c r="AN45" s="78">
        <f t="shared" si="44"/>
        <v>0.1</v>
      </c>
      <c r="AO45" s="78">
        <f t="shared" si="26"/>
        <v>0.34482758620689657</v>
      </c>
      <c r="AP45" s="78">
        <v>0.28999999999999998</v>
      </c>
      <c r="AQ45" s="78">
        <v>0.12</v>
      </c>
      <c r="AR45" s="78">
        <f t="shared" si="12"/>
        <v>0.16477272727272727</v>
      </c>
      <c r="AS45" s="78">
        <f t="shared" si="6"/>
        <v>2.4166666666666665</v>
      </c>
      <c r="AT45" s="78">
        <f t="shared" si="45"/>
        <v>0.28999999999999998</v>
      </c>
      <c r="AU45" s="78">
        <v>0.1</v>
      </c>
      <c r="AV45" s="78">
        <v>0.11</v>
      </c>
      <c r="AW45" s="78">
        <f t="shared" si="49"/>
        <v>0.90909090909090917</v>
      </c>
      <c r="AX45" s="80">
        <f t="shared" si="50"/>
        <v>2.8999999999999995</v>
      </c>
      <c r="AY45" s="180"/>
      <c r="AZ45" s="87">
        <v>12</v>
      </c>
      <c r="BA45" s="87"/>
      <c r="BB45" s="87"/>
      <c r="BC45" s="88"/>
    </row>
    <row r="46" spans="2:55" ht="12.75" customHeight="1" x14ac:dyDescent="0.2">
      <c r="B46" s="75"/>
      <c r="C46" s="77"/>
      <c r="D46" s="77"/>
      <c r="E46" s="77"/>
      <c r="F46" s="78">
        <v>1.76</v>
      </c>
      <c r="G46" s="80">
        <f>I46+J46+K46+L46+M46+N46+O46</f>
        <v>4.55</v>
      </c>
      <c r="H46" s="80">
        <f>G46/F46</f>
        <v>2.5852272727272725</v>
      </c>
      <c r="I46" s="78">
        <v>0.12</v>
      </c>
      <c r="J46" s="78">
        <v>0.05</v>
      </c>
      <c r="K46" s="78">
        <v>1</v>
      </c>
      <c r="L46" s="78">
        <v>0.72</v>
      </c>
      <c r="M46" s="78">
        <v>0.77</v>
      </c>
      <c r="N46" s="78">
        <v>0.15</v>
      </c>
      <c r="O46" s="78">
        <v>1.74</v>
      </c>
      <c r="P46" s="78">
        <f>N:N+O:O</f>
        <v>1.89</v>
      </c>
      <c r="Q46" s="80">
        <f t="shared" si="0"/>
        <v>1.89</v>
      </c>
      <c r="R46" s="80">
        <f t="shared" si="1"/>
        <v>0.77</v>
      </c>
      <c r="S46" s="80">
        <f t="shared" si="2"/>
        <v>0.72</v>
      </c>
      <c r="T46" s="80">
        <f t="shared" si="3"/>
        <v>11.6</v>
      </c>
      <c r="U46" s="78">
        <v>0.33</v>
      </c>
      <c r="V46" s="78">
        <f t="shared" si="9"/>
        <v>13.787878787878787</v>
      </c>
      <c r="W46" s="78" t="s">
        <v>75</v>
      </c>
      <c r="X46" s="78" t="s">
        <v>75</v>
      </c>
      <c r="Y46" s="78" t="s">
        <v>75</v>
      </c>
      <c r="Z46" s="78" t="s">
        <v>75</v>
      </c>
      <c r="AA46" s="78">
        <v>0.66</v>
      </c>
      <c r="AB46" s="78">
        <f t="shared" si="33"/>
        <v>0.375</v>
      </c>
      <c r="AC46" s="78">
        <v>1.42</v>
      </c>
      <c r="AD46" s="78">
        <f t="shared" si="34"/>
        <v>0.80681818181818177</v>
      </c>
      <c r="AE46" s="78">
        <v>0.11</v>
      </c>
      <c r="AF46" s="78">
        <f t="shared" si="40"/>
        <v>0.11</v>
      </c>
      <c r="AG46" s="78">
        <f>AE:AE/P:P</f>
        <v>5.8201058201058205E-2</v>
      </c>
      <c r="AH46" s="78">
        <f t="shared" si="42"/>
        <v>0.73333333333333339</v>
      </c>
      <c r="AI46" s="78">
        <v>0.1</v>
      </c>
      <c r="AJ46" s="78">
        <v>7.0000000000000007E-2</v>
      </c>
      <c r="AK46" s="78">
        <f t="shared" ref="AK46" si="53">AI46/AJ46</f>
        <v>1.4285714285714286</v>
      </c>
      <c r="AL46" s="78">
        <f t="shared" si="37"/>
        <v>0.90909090909090917</v>
      </c>
      <c r="AM46" s="78">
        <f t="shared" si="43"/>
        <v>0.66666666666666674</v>
      </c>
      <c r="AN46" s="78">
        <f t="shared" si="44"/>
        <v>0.1</v>
      </c>
      <c r="AO46" s="78">
        <f t="shared" si="26"/>
        <v>0.35714285714285715</v>
      </c>
      <c r="AP46" s="78">
        <v>0.28000000000000003</v>
      </c>
      <c r="AQ46" s="78">
        <v>0.14000000000000001</v>
      </c>
      <c r="AR46" s="78">
        <f t="shared" si="12"/>
        <v>0.15909090909090912</v>
      </c>
      <c r="AS46" s="78">
        <f t="shared" si="6"/>
        <v>2</v>
      </c>
      <c r="AT46" s="78">
        <f t="shared" si="45"/>
        <v>0.28000000000000003</v>
      </c>
      <c r="AU46" s="78">
        <v>0.1</v>
      </c>
      <c r="AV46" s="78">
        <v>0.11</v>
      </c>
      <c r="AW46" s="78">
        <f t="shared" si="49"/>
        <v>0.90909090909090917</v>
      </c>
      <c r="AX46" s="80">
        <f t="shared" si="50"/>
        <v>2.8000000000000003</v>
      </c>
      <c r="AY46" s="180"/>
      <c r="AZ46" s="87">
        <v>15</v>
      </c>
      <c r="BA46" s="87"/>
      <c r="BB46" s="87"/>
      <c r="BC46" s="88"/>
    </row>
    <row r="47" spans="2:55" ht="12.75" customHeight="1" x14ac:dyDescent="0.2">
      <c r="B47" s="160">
        <v>24294</v>
      </c>
      <c r="C47" s="70" t="s">
        <v>226</v>
      </c>
      <c r="D47" s="71" t="s">
        <v>235</v>
      </c>
      <c r="E47" s="71" t="s">
        <v>244</v>
      </c>
      <c r="F47" s="72">
        <f>0.98+1.08</f>
        <v>2.06</v>
      </c>
      <c r="G47" s="72" t="s">
        <v>75</v>
      </c>
      <c r="H47" s="72" t="s">
        <v>75</v>
      </c>
      <c r="I47" s="72">
        <v>0.1</v>
      </c>
      <c r="J47" s="72">
        <v>0.06</v>
      </c>
      <c r="K47" s="72">
        <v>0.99</v>
      </c>
      <c r="L47" s="72">
        <v>0.72</v>
      </c>
      <c r="M47" s="72" t="s">
        <v>75</v>
      </c>
      <c r="N47" s="72" t="s">
        <v>75</v>
      </c>
      <c r="O47" s="72" t="s">
        <v>75</v>
      </c>
      <c r="P47" s="72" t="s">
        <v>75</v>
      </c>
      <c r="Q47" s="72" t="s">
        <v>75</v>
      </c>
      <c r="R47" s="72" t="s">
        <v>75</v>
      </c>
      <c r="S47" s="82">
        <f t="shared" si="2"/>
        <v>0.72727272727272729</v>
      </c>
      <c r="T47" s="72" t="s">
        <v>75</v>
      </c>
      <c r="U47" s="72">
        <v>0.34</v>
      </c>
      <c r="V47" s="72" t="s">
        <v>75</v>
      </c>
      <c r="W47" s="72">
        <v>0.79</v>
      </c>
      <c r="X47" s="72">
        <v>0.11</v>
      </c>
      <c r="Y47" s="72">
        <f>W:W/X:X</f>
        <v>7.1818181818181825</v>
      </c>
      <c r="Z47" s="72">
        <v>0.47</v>
      </c>
      <c r="AA47" s="72">
        <v>0.65</v>
      </c>
      <c r="AB47" s="72">
        <f t="shared" si="33"/>
        <v>0.3155339805825243</v>
      </c>
      <c r="AC47" s="72">
        <v>1.4</v>
      </c>
      <c r="AD47" s="72">
        <f t="shared" si="34"/>
        <v>0.67961165048543681</v>
      </c>
      <c r="AE47" s="72">
        <v>0.11</v>
      </c>
      <c r="AF47" s="72">
        <f t="shared" si="40"/>
        <v>0.11111111111111112</v>
      </c>
      <c r="AG47" s="72" t="s">
        <v>75</v>
      </c>
      <c r="AH47" s="72" t="s">
        <v>75</v>
      </c>
      <c r="AI47" s="72">
        <v>0.1</v>
      </c>
      <c r="AJ47" s="72">
        <v>7.0000000000000007E-2</v>
      </c>
      <c r="AK47" s="72">
        <f t="shared" si="31"/>
        <v>1.4285714285714286</v>
      </c>
      <c r="AL47" s="72">
        <f t="shared" si="37"/>
        <v>0.90909090909090917</v>
      </c>
      <c r="AM47" s="72" t="s">
        <v>75</v>
      </c>
      <c r="AN47" s="72">
        <f t="shared" si="44"/>
        <v>0.10101010101010102</v>
      </c>
      <c r="AO47" s="72">
        <f t="shared" si="26"/>
        <v>0.34482758620689657</v>
      </c>
      <c r="AP47" s="72">
        <v>0.28999999999999998</v>
      </c>
      <c r="AQ47" s="72">
        <v>0.13</v>
      </c>
      <c r="AR47" s="72">
        <f t="shared" si="12"/>
        <v>0.14077669902912621</v>
      </c>
      <c r="AS47" s="72">
        <f t="shared" si="6"/>
        <v>2.2307692307692304</v>
      </c>
      <c r="AT47" s="72">
        <f t="shared" si="45"/>
        <v>0.29292929292929293</v>
      </c>
      <c r="AU47" s="72">
        <v>0.13</v>
      </c>
      <c r="AV47" s="72">
        <v>0.13</v>
      </c>
      <c r="AW47" s="72">
        <f t="shared" si="49"/>
        <v>1</v>
      </c>
      <c r="AX47" s="82">
        <f t="shared" si="50"/>
        <v>2.2307692307692304</v>
      </c>
      <c r="AY47" s="185"/>
      <c r="AZ47" s="84">
        <v>12</v>
      </c>
      <c r="BA47" s="84"/>
      <c r="BB47" s="84"/>
      <c r="BC47" s="85"/>
    </row>
    <row r="48" spans="2:55" ht="12.75" customHeight="1" x14ac:dyDescent="0.2">
      <c r="B48" s="69"/>
      <c r="C48" s="71"/>
      <c r="D48" s="71"/>
      <c r="E48" s="71"/>
      <c r="F48" s="72">
        <f>0.98+1.08</f>
        <v>2.06</v>
      </c>
      <c r="G48" s="72" t="s">
        <v>75</v>
      </c>
      <c r="H48" s="72" t="s">
        <v>75</v>
      </c>
      <c r="I48" s="72">
        <v>0.12</v>
      </c>
      <c r="J48" s="72">
        <v>0.06</v>
      </c>
      <c r="K48" s="72">
        <v>1</v>
      </c>
      <c r="L48" s="72">
        <v>0.72</v>
      </c>
      <c r="M48" s="72">
        <v>0.83</v>
      </c>
      <c r="N48" s="72">
        <v>0.14000000000000001</v>
      </c>
      <c r="O48" s="72" t="s">
        <v>75</v>
      </c>
      <c r="P48" s="72" t="s">
        <v>75</v>
      </c>
      <c r="Q48" s="72" t="s">
        <v>75</v>
      </c>
      <c r="R48" s="82">
        <f t="shared" si="1"/>
        <v>0.83</v>
      </c>
      <c r="S48" s="82">
        <f t="shared" si="2"/>
        <v>0.72</v>
      </c>
      <c r="T48" s="72" t="s">
        <v>75</v>
      </c>
      <c r="U48" s="72">
        <v>0.34</v>
      </c>
      <c r="V48" s="72" t="s">
        <v>75</v>
      </c>
      <c r="W48" s="72" t="s">
        <v>75</v>
      </c>
      <c r="X48" s="72" t="s">
        <v>75</v>
      </c>
      <c r="Y48" s="72" t="s">
        <v>75</v>
      </c>
      <c r="Z48" s="72" t="s">
        <v>75</v>
      </c>
      <c r="AA48" s="72">
        <v>0.67</v>
      </c>
      <c r="AB48" s="72">
        <f t="shared" si="33"/>
        <v>0.32524271844660196</v>
      </c>
      <c r="AC48" s="72">
        <v>1.43</v>
      </c>
      <c r="AD48" s="72">
        <f t="shared" si="34"/>
        <v>0.69417475728155331</v>
      </c>
      <c r="AE48" s="72">
        <v>0.11</v>
      </c>
      <c r="AF48" s="72">
        <f t="shared" si="40"/>
        <v>0.11</v>
      </c>
      <c r="AG48" s="72" t="s">
        <v>75</v>
      </c>
      <c r="AH48" s="72">
        <f>AE48/N48</f>
        <v>0.7857142857142857</v>
      </c>
      <c r="AI48" s="72">
        <v>0.1</v>
      </c>
      <c r="AJ48" s="72">
        <v>7.0000000000000007E-2</v>
      </c>
      <c r="AK48" s="72">
        <f t="shared" ref="AK48" si="54">AI48/AJ48</f>
        <v>1.4285714285714286</v>
      </c>
      <c r="AL48" s="72">
        <f t="shared" si="37"/>
        <v>0.90909090909090917</v>
      </c>
      <c r="AM48" s="72">
        <f>AI48/N48</f>
        <v>0.7142857142857143</v>
      </c>
      <c r="AN48" s="72">
        <f t="shared" si="44"/>
        <v>0.1</v>
      </c>
      <c r="AO48" s="72">
        <f t="shared" si="26"/>
        <v>0.33333333333333337</v>
      </c>
      <c r="AP48" s="72">
        <v>0.3</v>
      </c>
      <c r="AQ48" s="72">
        <v>0.11</v>
      </c>
      <c r="AR48" s="72">
        <f t="shared" si="12"/>
        <v>0.14563106796116504</v>
      </c>
      <c r="AS48" s="72">
        <f t="shared" si="6"/>
        <v>2.7272727272727271</v>
      </c>
      <c r="AT48" s="72">
        <f t="shared" si="45"/>
        <v>0.3</v>
      </c>
      <c r="AU48" s="72">
        <v>0.13</v>
      </c>
      <c r="AV48" s="72">
        <v>0.13</v>
      </c>
      <c r="AW48" s="72">
        <f t="shared" si="49"/>
        <v>1</v>
      </c>
      <c r="AX48" s="82">
        <f t="shared" si="50"/>
        <v>2.3076923076923075</v>
      </c>
      <c r="AY48" s="185"/>
      <c r="AZ48" s="84">
        <v>13</v>
      </c>
      <c r="BA48" s="84"/>
      <c r="BB48" s="84"/>
      <c r="BC48" s="85"/>
    </row>
    <row r="49" spans="2:55" ht="12.75" customHeight="1" x14ac:dyDescent="0.2">
      <c r="B49" s="159">
        <v>24294</v>
      </c>
      <c r="C49" s="76" t="s">
        <v>226</v>
      </c>
      <c r="D49" s="77" t="s">
        <v>235</v>
      </c>
      <c r="E49" s="77" t="s">
        <v>244</v>
      </c>
      <c r="F49" s="78">
        <f>1.36+0.97</f>
        <v>2.33</v>
      </c>
      <c r="G49" s="78" t="s">
        <v>75</v>
      </c>
      <c r="H49" s="78" t="s">
        <v>75</v>
      </c>
      <c r="I49" s="78">
        <v>0.11</v>
      </c>
      <c r="J49" s="78">
        <v>0.06</v>
      </c>
      <c r="K49" s="78">
        <v>0.96</v>
      </c>
      <c r="L49" s="78">
        <v>0.75</v>
      </c>
      <c r="M49" s="78">
        <v>0.75</v>
      </c>
      <c r="N49" s="78" t="s">
        <v>75</v>
      </c>
      <c r="O49" s="78" t="s">
        <v>75</v>
      </c>
      <c r="P49" s="78" t="s">
        <v>75</v>
      </c>
      <c r="Q49" s="78" t="s">
        <v>75</v>
      </c>
      <c r="R49" s="80">
        <f t="shared" si="1"/>
        <v>0.78125</v>
      </c>
      <c r="S49" s="80">
        <f t="shared" si="2"/>
        <v>0.78125</v>
      </c>
      <c r="T49" s="78" t="s">
        <v>75</v>
      </c>
      <c r="U49" s="78">
        <v>0.32</v>
      </c>
      <c r="V49" s="78" t="s">
        <v>75</v>
      </c>
      <c r="W49" s="78">
        <v>0.69</v>
      </c>
      <c r="X49" s="78">
        <v>0.11</v>
      </c>
      <c r="Y49" s="78">
        <f>W:W/X:X</f>
        <v>6.2727272727272725</v>
      </c>
      <c r="Z49" s="78">
        <v>0.42</v>
      </c>
      <c r="AA49" s="78">
        <v>0.61</v>
      </c>
      <c r="AB49" s="78">
        <f t="shared" si="33"/>
        <v>0.2618025751072961</v>
      </c>
      <c r="AC49" s="78">
        <v>1.38</v>
      </c>
      <c r="AD49" s="78">
        <f t="shared" si="34"/>
        <v>0.59227467811158796</v>
      </c>
      <c r="AE49" s="78">
        <v>0.12</v>
      </c>
      <c r="AF49" s="78">
        <f t="shared" si="40"/>
        <v>0.125</v>
      </c>
      <c r="AG49" s="78" t="s">
        <v>75</v>
      </c>
      <c r="AH49" s="78" t="s">
        <v>75</v>
      </c>
      <c r="AI49" s="78">
        <v>0.1</v>
      </c>
      <c r="AJ49" s="78">
        <v>0.06</v>
      </c>
      <c r="AK49" s="78">
        <f t="shared" si="31"/>
        <v>1.6666666666666667</v>
      </c>
      <c r="AL49" s="78">
        <f t="shared" si="37"/>
        <v>0.83333333333333337</v>
      </c>
      <c r="AM49" s="78" t="s">
        <v>75</v>
      </c>
      <c r="AN49" s="78">
        <f t="shared" si="44"/>
        <v>0.10416666666666667</v>
      </c>
      <c r="AO49" s="78">
        <f t="shared" si="26"/>
        <v>0.35714285714285715</v>
      </c>
      <c r="AP49" s="78">
        <v>0.28000000000000003</v>
      </c>
      <c r="AQ49" s="78">
        <v>0.12</v>
      </c>
      <c r="AR49" s="78">
        <f t="shared" si="12"/>
        <v>0.1201716738197425</v>
      </c>
      <c r="AS49" s="78">
        <f t="shared" si="6"/>
        <v>2.3333333333333335</v>
      </c>
      <c r="AT49" s="78">
        <f t="shared" si="45"/>
        <v>0.29166666666666669</v>
      </c>
      <c r="AU49" s="78" t="s">
        <v>75</v>
      </c>
      <c r="AV49" s="78" t="s">
        <v>75</v>
      </c>
      <c r="AW49" s="78" t="s">
        <v>75</v>
      </c>
      <c r="AX49" s="78" t="s">
        <v>75</v>
      </c>
      <c r="AY49" s="180"/>
      <c r="AZ49" s="87">
        <v>11</v>
      </c>
      <c r="BA49" s="87"/>
      <c r="BB49" s="87"/>
      <c r="BC49" s="88"/>
    </row>
    <row r="50" spans="2:55" ht="12.75" customHeight="1" x14ac:dyDescent="0.2">
      <c r="B50" s="153"/>
      <c r="C50" s="91"/>
      <c r="D50" s="91"/>
      <c r="E50" s="91"/>
      <c r="F50" s="92">
        <f>1.36+0.97</f>
        <v>2.33</v>
      </c>
      <c r="G50" s="92" t="s">
        <v>75</v>
      </c>
      <c r="H50" s="92" t="s">
        <v>75</v>
      </c>
      <c r="I50" s="92">
        <v>0.12</v>
      </c>
      <c r="J50" s="92">
        <v>0.05</v>
      </c>
      <c r="K50" s="92">
        <v>0.97</v>
      </c>
      <c r="L50" s="92">
        <v>0.67</v>
      </c>
      <c r="M50" s="92">
        <v>0.71</v>
      </c>
      <c r="N50" s="92">
        <v>0.15</v>
      </c>
      <c r="O50" s="92" t="s">
        <v>75</v>
      </c>
      <c r="P50" s="92" t="s">
        <v>75</v>
      </c>
      <c r="Q50" s="92" t="s">
        <v>75</v>
      </c>
      <c r="R50" s="94">
        <f t="shared" si="1"/>
        <v>0.73195876288659789</v>
      </c>
      <c r="S50" s="94">
        <f t="shared" si="2"/>
        <v>0.69072164948453618</v>
      </c>
      <c r="T50" s="92" t="s">
        <v>75</v>
      </c>
      <c r="U50" s="92">
        <v>0.32</v>
      </c>
      <c r="V50" s="92" t="s">
        <v>75</v>
      </c>
      <c r="W50" s="92">
        <v>0.7</v>
      </c>
      <c r="X50" s="92">
        <v>0.11</v>
      </c>
      <c r="Y50" s="92">
        <f>W:W/X:X</f>
        <v>6.3636363636363633</v>
      </c>
      <c r="Z50" s="92">
        <v>0.44</v>
      </c>
      <c r="AA50" s="92">
        <v>0.61</v>
      </c>
      <c r="AB50" s="92">
        <f t="shared" si="33"/>
        <v>0.2618025751072961</v>
      </c>
      <c r="AC50" s="92">
        <v>1.38</v>
      </c>
      <c r="AD50" s="92">
        <f t="shared" si="34"/>
        <v>0.59227467811158796</v>
      </c>
      <c r="AE50" s="92">
        <v>0.11</v>
      </c>
      <c r="AF50" s="92">
        <f t="shared" si="40"/>
        <v>0.1134020618556701</v>
      </c>
      <c r="AG50" s="92" t="s">
        <v>75</v>
      </c>
      <c r="AH50" s="92">
        <f>AE50/N50</f>
        <v>0.73333333333333339</v>
      </c>
      <c r="AI50" s="92">
        <v>0.1</v>
      </c>
      <c r="AJ50" s="92">
        <v>0.06</v>
      </c>
      <c r="AK50" s="92">
        <f t="shared" ref="AK50" si="55">AI50/AJ50</f>
        <v>1.6666666666666667</v>
      </c>
      <c r="AL50" s="92">
        <f t="shared" si="37"/>
        <v>0.90909090909090917</v>
      </c>
      <c r="AM50" s="92">
        <f t="shared" ref="AM50" si="56">AI50/N50</f>
        <v>0.66666666666666674</v>
      </c>
      <c r="AN50" s="92">
        <f t="shared" si="44"/>
        <v>0.10309278350515465</v>
      </c>
      <c r="AO50" s="92">
        <f t="shared" si="26"/>
        <v>0.34482758620689657</v>
      </c>
      <c r="AP50" s="92">
        <v>0.28999999999999998</v>
      </c>
      <c r="AQ50" s="92">
        <v>0.13</v>
      </c>
      <c r="AR50" s="92">
        <f t="shared" si="12"/>
        <v>0.12446351931330471</v>
      </c>
      <c r="AS50" s="92">
        <f t="shared" si="6"/>
        <v>2.2307692307692304</v>
      </c>
      <c r="AT50" s="92">
        <f t="shared" si="45"/>
        <v>0.29896907216494845</v>
      </c>
      <c r="AU50" s="92" t="s">
        <v>75</v>
      </c>
      <c r="AV50" s="92" t="s">
        <v>75</v>
      </c>
      <c r="AW50" s="92" t="s">
        <v>75</v>
      </c>
      <c r="AX50" s="92" t="s">
        <v>75</v>
      </c>
      <c r="AY50" s="208"/>
      <c r="AZ50" s="148">
        <v>12</v>
      </c>
      <c r="BA50" s="148"/>
      <c r="BB50" s="148"/>
      <c r="BC50" s="182"/>
    </row>
    <row r="51" spans="2:55" ht="12.75" customHeight="1" x14ac:dyDescent="0.2">
      <c r="E51" s="58" t="s">
        <v>25</v>
      </c>
      <c r="F51" s="8">
        <f>MIN(F3:F50)</f>
        <v>1.4</v>
      </c>
      <c r="G51" s="8">
        <f t="shared" ref="G51:AX51" si="57">MIN(G3:G50)</f>
        <v>3.3000000000000003</v>
      </c>
      <c r="H51" s="8">
        <f t="shared" si="57"/>
        <v>1.7276422764227644</v>
      </c>
      <c r="I51" s="8">
        <f t="shared" si="57"/>
        <v>0.09</v>
      </c>
      <c r="J51" s="8">
        <f t="shared" si="57"/>
        <v>0.04</v>
      </c>
      <c r="K51" s="8">
        <f t="shared" si="57"/>
        <v>0.68</v>
      </c>
      <c r="L51" s="8">
        <f t="shared" si="57"/>
        <v>0.49</v>
      </c>
      <c r="M51" s="8">
        <f t="shared" si="57"/>
        <v>0.49</v>
      </c>
      <c r="N51" s="8">
        <f t="shared" si="57"/>
        <v>0.11</v>
      </c>
      <c r="O51" s="8">
        <f t="shared" si="57"/>
        <v>1.1599999999999999</v>
      </c>
      <c r="P51" s="8">
        <f t="shared" si="57"/>
        <v>1.3099999999999998</v>
      </c>
      <c r="Q51" s="8">
        <f t="shared" si="57"/>
        <v>1.2272727272727271</v>
      </c>
      <c r="R51" s="8">
        <f t="shared" si="57"/>
        <v>0.68817204301075263</v>
      </c>
      <c r="S51" s="8">
        <f t="shared" si="57"/>
        <v>0.64077669902912626</v>
      </c>
      <c r="T51" s="8">
        <f t="shared" si="57"/>
        <v>7.0588235294117636</v>
      </c>
      <c r="U51" s="8">
        <f t="shared" si="57"/>
        <v>0.25</v>
      </c>
      <c r="V51" s="8">
        <f t="shared" si="57"/>
        <v>11.419354838709678</v>
      </c>
      <c r="W51" s="8">
        <f t="shared" si="57"/>
        <v>0.48</v>
      </c>
      <c r="X51" s="8">
        <f t="shared" si="57"/>
        <v>0.1</v>
      </c>
      <c r="Y51" s="8">
        <f t="shared" si="57"/>
        <v>4.4615384615384608</v>
      </c>
      <c r="Z51" s="8">
        <f t="shared" si="57"/>
        <v>0.32</v>
      </c>
      <c r="AA51" s="8">
        <f t="shared" si="57"/>
        <v>0.41</v>
      </c>
      <c r="AB51" s="8">
        <f t="shared" si="57"/>
        <v>0.26</v>
      </c>
      <c r="AC51" s="8">
        <f t="shared" si="57"/>
        <v>0.99</v>
      </c>
      <c r="AD51" s="8">
        <f t="shared" si="57"/>
        <v>0.59227467811158796</v>
      </c>
      <c r="AE51" s="8">
        <f t="shared" si="57"/>
        <v>0.09</v>
      </c>
      <c r="AF51" s="8">
        <f t="shared" si="57"/>
        <v>8.8235294117647051E-2</v>
      </c>
      <c r="AG51" s="8">
        <f t="shared" si="57"/>
        <v>4.3062200956937802E-2</v>
      </c>
      <c r="AH51" s="8">
        <f t="shared" si="57"/>
        <v>0.5625</v>
      </c>
      <c r="AI51" s="8">
        <f t="shared" si="57"/>
        <v>7.0000000000000007E-2</v>
      </c>
      <c r="AJ51" s="8">
        <f t="shared" si="57"/>
        <v>0.06</v>
      </c>
      <c r="AK51" s="8">
        <f t="shared" si="57"/>
        <v>0.16666666666666669</v>
      </c>
      <c r="AL51" s="8">
        <f t="shared" si="57"/>
        <v>0.63636363636363646</v>
      </c>
      <c r="AM51" s="8">
        <f t="shared" si="57"/>
        <v>0.46666666666666673</v>
      </c>
      <c r="AN51" s="8">
        <f t="shared" si="57"/>
        <v>8.6206896551724144E-2</v>
      </c>
      <c r="AO51" s="8">
        <f t="shared" si="57"/>
        <v>0.28571428571428575</v>
      </c>
      <c r="AP51" s="8">
        <f t="shared" si="57"/>
        <v>0.2</v>
      </c>
      <c r="AQ51" s="8">
        <f t="shared" si="57"/>
        <v>0.1</v>
      </c>
      <c r="AR51" s="8">
        <f t="shared" si="57"/>
        <v>0.11764705882352942</v>
      </c>
      <c r="AS51" s="8">
        <f t="shared" si="57"/>
        <v>1.5000000000000002</v>
      </c>
      <c r="AT51" s="8">
        <f t="shared" si="57"/>
        <v>0.25242718446601942</v>
      </c>
      <c r="AU51" s="8">
        <f t="shared" si="57"/>
        <v>7.0000000000000007E-2</v>
      </c>
      <c r="AV51" s="8">
        <f t="shared" si="57"/>
        <v>0.09</v>
      </c>
      <c r="AW51" s="8">
        <f t="shared" si="57"/>
        <v>0.63636363636363646</v>
      </c>
      <c r="AX51" s="8">
        <f t="shared" si="57"/>
        <v>2.1999999999999997</v>
      </c>
      <c r="AY51" s="174"/>
      <c r="AZ51" s="9">
        <f t="shared" ref="AZ51" si="58">MIN(AZ3:AZ50)</f>
        <v>9</v>
      </c>
      <c r="BA51" s="174"/>
      <c r="BB51" s="5"/>
      <c r="BC51" s="5"/>
    </row>
    <row r="52" spans="2:55" ht="12.75" customHeight="1" x14ac:dyDescent="0.2">
      <c r="E52" s="58" t="s">
        <v>26</v>
      </c>
      <c r="F52" s="8">
        <f>MAX(F3:F50)</f>
        <v>2.46</v>
      </c>
      <c r="G52" s="8">
        <f t="shared" ref="G52:AW52" si="59">MAX(G3:G50)</f>
        <v>4.8</v>
      </c>
      <c r="H52" s="8">
        <f t="shared" si="59"/>
        <v>2.5852272727272725</v>
      </c>
      <c r="I52" s="8">
        <f t="shared" si="59"/>
        <v>0.13</v>
      </c>
      <c r="J52" s="8">
        <f t="shared" si="59"/>
        <v>0.06</v>
      </c>
      <c r="K52" s="8">
        <f t="shared" si="59"/>
        <v>1.1599999999999999</v>
      </c>
      <c r="L52" s="8">
        <f t="shared" si="59"/>
        <v>0.8</v>
      </c>
      <c r="M52" s="8">
        <f t="shared" si="59"/>
        <v>0.85</v>
      </c>
      <c r="N52" s="8">
        <f t="shared" si="59"/>
        <v>0.17</v>
      </c>
      <c r="O52" s="8">
        <f t="shared" si="59"/>
        <v>1.94</v>
      </c>
      <c r="P52" s="8">
        <f t="shared" si="59"/>
        <v>2.09</v>
      </c>
      <c r="Q52" s="8">
        <f t="shared" si="59"/>
        <v>2.2028985507246377</v>
      </c>
      <c r="R52" s="8">
        <f t="shared" si="59"/>
        <v>0.85057471264367812</v>
      </c>
      <c r="S52" s="8">
        <f t="shared" si="59"/>
        <v>0.79310344827586199</v>
      </c>
      <c r="T52" s="8">
        <f t="shared" si="59"/>
        <v>12.933333333333334</v>
      </c>
      <c r="U52" s="8">
        <f t="shared" si="59"/>
        <v>0.35</v>
      </c>
      <c r="V52" s="8">
        <f t="shared" ref="V52" si="60">MAX(V3:V50)</f>
        <v>16.535714285714285</v>
      </c>
      <c r="W52" s="8">
        <f t="shared" si="59"/>
        <v>0.87</v>
      </c>
      <c r="X52" s="8">
        <f t="shared" si="59"/>
        <v>0.155</v>
      </c>
      <c r="Y52" s="8">
        <f t="shared" si="59"/>
        <v>8.1</v>
      </c>
      <c r="Z52" s="8">
        <f t="shared" si="59"/>
        <v>0.53</v>
      </c>
      <c r="AA52" s="8">
        <f t="shared" si="59"/>
        <v>0.8</v>
      </c>
      <c r="AB52" s="8">
        <f t="shared" si="59"/>
        <v>0.38068181818181818</v>
      </c>
      <c r="AC52" s="8">
        <f t="shared" si="59"/>
        <v>1.69</v>
      </c>
      <c r="AD52" s="8">
        <f t="shared" si="59"/>
        <v>0.82386363636363635</v>
      </c>
      <c r="AE52" s="8">
        <f t="shared" si="59"/>
        <v>0.12</v>
      </c>
      <c r="AF52" s="8">
        <f t="shared" si="59"/>
        <v>0.13793103448275862</v>
      </c>
      <c r="AG52" s="8">
        <f t="shared" si="59"/>
        <v>8.8888888888888892E-2</v>
      </c>
      <c r="AH52" s="8">
        <f t="shared" si="59"/>
        <v>0.84615384615384615</v>
      </c>
      <c r="AI52" s="8">
        <f t="shared" si="59"/>
        <v>0.1</v>
      </c>
      <c r="AJ52" s="8">
        <f t="shared" si="59"/>
        <v>0.6</v>
      </c>
      <c r="AK52" s="8">
        <f t="shared" si="59"/>
        <v>1.6666666666666667</v>
      </c>
      <c r="AL52" s="8">
        <f t="shared" si="59"/>
        <v>1.1111111111111112</v>
      </c>
      <c r="AM52" s="8">
        <f t="shared" si="59"/>
        <v>0.72727272727272729</v>
      </c>
      <c r="AN52" s="8">
        <f t="shared" si="59"/>
        <v>0.11764705882352941</v>
      </c>
      <c r="AO52" s="8">
        <f t="shared" si="59"/>
        <v>0.41666666666666669</v>
      </c>
      <c r="AP52" s="8">
        <f t="shared" si="59"/>
        <v>0.39</v>
      </c>
      <c r="AQ52" s="8">
        <f t="shared" si="59"/>
        <v>0.2</v>
      </c>
      <c r="AR52" s="8">
        <f t="shared" si="59"/>
        <v>0.18396226415094338</v>
      </c>
      <c r="AS52" s="8">
        <f t="shared" si="59"/>
        <v>2.8999999999999995</v>
      </c>
      <c r="AT52" s="8">
        <f t="shared" si="59"/>
        <v>0.37864077669902912</v>
      </c>
      <c r="AU52" s="8">
        <f t="shared" si="59"/>
        <v>0.13</v>
      </c>
      <c r="AV52" s="8">
        <f t="shared" si="59"/>
        <v>0.15</v>
      </c>
      <c r="AW52" s="8">
        <f t="shared" si="59"/>
        <v>1.1111111111111112</v>
      </c>
      <c r="AX52" s="8">
        <f>MAX(AX3:AX50)</f>
        <v>3.9</v>
      </c>
      <c r="AY52" s="174"/>
      <c r="AZ52" s="9">
        <f t="shared" ref="AZ52" si="61">MAX(AZ3:AZ50)</f>
        <v>15</v>
      </c>
      <c r="BA52" s="174"/>
      <c r="BB52" s="5"/>
      <c r="BC52" s="5"/>
    </row>
    <row r="53" spans="2:55" ht="12.75" customHeight="1" x14ac:dyDescent="0.2"/>
    <row r="54" spans="2:55" ht="12.75" customHeight="1" x14ac:dyDescent="0.2"/>
    <row r="55" spans="2:55" ht="12.75" customHeight="1" x14ac:dyDescent="0.2"/>
    <row r="56" spans="2:55" ht="12.75" customHeight="1" x14ac:dyDescent="0.2"/>
    <row r="57" spans="2:55" ht="12.7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Title</vt:lpstr>
      <vt:lpstr>D. acerifoliae</vt:lpstr>
      <vt:lpstr>D. carolinensis</vt:lpstr>
      <vt:lpstr>D. choanotricha</vt:lpstr>
      <vt:lpstr>D. granovskyi</vt:lpstr>
      <vt:lpstr>D. idahoensis</vt:lpstr>
      <vt:lpstr>D. kanzensis</vt:lpstr>
      <vt:lpstr>D. keshenae</vt:lpstr>
      <vt:lpstr>D. knowltoni </vt:lpstr>
      <vt:lpstr>D. monelli </vt:lpstr>
      <vt:lpstr>D. nigricans</vt:lpstr>
      <vt:lpstr>D. parva</vt:lpstr>
      <vt:lpstr>D. robinsoni</vt:lpstr>
      <vt:lpstr>D. sabrinae </vt:lpstr>
      <vt:lpstr>D. saccharini </vt:lpstr>
      <vt:lpstr>D. simpsoni</vt:lpstr>
      <vt:lpstr>D. spicata</vt:lpstr>
      <vt:lpstr>D. tissoti</vt:lpstr>
      <vt:lpstr>D. utahensis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Malik</dc:creator>
  <cp:lastModifiedBy>MDPI</cp:lastModifiedBy>
  <dcterms:created xsi:type="dcterms:W3CDTF">2023-07-06T07:41:14Z</dcterms:created>
  <dcterms:modified xsi:type="dcterms:W3CDTF">2024-07-21T09:04:49Z</dcterms:modified>
</cp:coreProperties>
</file>