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6271BBAC-333E-4CDE-BDB6-33D445D6AD17}" xr6:coauthVersionLast="47" xr6:coauthVersionMax="47" xr10:uidLastSave="{00000000-0000-0000-0000-000000000000}"/>
  <bookViews>
    <workbookView xWindow="-120" yWindow="-120" windowWidth="29040" windowHeight="15840" xr2:uid="{06D8560F-6612-4FFC-9D6A-B31BC3712608}"/>
  </bookViews>
  <sheets>
    <sheet name="Title" sheetId="1" r:id="rId1"/>
    <sheet name="Data to PCA" sheetId="2" r:id="rId2"/>
    <sheet name="Correlation" sheetId="5" r:id="rId3"/>
    <sheet name="PCA results" sheetId="4" r:id="rId4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2" l="1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I44" i="2"/>
  <c r="BJ44" i="2"/>
  <c r="BK44" i="2"/>
  <c r="BL44" i="2"/>
  <c r="BM44" i="2"/>
  <c r="BO44" i="2"/>
  <c r="BP44" i="2"/>
  <c r="BQ44" i="2"/>
  <c r="BR44" i="2"/>
  <c r="BS44" i="2"/>
  <c r="BT44" i="2"/>
  <c r="BU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K44" i="2"/>
  <c r="CL44" i="2"/>
  <c r="CN44" i="2"/>
  <c r="CO44" i="2"/>
  <c r="CP44" i="2"/>
  <c r="CQ44" i="2"/>
  <c r="CR44" i="2"/>
  <c r="CS44" i="2"/>
  <c r="CT44" i="2"/>
  <c r="CU44" i="2"/>
  <c r="CV44" i="2"/>
  <c r="CW44" i="2"/>
  <c r="CX44" i="2"/>
  <c r="CZ44" i="2"/>
  <c r="DA44" i="2"/>
  <c r="DB44" i="2"/>
  <c r="DC44" i="2"/>
  <c r="DD44" i="2"/>
  <c r="DE44" i="2"/>
  <c r="DG44" i="2"/>
  <c r="DH44" i="2"/>
  <c r="DI44" i="2"/>
  <c r="DJ44" i="2"/>
  <c r="DK44" i="2"/>
  <c r="DL44" i="2"/>
  <c r="DN44" i="2"/>
  <c r="DO44" i="2"/>
  <c r="DP44" i="2"/>
  <c r="DQ44" i="2"/>
  <c r="DR44" i="2"/>
  <c r="DT44" i="2"/>
  <c r="DU44" i="2"/>
  <c r="DV44" i="2"/>
  <c r="DW44" i="2"/>
  <c r="DX44" i="2"/>
  <c r="DY44" i="2"/>
  <c r="DZ44" i="2"/>
  <c r="EA44" i="2"/>
  <c r="EB44" i="2"/>
  <c r="ED44" i="2"/>
  <c r="EE44" i="2"/>
  <c r="EF44" i="2"/>
  <c r="EG44" i="2"/>
  <c r="EH44" i="2"/>
  <c r="EI44" i="2"/>
  <c r="EJ44" i="2"/>
  <c r="EK44" i="2"/>
  <c r="EM44" i="2"/>
  <c r="EN44" i="2"/>
  <c r="EO44" i="2"/>
  <c r="EQ44" i="2"/>
  <c r="ES44" i="2"/>
  <c r="ET44" i="2"/>
  <c r="EU44" i="2"/>
  <c r="EV44" i="2"/>
  <c r="EW44" i="2"/>
  <c r="EX44" i="2"/>
  <c r="EY44" i="2"/>
  <c r="EZ44" i="2"/>
  <c r="FA44" i="2"/>
  <c r="FB44" i="2"/>
  <c r="FC44" i="2"/>
  <c r="FE44" i="2"/>
  <c r="FF44" i="2"/>
  <c r="FH44" i="2"/>
  <c r="FJ44" i="2"/>
  <c r="FL44" i="2"/>
  <c r="FM44" i="2"/>
  <c r="FN44" i="2"/>
  <c r="FP44" i="2"/>
  <c r="FQ44" i="2"/>
  <c r="FS44" i="2"/>
  <c r="FT44" i="2"/>
  <c r="FU44" i="2"/>
  <c r="FV44" i="2"/>
  <c r="FW44" i="2"/>
  <c r="FX44" i="2"/>
  <c r="FY44" i="2"/>
  <c r="FZ44" i="2"/>
  <c r="GA44" i="2"/>
  <c r="GB44" i="2"/>
  <c r="GC44" i="2"/>
  <c r="GD44" i="2"/>
  <c r="GE44" i="2"/>
  <c r="GF44" i="2"/>
  <c r="GG44" i="2"/>
  <c r="GH44" i="2"/>
  <c r="GI44" i="2"/>
  <c r="GJ44" i="2"/>
  <c r="GL44" i="2"/>
  <c r="GM44" i="2"/>
  <c r="GN44" i="2"/>
  <c r="GO44" i="2"/>
  <c r="GS44" i="2"/>
  <c r="GT44" i="2"/>
  <c r="GU44" i="2"/>
  <c r="GV44" i="2"/>
  <c r="GW44" i="2"/>
  <c r="GX44" i="2"/>
  <c r="GY44" i="2"/>
  <c r="GZ44" i="2"/>
  <c r="HA44" i="2"/>
  <c r="HB44" i="2"/>
  <c r="HC44" i="2"/>
  <c r="HD44" i="2"/>
  <c r="HF44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P43" i="2"/>
  <c r="Q43" i="2"/>
  <c r="R43" i="2"/>
  <c r="S43" i="2"/>
  <c r="T43" i="2"/>
  <c r="U43" i="2"/>
  <c r="V43" i="2"/>
  <c r="W43" i="2"/>
  <c r="X43" i="2"/>
  <c r="Y43" i="2"/>
  <c r="Z43" i="2"/>
  <c r="AB43" i="2"/>
  <c r="AG43" i="2"/>
  <c r="AH43" i="2"/>
  <c r="AI43" i="2"/>
  <c r="AJ43" i="2"/>
  <c r="AK43" i="2"/>
  <c r="AL43" i="2"/>
  <c r="AN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I43" i="2"/>
  <c r="BJ43" i="2"/>
  <c r="BK43" i="2"/>
  <c r="BL43" i="2"/>
  <c r="BM43" i="2"/>
  <c r="BO43" i="2"/>
  <c r="BP43" i="2"/>
  <c r="BQ43" i="2"/>
  <c r="BR43" i="2"/>
  <c r="BS43" i="2"/>
  <c r="BT43" i="2"/>
  <c r="BU43" i="2"/>
  <c r="BW43" i="2"/>
  <c r="BX43" i="2"/>
  <c r="BY43" i="2"/>
  <c r="BZ43" i="2"/>
  <c r="CB43" i="2"/>
  <c r="CC43" i="2"/>
  <c r="CD43" i="2"/>
  <c r="CE43" i="2"/>
  <c r="CF43" i="2"/>
  <c r="CG43" i="2"/>
  <c r="CH43" i="2"/>
  <c r="CI43" i="2"/>
  <c r="CK43" i="2"/>
  <c r="CL43" i="2"/>
  <c r="CN43" i="2"/>
  <c r="CO43" i="2"/>
  <c r="CP43" i="2"/>
  <c r="CQ43" i="2"/>
  <c r="CR43" i="2"/>
  <c r="CS43" i="2"/>
  <c r="CT43" i="2"/>
  <c r="CU43" i="2"/>
  <c r="CV43" i="2"/>
  <c r="CW43" i="2"/>
  <c r="CX43" i="2"/>
  <c r="DA43" i="2"/>
  <c r="DD43" i="2"/>
  <c r="DE43" i="2"/>
  <c r="DG43" i="2"/>
  <c r="DH43" i="2"/>
  <c r="DI43" i="2"/>
  <c r="DJ43" i="2"/>
  <c r="DK43" i="2"/>
  <c r="DL43" i="2"/>
  <c r="DM43" i="2"/>
  <c r="DN43" i="2"/>
  <c r="DP43" i="2"/>
  <c r="DQ43" i="2"/>
  <c r="DR43" i="2"/>
  <c r="DT43" i="2"/>
  <c r="DU43" i="2"/>
  <c r="DV43" i="2"/>
  <c r="DW43" i="2"/>
  <c r="DX43" i="2"/>
  <c r="DY43" i="2"/>
  <c r="DZ43" i="2"/>
  <c r="EA43" i="2"/>
  <c r="EB43" i="2"/>
  <c r="ED43" i="2"/>
  <c r="EE43" i="2"/>
  <c r="EF43" i="2"/>
  <c r="EG43" i="2"/>
  <c r="EH43" i="2"/>
  <c r="EI43" i="2"/>
  <c r="EJ43" i="2"/>
  <c r="EK43" i="2"/>
  <c r="EM43" i="2"/>
  <c r="EN43" i="2"/>
  <c r="EO43" i="2"/>
  <c r="EQ43" i="2"/>
  <c r="ET43" i="2"/>
  <c r="EU43" i="2"/>
  <c r="EV43" i="2"/>
  <c r="EW43" i="2"/>
  <c r="EX43" i="2"/>
  <c r="EY43" i="2"/>
  <c r="EZ43" i="2"/>
  <c r="FA43" i="2"/>
  <c r="FB43" i="2"/>
  <c r="FC43" i="2"/>
  <c r="FE43" i="2"/>
  <c r="FF43" i="2"/>
  <c r="FH43" i="2"/>
  <c r="FJ43" i="2"/>
  <c r="FL43" i="2"/>
  <c r="FM43" i="2"/>
  <c r="FN43" i="2"/>
  <c r="FP43" i="2"/>
  <c r="FQ43" i="2"/>
  <c r="FS43" i="2"/>
  <c r="FT43" i="2"/>
  <c r="FU43" i="2"/>
  <c r="FV43" i="2"/>
  <c r="FW43" i="2"/>
  <c r="FX43" i="2"/>
  <c r="FY43" i="2"/>
  <c r="FZ43" i="2"/>
  <c r="GA43" i="2"/>
  <c r="GB43" i="2"/>
  <c r="GC43" i="2"/>
  <c r="GD43" i="2"/>
  <c r="GE43" i="2"/>
  <c r="GF43" i="2"/>
  <c r="GG43" i="2"/>
  <c r="GI43" i="2"/>
  <c r="GJ43" i="2"/>
  <c r="GL43" i="2"/>
  <c r="GM43" i="2"/>
  <c r="GN43" i="2"/>
  <c r="GO43" i="2"/>
  <c r="GS43" i="2"/>
  <c r="GU43" i="2"/>
  <c r="GV43" i="2"/>
  <c r="GW43" i="2"/>
  <c r="GY43" i="2"/>
  <c r="GZ43" i="2"/>
  <c r="HA43" i="2"/>
  <c r="HB43" i="2"/>
  <c r="HC43" i="2"/>
  <c r="HD43" i="2"/>
  <c r="HF43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7" i="2"/>
  <c r="BH40" i="2"/>
  <c r="BI40" i="2"/>
  <c r="BJ40" i="2"/>
  <c r="BK40" i="2"/>
  <c r="BL40" i="2"/>
  <c r="BM40" i="2"/>
  <c r="BN40" i="2"/>
  <c r="BO40" i="2"/>
  <c r="BP40" i="2"/>
  <c r="BQ40" i="2"/>
  <c r="BR7" i="2"/>
  <c r="BR40" i="2"/>
  <c r="BS7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7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N40" i="2"/>
  <c r="DO40" i="2"/>
  <c r="DP40" i="2"/>
  <c r="DQ7" i="2"/>
  <c r="DQ40" i="2"/>
  <c r="DR40" i="2"/>
  <c r="DS40" i="2"/>
  <c r="DT40" i="2"/>
  <c r="DU40" i="2"/>
  <c r="DV40" i="2"/>
  <c r="DW40" i="2"/>
  <c r="DX40" i="2"/>
  <c r="DY40" i="2"/>
  <c r="DZ40" i="2"/>
  <c r="EA40" i="2"/>
  <c r="EB40" i="2"/>
  <c r="EC40" i="2"/>
  <c r="ED40" i="2"/>
  <c r="EE40" i="2"/>
  <c r="EF40" i="2"/>
  <c r="EG40" i="2"/>
  <c r="EH40" i="2"/>
  <c r="EI40" i="2"/>
  <c r="EJ40" i="2"/>
  <c r="EK40" i="2"/>
  <c r="EL40" i="2"/>
  <c r="EM40" i="2"/>
  <c r="EN40" i="2"/>
  <c r="EO40" i="2"/>
  <c r="EP40" i="2"/>
  <c r="EQ40" i="2"/>
  <c r="ER40" i="2"/>
  <c r="ES40" i="2"/>
  <c r="ET40" i="2"/>
  <c r="EU40" i="2"/>
  <c r="EV40" i="2"/>
  <c r="EW40" i="2"/>
  <c r="EX40" i="2"/>
  <c r="EY40" i="2"/>
  <c r="EZ40" i="2"/>
  <c r="FA40" i="2"/>
  <c r="FB7" i="2"/>
  <c r="FB40" i="2"/>
  <c r="FC40" i="2"/>
  <c r="FD40" i="2"/>
  <c r="FE40" i="2"/>
  <c r="FF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FU40" i="2"/>
  <c r="FV40" i="2"/>
  <c r="FW40" i="2"/>
  <c r="FX40" i="2"/>
  <c r="FY40" i="2"/>
  <c r="FZ40" i="2"/>
  <c r="GA40" i="2"/>
  <c r="GB40" i="2"/>
  <c r="GC40" i="2"/>
  <c r="GD40" i="2"/>
  <c r="GE40" i="2"/>
  <c r="GF40" i="2"/>
  <c r="GG40" i="2"/>
  <c r="GH40" i="2"/>
  <c r="GI40" i="2"/>
  <c r="GJ40" i="2"/>
  <c r="GK40" i="2"/>
  <c r="GL40" i="2"/>
  <c r="GM40" i="2"/>
  <c r="GN40" i="2"/>
  <c r="GO40" i="2"/>
  <c r="GP40" i="2"/>
  <c r="GQ40" i="2"/>
  <c r="GR40" i="2"/>
  <c r="GS40" i="2"/>
  <c r="GT40" i="2"/>
  <c r="GU40" i="2"/>
  <c r="GV40" i="2"/>
  <c r="GW40" i="2"/>
  <c r="GX40" i="2"/>
  <c r="GY40" i="2"/>
  <c r="GZ40" i="2"/>
  <c r="HA40" i="2"/>
  <c r="HB40" i="2"/>
  <c r="HC40" i="2"/>
  <c r="HD40" i="2"/>
  <c r="HE40" i="2"/>
  <c r="HF40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I39" i="2"/>
  <c r="BJ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CZ39" i="2"/>
  <c r="DA39" i="2"/>
  <c r="DB39" i="2"/>
  <c r="DC39" i="2"/>
  <c r="DD39" i="2"/>
  <c r="DE39" i="2"/>
  <c r="DF39" i="2"/>
  <c r="DG39" i="2"/>
  <c r="DH39" i="2"/>
  <c r="DI39" i="2"/>
  <c r="DJ39" i="2"/>
  <c r="DK39" i="2"/>
  <c r="DL39" i="2"/>
  <c r="DN39" i="2"/>
  <c r="DO39" i="2"/>
  <c r="DP39" i="2"/>
  <c r="DQ39" i="2"/>
  <c r="DR39" i="2"/>
  <c r="DS39" i="2"/>
  <c r="DT39" i="2"/>
  <c r="DU39" i="2"/>
  <c r="DV39" i="2"/>
  <c r="DW39" i="2"/>
  <c r="DX39" i="2"/>
  <c r="DY39" i="2"/>
  <c r="DZ39" i="2"/>
  <c r="EA39" i="2"/>
  <c r="EB39" i="2"/>
  <c r="EC39" i="2"/>
  <c r="ED39" i="2"/>
  <c r="EE39" i="2"/>
  <c r="EF39" i="2"/>
  <c r="EG39" i="2"/>
  <c r="EH39" i="2"/>
  <c r="EI39" i="2"/>
  <c r="EJ39" i="2"/>
  <c r="EK39" i="2"/>
  <c r="EL39" i="2"/>
  <c r="EM39" i="2"/>
  <c r="EN39" i="2"/>
  <c r="EO39" i="2"/>
  <c r="EP39" i="2"/>
  <c r="EQ39" i="2"/>
  <c r="ER39" i="2"/>
  <c r="ES39" i="2"/>
  <c r="ET39" i="2"/>
  <c r="EU39" i="2"/>
  <c r="EV39" i="2"/>
  <c r="EW39" i="2"/>
  <c r="EX39" i="2"/>
  <c r="EY39" i="2"/>
  <c r="EZ39" i="2"/>
  <c r="FA39" i="2"/>
  <c r="FB39" i="2"/>
  <c r="FC39" i="2"/>
  <c r="FD39" i="2"/>
  <c r="FE39" i="2"/>
  <c r="FF39" i="2"/>
  <c r="FG39" i="2"/>
  <c r="FH39" i="2"/>
  <c r="FI39" i="2"/>
  <c r="FJ39" i="2"/>
  <c r="FK39" i="2"/>
  <c r="FL39" i="2"/>
  <c r="FM39" i="2"/>
  <c r="FN39" i="2"/>
  <c r="FO39" i="2"/>
  <c r="FP39" i="2"/>
  <c r="FQ39" i="2"/>
  <c r="FR39" i="2"/>
  <c r="FS39" i="2"/>
  <c r="FT39" i="2"/>
  <c r="FU39" i="2"/>
  <c r="FV39" i="2"/>
  <c r="FW39" i="2"/>
  <c r="FX39" i="2"/>
  <c r="FY39" i="2"/>
  <c r="FZ39" i="2"/>
  <c r="GA39" i="2"/>
  <c r="GB39" i="2"/>
  <c r="GC39" i="2"/>
  <c r="GD39" i="2"/>
  <c r="GE39" i="2"/>
  <c r="GF39" i="2"/>
  <c r="GG39" i="2"/>
  <c r="GH39" i="2"/>
  <c r="GI39" i="2"/>
  <c r="GJ39" i="2"/>
  <c r="GK39" i="2"/>
  <c r="GL39" i="2"/>
  <c r="GM39" i="2"/>
  <c r="GN39" i="2"/>
  <c r="GO39" i="2"/>
  <c r="GP39" i="2"/>
  <c r="GQ39" i="2"/>
  <c r="GR39" i="2"/>
  <c r="GS39" i="2"/>
  <c r="GT39" i="2"/>
  <c r="GU39" i="2"/>
  <c r="GV39" i="2"/>
  <c r="GW39" i="2"/>
  <c r="GX39" i="2"/>
  <c r="GY39" i="2"/>
  <c r="GZ39" i="2"/>
  <c r="HA39" i="2"/>
  <c r="HB39" i="2"/>
  <c r="HC39" i="2"/>
  <c r="HD39" i="2"/>
  <c r="HE39" i="2"/>
  <c r="HF39" i="2"/>
  <c r="B2" i="2"/>
  <c r="B38" i="2"/>
  <c r="C2" i="2"/>
  <c r="C38" i="2"/>
  <c r="D2" i="2"/>
  <c r="D38" i="2"/>
  <c r="E2" i="2"/>
  <c r="E38" i="2"/>
  <c r="F2" i="2"/>
  <c r="F38" i="2"/>
  <c r="G2" i="2"/>
  <c r="G38" i="2"/>
  <c r="H2" i="2"/>
  <c r="H38" i="2"/>
  <c r="I2" i="2"/>
  <c r="I38" i="2"/>
  <c r="J2" i="2"/>
  <c r="J38" i="2"/>
  <c r="K2" i="2"/>
  <c r="K38" i="2"/>
  <c r="L2" i="2"/>
  <c r="L38" i="2"/>
  <c r="M2" i="2"/>
  <c r="M38" i="2"/>
  <c r="N2" i="2"/>
  <c r="N38" i="2"/>
  <c r="O2" i="2"/>
  <c r="O38" i="2"/>
  <c r="P2" i="2"/>
  <c r="P38" i="2"/>
  <c r="Q38" i="2"/>
  <c r="R2" i="2"/>
  <c r="R38" i="2"/>
  <c r="S2" i="2"/>
  <c r="S38" i="2"/>
  <c r="T2" i="2"/>
  <c r="T38" i="2"/>
  <c r="U2" i="2"/>
  <c r="U38" i="2"/>
  <c r="V2" i="2"/>
  <c r="V38" i="2"/>
  <c r="W2" i="2"/>
  <c r="W38" i="2"/>
  <c r="X2" i="2"/>
  <c r="X38" i="2"/>
  <c r="Y2" i="2"/>
  <c r="Y38" i="2"/>
  <c r="Z2" i="2"/>
  <c r="Z38" i="2"/>
  <c r="AA2" i="2"/>
  <c r="AA38" i="2"/>
  <c r="AB2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2" i="2"/>
  <c r="AO38" i="2"/>
  <c r="AP2" i="2"/>
  <c r="AP38" i="2"/>
  <c r="AQ2" i="2"/>
  <c r="AQ38" i="2"/>
  <c r="AR2" i="2"/>
  <c r="AR38" i="2"/>
  <c r="AS2" i="2"/>
  <c r="AS38" i="2"/>
  <c r="AT2" i="2"/>
  <c r="AT38" i="2"/>
  <c r="AU2" i="2"/>
  <c r="AU38" i="2"/>
  <c r="AV2" i="2"/>
  <c r="AV38" i="2"/>
  <c r="AW2" i="2"/>
  <c r="AW38" i="2"/>
  <c r="AX38" i="2"/>
  <c r="AY38" i="2"/>
  <c r="AZ38" i="2"/>
  <c r="BA2" i="2"/>
  <c r="BA38" i="2"/>
  <c r="BB2" i="2"/>
  <c r="BB38" i="2"/>
  <c r="BC2" i="2"/>
  <c r="BC38" i="2"/>
  <c r="BD2" i="2"/>
  <c r="BD38" i="2"/>
  <c r="BE2" i="2"/>
  <c r="BE38" i="2"/>
  <c r="BF2" i="2"/>
  <c r="BF38" i="2"/>
  <c r="BG2" i="2"/>
  <c r="BG38" i="2"/>
  <c r="BH2" i="2"/>
  <c r="BH38" i="2"/>
  <c r="BI2" i="2"/>
  <c r="BI38" i="2"/>
  <c r="BJ2" i="2"/>
  <c r="BJ38" i="2"/>
  <c r="BK2" i="2"/>
  <c r="BK38" i="2"/>
  <c r="BL2" i="2"/>
  <c r="BL38" i="2"/>
  <c r="BM2" i="2"/>
  <c r="BM38" i="2"/>
  <c r="BN38" i="2"/>
  <c r="BO38" i="2"/>
  <c r="BP38" i="2"/>
  <c r="BQ38" i="2"/>
  <c r="BR38" i="2"/>
  <c r="BS2" i="2"/>
  <c r="BS38" i="2"/>
  <c r="BT2" i="2"/>
  <c r="BT38" i="2"/>
  <c r="BU2" i="2"/>
  <c r="BU38" i="2"/>
  <c r="BV38" i="2"/>
  <c r="BW2" i="2"/>
  <c r="BW38" i="2"/>
  <c r="BX2" i="2"/>
  <c r="BX38" i="2"/>
  <c r="BY2" i="2"/>
  <c r="BY38" i="2"/>
  <c r="BZ38" i="2"/>
  <c r="CA38" i="2"/>
  <c r="CB38" i="2"/>
  <c r="CC38" i="2"/>
  <c r="CD38" i="2"/>
  <c r="CE38" i="2"/>
  <c r="CF2" i="2"/>
  <c r="CF38" i="2"/>
  <c r="CG38" i="2"/>
  <c r="CH38" i="2"/>
  <c r="CI38" i="2"/>
  <c r="CJ38" i="2"/>
  <c r="CK38" i="2"/>
  <c r="CL38" i="2"/>
  <c r="CM2" i="2"/>
  <c r="CM38" i="2"/>
  <c r="CN2" i="2"/>
  <c r="CN38" i="2"/>
  <c r="CO2" i="2"/>
  <c r="CO38" i="2"/>
  <c r="CP2" i="2"/>
  <c r="CP38" i="2"/>
  <c r="CQ2" i="2"/>
  <c r="CQ38" i="2"/>
  <c r="CR2" i="2"/>
  <c r="CR38" i="2"/>
  <c r="CS2" i="2"/>
  <c r="CS38" i="2"/>
  <c r="CT2" i="2"/>
  <c r="CT38" i="2"/>
  <c r="CU2" i="2"/>
  <c r="CU38" i="2"/>
  <c r="CV2" i="2"/>
  <c r="CV38" i="2"/>
  <c r="CW2" i="2"/>
  <c r="CW38" i="2"/>
  <c r="CX38" i="2"/>
  <c r="CY2" i="2"/>
  <c r="CY38" i="2"/>
  <c r="CZ2" i="2"/>
  <c r="CZ38" i="2"/>
  <c r="DA38" i="2"/>
  <c r="DB38" i="2"/>
  <c r="DC2" i="2"/>
  <c r="DC38" i="2"/>
  <c r="DD38" i="2"/>
  <c r="DE38" i="2"/>
  <c r="DF38" i="2"/>
  <c r="DG38" i="2"/>
  <c r="DH38" i="2"/>
  <c r="DI38" i="2"/>
  <c r="DJ38" i="2"/>
  <c r="DK38" i="2"/>
  <c r="DL38" i="2"/>
  <c r="DN38" i="2"/>
  <c r="DO38" i="2"/>
  <c r="DP38" i="2"/>
  <c r="DQ38" i="2"/>
  <c r="DR38" i="2"/>
  <c r="DS38" i="2"/>
  <c r="DT38" i="2"/>
  <c r="DU38" i="2"/>
  <c r="DV38" i="2"/>
  <c r="DW38" i="2"/>
  <c r="DX38" i="2"/>
  <c r="DY38" i="2"/>
  <c r="DZ38" i="2"/>
  <c r="EA38" i="2"/>
  <c r="EB38" i="2"/>
  <c r="EC38" i="2"/>
  <c r="ED38" i="2"/>
  <c r="EE38" i="2"/>
  <c r="EF38" i="2"/>
  <c r="EG38" i="2"/>
  <c r="EH38" i="2"/>
  <c r="EI38" i="2"/>
  <c r="EJ38" i="2"/>
  <c r="EK38" i="2"/>
  <c r="EL38" i="2"/>
  <c r="EM38" i="2"/>
  <c r="EN38" i="2"/>
  <c r="EO38" i="2"/>
  <c r="EP38" i="2"/>
  <c r="EQ38" i="2"/>
  <c r="ER38" i="2"/>
  <c r="ES2" i="2"/>
  <c r="ES38" i="2"/>
  <c r="ET2" i="2"/>
  <c r="ET38" i="2"/>
  <c r="EU2" i="2"/>
  <c r="EU38" i="2"/>
  <c r="EV2" i="2"/>
  <c r="EV38" i="2"/>
  <c r="EW2" i="2"/>
  <c r="EW38" i="2"/>
  <c r="EX2" i="2"/>
  <c r="EX38" i="2"/>
  <c r="EY38" i="2"/>
  <c r="EZ2" i="2"/>
  <c r="EZ38" i="2"/>
  <c r="FA2" i="2"/>
  <c r="FA38" i="2"/>
  <c r="FB2" i="2"/>
  <c r="FB38" i="2"/>
  <c r="FC38" i="2"/>
  <c r="FD38" i="2"/>
  <c r="FE38" i="2"/>
  <c r="FF38" i="2"/>
  <c r="FG38" i="2"/>
  <c r="FH38" i="2"/>
  <c r="FI2" i="2"/>
  <c r="FI38" i="2"/>
  <c r="FJ38" i="2"/>
  <c r="FK38" i="2"/>
  <c r="FL2" i="2"/>
  <c r="FL38" i="2"/>
  <c r="FM2" i="2"/>
  <c r="FM38" i="2"/>
  <c r="FN2" i="2"/>
  <c r="FN38" i="2"/>
  <c r="FO38" i="2"/>
  <c r="FP38" i="2"/>
  <c r="FQ38" i="2"/>
  <c r="FR2" i="2"/>
  <c r="FR38" i="2"/>
  <c r="FS2" i="2"/>
  <c r="FS38" i="2"/>
  <c r="FT2" i="2"/>
  <c r="FT38" i="2"/>
  <c r="FU2" i="2"/>
  <c r="FU38" i="2"/>
  <c r="FV2" i="2"/>
  <c r="FV38" i="2"/>
  <c r="FW2" i="2"/>
  <c r="FW38" i="2"/>
  <c r="FX2" i="2"/>
  <c r="FX38" i="2"/>
  <c r="FY2" i="2"/>
  <c r="FY38" i="2"/>
  <c r="FZ2" i="2"/>
  <c r="FZ38" i="2"/>
  <c r="GA2" i="2"/>
  <c r="GA38" i="2"/>
  <c r="GB2" i="2"/>
  <c r="GB38" i="2"/>
  <c r="GC2" i="2"/>
  <c r="GC38" i="2"/>
  <c r="GD38" i="2"/>
  <c r="GE2" i="2"/>
  <c r="GE38" i="2"/>
  <c r="GF38" i="2"/>
  <c r="GG38" i="2"/>
  <c r="GH38" i="2"/>
  <c r="GI38" i="2"/>
  <c r="GJ38" i="2"/>
  <c r="GK38" i="2"/>
  <c r="GL38" i="2"/>
  <c r="GM38" i="2"/>
  <c r="GN38" i="2"/>
  <c r="GO38" i="2"/>
  <c r="GP38" i="2"/>
  <c r="GQ38" i="2"/>
  <c r="GR38" i="2"/>
  <c r="GS38" i="2"/>
  <c r="GT2" i="2"/>
  <c r="GT38" i="2"/>
  <c r="GU2" i="2"/>
  <c r="GU38" i="2"/>
  <c r="GV2" i="2"/>
  <c r="GV38" i="2"/>
  <c r="GW2" i="2"/>
  <c r="GW38" i="2"/>
  <c r="GX2" i="2"/>
  <c r="GX38" i="2"/>
  <c r="GY2" i="2"/>
  <c r="GY38" i="2"/>
  <c r="GZ2" i="2"/>
  <c r="GZ38" i="2"/>
  <c r="HA2" i="2"/>
  <c r="HA38" i="2"/>
  <c r="HB2" i="2"/>
  <c r="HB38" i="2"/>
  <c r="HC2" i="2"/>
  <c r="HC38" i="2"/>
  <c r="HD2" i="2"/>
  <c r="HD38" i="2"/>
  <c r="HE2" i="2"/>
  <c r="HE38" i="2"/>
  <c r="HF2" i="2"/>
  <c r="HF38" i="2"/>
  <c r="B35" i="2"/>
  <c r="D35" i="2"/>
  <c r="E35" i="2"/>
  <c r="F35" i="2"/>
  <c r="H35" i="2"/>
  <c r="I35" i="2"/>
  <c r="J35" i="2"/>
  <c r="K35" i="2"/>
  <c r="L35" i="2"/>
  <c r="M35" i="2"/>
  <c r="O35" i="2"/>
  <c r="Q35" i="2"/>
  <c r="R35" i="2"/>
  <c r="S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O35" i="2"/>
  <c r="AP35" i="2"/>
  <c r="AQ35" i="2"/>
  <c r="AR35" i="2"/>
  <c r="AS35" i="2"/>
  <c r="AT35" i="2"/>
  <c r="AU35" i="2"/>
  <c r="AV35" i="2"/>
  <c r="AW35" i="2"/>
  <c r="AX35" i="2"/>
  <c r="AZ35" i="2"/>
  <c r="BA35" i="2"/>
  <c r="BB35" i="2"/>
  <c r="BC35" i="2"/>
  <c r="BD35" i="2"/>
  <c r="BE35" i="2"/>
  <c r="BF35" i="2"/>
  <c r="BJ35" i="2"/>
  <c r="BK35" i="2"/>
  <c r="BM35" i="2"/>
  <c r="BN35" i="2"/>
  <c r="BO35" i="2"/>
  <c r="BP35" i="2"/>
  <c r="BQ35" i="2"/>
  <c r="BR35" i="2"/>
  <c r="BS35" i="2"/>
  <c r="BU35" i="2"/>
  <c r="BX35" i="2"/>
  <c r="BY35" i="2"/>
  <c r="BZ35" i="2"/>
  <c r="CA35" i="2"/>
  <c r="CB35" i="2"/>
  <c r="CC35" i="2"/>
  <c r="CD35" i="2"/>
  <c r="CF35" i="2"/>
  <c r="CG35" i="2"/>
  <c r="CH35" i="2"/>
  <c r="CI35" i="2"/>
  <c r="CJ35" i="2"/>
  <c r="CK35" i="2"/>
  <c r="CL35" i="2"/>
  <c r="CM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DF35" i="2"/>
  <c r="DG35" i="2"/>
  <c r="DH35" i="2"/>
  <c r="DI35" i="2"/>
  <c r="DL35" i="2"/>
  <c r="DO35" i="2"/>
  <c r="DP35" i="2"/>
  <c r="DQ35" i="2"/>
  <c r="DR35" i="2"/>
  <c r="DS35" i="2"/>
  <c r="DT35" i="2"/>
  <c r="DU35" i="2"/>
  <c r="DV35" i="2"/>
  <c r="DW35" i="2"/>
  <c r="DX35" i="2"/>
  <c r="DY35" i="2"/>
  <c r="DZ35" i="2"/>
  <c r="EA35" i="2"/>
  <c r="EB35" i="2"/>
  <c r="EC35" i="2"/>
  <c r="ED35" i="2"/>
  <c r="EE35" i="2"/>
  <c r="EF35" i="2"/>
  <c r="EG35" i="2"/>
  <c r="EH35" i="2"/>
  <c r="EJ35" i="2"/>
  <c r="EL35" i="2"/>
  <c r="EM35" i="2"/>
  <c r="EN35" i="2"/>
  <c r="EO35" i="2"/>
  <c r="EP35" i="2"/>
  <c r="EQ35" i="2"/>
  <c r="ER35" i="2"/>
  <c r="EU35" i="2"/>
  <c r="EV35" i="2"/>
  <c r="EW35" i="2"/>
  <c r="EX35" i="2"/>
  <c r="EY35" i="2"/>
  <c r="EZ35" i="2"/>
  <c r="FA35" i="2"/>
  <c r="FB35" i="2"/>
  <c r="FC35" i="2"/>
  <c r="FD35" i="2"/>
  <c r="FE35" i="2"/>
  <c r="FF35" i="2"/>
  <c r="FI35" i="2"/>
  <c r="FL35" i="2"/>
  <c r="FM35" i="2"/>
  <c r="FO35" i="2"/>
  <c r="FP35" i="2"/>
  <c r="FR35" i="2"/>
  <c r="FS35" i="2"/>
  <c r="FT35" i="2"/>
  <c r="FU35" i="2"/>
  <c r="FV35" i="2"/>
  <c r="FW35" i="2"/>
  <c r="FX35" i="2"/>
  <c r="FZ35" i="2"/>
  <c r="GA35" i="2"/>
  <c r="GB35" i="2"/>
  <c r="GC35" i="2"/>
  <c r="GG35" i="2"/>
  <c r="GH35" i="2"/>
  <c r="GI35" i="2"/>
  <c r="GJ35" i="2"/>
  <c r="GK35" i="2"/>
  <c r="GM35" i="2"/>
  <c r="GO35" i="2"/>
  <c r="GP35" i="2"/>
  <c r="GQ35" i="2"/>
  <c r="GR35" i="2"/>
  <c r="GS35" i="2"/>
  <c r="GT35" i="2"/>
  <c r="GU35" i="2"/>
  <c r="GV35" i="2"/>
  <c r="GZ35" i="2"/>
  <c r="HA35" i="2"/>
  <c r="HB35" i="2"/>
  <c r="HC35" i="2"/>
  <c r="HD35" i="2"/>
  <c r="HE35" i="2"/>
  <c r="HF35" i="2"/>
  <c r="B34" i="2"/>
  <c r="D34" i="2"/>
  <c r="E34" i="2"/>
  <c r="F34" i="2"/>
  <c r="H34" i="2"/>
  <c r="I34" i="2"/>
  <c r="J34" i="2"/>
  <c r="K34" i="2"/>
  <c r="L34" i="2"/>
  <c r="M34" i="2"/>
  <c r="O34" i="2"/>
  <c r="Q34" i="2"/>
  <c r="R34" i="2"/>
  <c r="S34" i="2"/>
  <c r="Y34" i="2"/>
  <c r="Z34" i="2"/>
  <c r="AA34" i="2"/>
  <c r="AB34" i="2"/>
  <c r="AD34" i="2"/>
  <c r="AF34" i="2"/>
  <c r="AG34" i="2"/>
  <c r="AH34" i="2"/>
  <c r="AI34" i="2"/>
  <c r="AJ34" i="2"/>
  <c r="AK34" i="2"/>
  <c r="AL34" i="2"/>
  <c r="AO34" i="2"/>
  <c r="AP34" i="2"/>
  <c r="AQ34" i="2"/>
  <c r="AR34" i="2"/>
  <c r="AS34" i="2"/>
  <c r="AT34" i="2"/>
  <c r="AU34" i="2"/>
  <c r="AV34" i="2"/>
  <c r="AW34" i="2"/>
  <c r="AX34" i="2"/>
  <c r="AZ34" i="2"/>
  <c r="BA34" i="2"/>
  <c r="BB34" i="2"/>
  <c r="BC34" i="2"/>
  <c r="BD34" i="2"/>
  <c r="BE34" i="2"/>
  <c r="BF34" i="2"/>
  <c r="BJ34" i="2"/>
  <c r="BK34" i="2"/>
  <c r="BM34" i="2"/>
  <c r="BN34" i="2"/>
  <c r="BO34" i="2"/>
  <c r="BP34" i="2"/>
  <c r="BQ34" i="2"/>
  <c r="BR34" i="2"/>
  <c r="BS34" i="2"/>
  <c r="BU34" i="2"/>
  <c r="BX34" i="2"/>
  <c r="BY34" i="2"/>
  <c r="BZ34" i="2"/>
  <c r="CA34" i="2"/>
  <c r="CB34" i="2"/>
  <c r="CC34" i="2"/>
  <c r="CD34" i="2"/>
  <c r="CF34" i="2"/>
  <c r="CG34" i="2"/>
  <c r="CH34" i="2"/>
  <c r="CI34" i="2"/>
  <c r="CJ34" i="2"/>
  <c r="CK34" i="2"/>
  <c r="CL34" i="2"/>
  <c r="CM34" i="2"/>
  <c r="CO34" i="2"/>
  <c r="CP34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DF34" i="2"/>
  <c r="DG34" i="2"/>
  <c r="DH34" i="2"/>
  <c r="DI34" i="2"/>
  <c r="DL34" i="2"/>
  <c r="DO34" i="2"/>
  <c r="DP34" i="2"/>
  <c r="DQ34" i="2"/>
  <c r="DR34" i="2"/>
  <c r="DS34" i="2"/>
  <c r="DT34" i="2"/>
  <c r="DU34" i="2"/>
  <c r="DV34" i="2"/>
  <c r="DW34" i="2"/>
  <c r="DX34" i="2"/>
  <c r="DZ34" i="2"/>
  <c r="EC34" i="2"/>
  <c r="ED34" i="2"/>
  <c r="EE34" i="2"/>
  <c r="EF34" i="2"/>
  <c r="EG34" i="2"/>
  <c r="EH34" i="2"/>
  <c r="EJ34" i="2"/>
  <c r="EL34" i="2"/>
  <c r="EM34" i="2"/>
  <c r="EN34" i="2"/>
  <c r="EO34" i="2"/>
  <c r="EP34" i="2"/>
  <c r="EQ34" i="2"/>
  <c r="ER34" i="2"/>
  <c r="EU34" i="2"/>
  <c r="EV34" i="2"/>
  <c r="EW34" i="2"/>
  <c r="EX34" i="2"/>
  <c r="EY34" i="2"/>
  <c r="EZ34" i="2"/>
  <c r="FA34" i="2"/>
  <c r="FB34" i="2"/>
  <c r="FC34" i="2"/>
  <c r="FD34" i="2"/>
  <c r="FE34" i="2"/>
  <c r="FF34" i="2"/>
  <c r="FI34" i="2"/>
  <c r="FL34" i="2"/>
  <c r="FM34" i="2"/>
  <c r="FO34" i="2"/>
  <c r="FP34" i="2"/>
  <c r="FR34" i="2"/>
  <c r="FS34" i="2"/>
  <c r="FT34" i="2"/>
  <c r="FU34" i="2"/>
  <c r="FV34" i="2"/>
  <c r="FW34" i="2"/>
  <c r="FX34" i="2"/>
  <c r="FZ34" i="2"/>
  <c r="GA34" i="2"/>
  <c r="GB34" i="2"/>
  <c r="GC34" i="2"/>
  <c r="GG34" i="2"/>
  <c r="GH34" i="2"/>
  <c r="GI34" i="2"/>
  <c r="GJ34" i="2"/>
  <c r="GK34" i="2"/>
  <c r="GM34" i="2"/>
  <c r="GO34" i="2"/>
  <c r="GP34" i="2"/>
  <c r="GQ34" i="2"/>
  <c r="GR34" i="2"/>
  <c r="GS34" i="2"/>
  <c r="GT34" i="2"/>
  <c r="GU34" i="2"/>
  <c r="GV34" i="2"/>
  <c r="GZ34" i="2"/>
  <c r="HA34" i="2"/>
  <c r="HB34" i="2"/>
  <c r="HC34" i="2"/>
  <c r="HD34" i="2"/>
  <c r="HE34" i="2"/>
  <c r="HF34" i="2"/>
  <c r="B33" i="2"/>
  <c r="D33" i="2"/>
  <c r="E33" i="2"/>
  <c r="F33" i="2"/>
  <c r="H33" i="2"/>
  <c r="I33" i="2"/>
  <c r="J33" i="2"/>
  <c r="K33" i="2"/>
  <c r="L33" i="2"/>
  <c r="M33" i="2"/>
  <c r="O33" i="2"/>
  <c r="Q33" i="2"/>
  <c r="R33" i="2"/>
  <c r="S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O33" i="2"/>
  <c r="AP33" i="2"/>
  <c r="AQ33" i="2"/>
  <c r="AR33" i="2"/>
  <c r="AS33" i="2"/>
  <c r="AT33" i="2"/>
  <c r="AU33" i="2"/>
  <c r="AV33" i="2"/>
  <c r="AW33" i="2"/>
  <c r="AX33" i="2"/>
  <c r="AZ33" i="2"/>
  <c r="BA33" i="2"/>
  <c r="BB33" i="2"/>
  <c r="BC33" i="2"/>
  <c r="BD33" i="2"/>
  <c r="BE33" i="2"/>
  <c r="BF33" i="2"/>
  <c r="BJ33" i="2"/>
  <c r="BK33" i="2"/>
  <c r="BM33" i="2"/>
  <c r="BN33" i="2"/>
  <c r="BO33" i="2"/>
  <c r="BP33" i="2"/>
  <c r="BQ33" i="2"/>
  <c r="BR33" i="2"/>
  <c r="BS33" i="2"/>
  <c r="BU33" i="2"/>
  <c r="BX33" i="2"/>
  <c r="BY33" i="2"/>
  <c r="BZ33" i="2"/>
  <c r="CA33" i="2"/>
  <c r="CB33" i="2"/>
  <c r="CC33" i="2"/>
  <c r="CD33" i="2"/>
  <c r="CF33" i="2"/>
  <c r="CG33" i="2"/>
  <c r="CH33" i="2"/>
  <c r="CI33" i="2"/>
  <c r="CJ33" i="2"/>
  <c r="CK33" i="2"/>
  <c r="CL33" i="2"/>
  <c r="CM33" i="2"/>
  <c r="CO33" i="2"/>
  <c r="CP33" i="2"/>
  <c r="CQ33" i="2"/>
  <c r="CR33" i="2"/>
  <c r="CS33" i="2"/>
  <c r="CT33" i="2"/>
  <c r="CU33" i="2"/>
  <c r="CV33" i="2"/>
  <c r="CW33" i="2"/>
  <c r="CX33" i="2"/>
  <c r="CY33" i="2"/>
  <c r="CZ33" i="2"/>
  <c r="DA33" i="2"/>
  <c r="DB33" i="2"/>
  <c r="DC33" i="2"/>
  <c r="DD33" i="2"/>
  <c r="DE33" i="2"/>
  <c r="DF33" i="2"/>
  <c r="DG33" i="2"/>
  <c r="DH33" i="2"/>
  <c r="DI33" i="2"/>
  <c r="DL33" i="2"/>
  <c r="DO33" i="2"/>
  <c r="DP33" i="2"/>
  <c r="DQ33" i="2"/>
  <c r="DR33" i="2"/>
  <c r="DS33" i="2"/>
  <c r="DT33" i="2"/>
  <c r="DU33" i="2"/>
  <c r="DV33" i="2"/>
  <c r="DW33" i="2"/>
  <c r="DX33" i="2"/>
  <c r="DY33" i="2"/>
  <c r="DZ33" i="2"/>
  <c r="EA33" i="2"/>
  <c r="EB33" i="2"/>
  <c r="EC33" i="2"/>
  <c r="ED33" i="2"/>
  <c r="EE33" i="2"/>
  <c r="EF33" i="2"/>
  <c r="EG33" i="2"/>
  <c r="EH33" i="2"/>
  <c r="EJ33" i="2"/>
  <c r="EL33" i="2"/>
  <c r="EM33" i="2"/>
  <c r="EN33" i="2"/>
  <c r="EO33" i="2"/>
  <c r="EP33" i="2"/>
  <c r="EQ33" i="2"/>
  <c r="ER33" i="2"/>
  <c r="EU33" i="2"/>
  <c r="EV33" i="2"/>
  <c r="EW33" i="2"/>
  <c r="EX33" i="2"/>
  <c r="EY33" i="2"/>
  <c r="EZ33" i="2"/>
  <c r="FA33" i="2"/>
  <c r="FB33" i="2"/>
  <c r="FC33" i="2"/>
  <c r="FD33" i="2"/>
  <c r="FE33" i="2"/>
  <c r="FF33" i="2"/>
  <c r="FI33" i="2"/>
  <c r="FL33" i="2"/>
  <c r="FM33" i="2"/>
  <c r="FO33" i="2"/>
  <c r="FP33" i="2"/>
  <c r="FR33" i="2"/>
  <c r="FS33" i="2"/>
  <c r="FT33" i="2"/>
  <c r="FU33" i="2"/>
  <c r="FV33" i="2"/>
  <c r="FW33" i="2"/>
  <c r="FX33" i="2"/>
  <c r="FZ33" i="2"/>
  <c r="GA33" i="2"/>
  <c r="GB33" i="2"/>
  <c r="GC33" i="2"/>
  <c r="GG33" i="2"/>
  <c r="GH33" i="2"/>
  <c r="GI33" i="2"/>
  <c r="GJ33" i="2"/>
  <c r="GK33" i="2"/>
  <c r="GM33" i="2"/>
  <c r="GO33" i="2"/>
  <c r="GP33" i="2"/>
  <c r="GQ33" i="2"/>
  <c r="GR33" i="2"/>
  <c r="GS33" i="2"/>
  <c r="GT33" i="2"/>
  <c r="GU33" i="2"/>
  <c r="GV33" i="2"/>
  <c r="GZ33" i="2"/>
  <c r="HA33" i="2"/>
  <c r="HB33" i="2"/>
  <c r="HC33" i="2"/>
  <c r="HD33" i="2"/>
  <c r="HE33" i="2"/>
  <c r="HF33" i="2"/>
  <c r="B32" i="2"/>
  <c r="D32" i="2"/>
  <c r="E32" i="2"/>
  <c r="F32" i="2"/>
  <c r="H32" i="2"/>
  <c r="I32" i="2"/>
  <c r="J32" i="2"/>
  <c r="K32" i="2"/>
  <c r="L32" i="2"/>
  <c r="M32" i="2"/>
  <c r="O32" i="2"/>
  <c r="Q32" i="2"/>
  <c r="R32" i="2"/>
  <c r="S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O32" i="2"/>
  <c r="AP32" i="2"/>
  <c r="AQ32" i="2"/>
  <c r="AR32" i="2"/>
  <c r="AS32" i="2"/>
  <c r="AT32" i="2"/>
  <c r="AU32" i="2"/>
  <c r="AV32" i="2"/>
  <c r="AW32" i="2"/>
  <c r="AX32" i="2"/>
  <c r="AZ32" i="2"/>
  <c r="BA32" i="2"/>
  <c r="BB32" i="2"/>
  <c r="BC32" i="2"/>
  <c r="BD32" i="2"/>
  <c r="BE32" i="2"/>
  <c r="BF32" i="2"/>
  <c r="BJ32" i="2"/>
  <c r="BK32" i="2"/>
  <c r="BM32" i="2"/>
  <c r="BN32" i="2"/>
  <c r="BO32" i="2"/>
  <c r="BP32" i="2"/>
  <c r="BQ32" i="2"/>
  <c r="BR32" i="2"/>
  <c r="BU32" i="2"/>
  <c r="BX32" i="2"/>
  <c r="BY32" i="2"/>
  <c r="BZ32" i="2"/>
  <c r="CA32" i="2"/>
  <c r="CB32" i="2"/>
  <c r="CC32" i="2"/>
  <c r="CD32" i="2"/>
  <c r="CF32" i="2"/>
  <c r="CG32" i="2"/>
  <c r="CH32" i="2"/>
  <c r="CI32" i="2"/>
  <c r="CJ32" i="2"/>
  <c r="CK32" i="2"/>
  <c r="CL32" i="2"/>
  <c r="CM32" i="2"/>
  <c r="CO32" i="2"/>
  <c r="CP32" i="2"/>
  <c r="CQ32" i="2"/>
  <c r="CR32" i="2"/>
  <c r="CS32" i="2"/>
  <c r="CT32" i="2"/>
  <c r="CU32" i="2"/>
  <c r="CV32" i="2"/>
  <c r="CW32" i="2"/>
  <c r="CX32" i="2"/>
  <c r="CY32" i="2"/>
  <c r="CZ32" i="2"/>
  <c r="DA32" i="2"/>
  <c r="DB32" i="2"/>
  <c r="DC32" i="2"/>
  <c r="DD32" i="2"/>
  <c r="DE32" i="2"/>
  <c r="DF32" i="2"/>
  <c r="DG32" i="2"/>
  <c r="DH32" i="2"/>
  <c r="DI32" i="2"/>
  <c r="DL32" i="2"/>
  <c r="DO32" i="2"/>
  <c r="DP32" i="2"/>
  <c r="DQ32" i="2"/>
  <c r="DR32" i="2"/>
  <c r="DS32" i="2"/>
  <c r="DT32" i="2"/>
  <c r="DU32" i="2"/>
  <c r="DV32" i="2"/>
  <c r="DW32" i="2"/>
  <c r="DX32" i="2"/>
  <c r="DY32" i="2"/>
  <c r="DZ32" i="2"/>
  <c r="EA32" i="2"/>
  <c r="EB32" i="2"/>
  <c r="EC32" i="2"/>
  <c r="ED32" i="2"/>
  <c r="EE32" i="2"/>
  <c r="EF32" i="2"/>
  <c r="EG32" i="2"/>
  <c r="EH32" i="2"/>
  <c r="EJ32" i="2"/>
  <c r="EL32" i="2"/>
  <c r="EM32" i="2"/>
  <c r="EN32" i="2"/>
  <c r="EO32" i="2"/>
  <c r="EP32" i="2"/>
  <c r="EQ32" i="2"/>
  <c r="ER32" i="2"/>
  <c r="EU32" i="2"/>
  <c r="EV32" i="2"/>
  <c r="EW32" i="2"/>
  <c r="EX32" i="2"/>
  <c r="EY32" i="2"/>
  <c r="EZ32" i="2"/>
  <c r="FA32" i="2"/>
  <c r="FB32" i="2"/>
  <c r="FC32" i="2"/>
  <c r="FD32" i="2"/>
  <c r="FE32" i="2"/>
  <c r="FF32" i="2"/>
  <c r="FI32" i="2"/>
  <c r="FL32" i="2"/>
  <c r="FM32" i="2"/>
  <c r="FO32" i="2"/>
  <c r="FP32" i="2"/>
  <c r="FR32" i="2"/>
  <c r="FS32" i="2"/>
  <c r="FT32" i="2"/>
  <c r="FU32" i="2"/>
  <c r="FV32" i="2"/>
  <c r="FW32" i="2"/>
  <c r="FX32" i="2"/>
  <c r="FZ32" i="2"/>
  <c r="GA32" i="2"/>
  <c r="GB32" i="2"/>
  <c r="GC32" i="2"/>
  <c r="GG32" i="2"/>
  <c r="GH32" i="2"/>
  <c r="GI32" i="2"/>
  <c r="GJ32" i="2"/>
  <c r="GK32" i="2"/>
  <c r="GM32" i="2"/>
  <c r="GO32" i="2"/>
  <c r="GP32" i="2"/>
  <c r="GQ32" i="2"/>
  <c r="GR32" i="2"/>
  <c r="GS32" i="2"/>
  <c r="GZ32" i="2"/>
  <c r="HA32" i="2"/>
  <c r="HB32" i="2"/>
  <c r="HC32" i="2"/>
  <c r="HD32" i="2"/>
  <c r="HE32" i="2"/>
  <c r="HF32" i="2"/>
  <c r="B31" i="2"/>
  <c r="D31" i="2"/>
  <c r="E31" i="2"/>
  <c r="F31" i="2"/>
  <c r="H31" i="2"/>
  <c r="I31" i="2"/>
  <c r="J31" i="2"/>
  <c r="K31" i="2"/>
  <c r="L31" i="2"/>
  <c r="M31" i="2"/>
  <c r="O31" i="2"/>
  <c r="Q31" i="2"/>
  <c r="R31" i="2"/>
  <c r="S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O31" i="2"/>
  <c r="AP31" i="2"/>
  <c r="AQ31" i="2"/>
  <c r="AR31" i="2"/>
  <c r="AS31" i="2"/>
  <c r="AT31" i="2"/>
  <c r="AU31" i="2"/>
  <c r="AV31" i="2"/>
  <c r="AW31" i="2"/>
  <c r="AZ31" i="2"/>
  <c r="BA31" i="2"/>
  <c r="BB31" i="2"/>
  <c r="BC31" i="2"/>
  <c r="BD31" i="2"/>
  <c r="BE31" i="2"/>
  <c r="BF31" i="2"/>
  <c r="BJ31" i="2"/>
  <c r="BK31" i="2"/>
  <c r="BM31" i="2"/>
  <c r="BN31" i="2"/>
  <c r="BO31" i="2"/>
  <c r="BP31" i="2"/>
  <c r="BQ31" i="2"/>
  <c r="BR31" i="2"/>
  <c r="BU31" i="2"/>
  <c r="BX31" i="2"/>
  <c r="BY31" i="2"/>
  <c r="BZ31" i="2"/>
  <c r="CA31" i="2"/>
  <c r="CB31" i="2"/>
  <c r="CC31" i="2"/>
  <c r="CD31" i="2"/>
  <c r="CF31" i="2"/>
  <c r="CG31" i="2"/>
  <c r="CH31" i="2"/>
  <c r="CI31" i="2"/>
  <c r="CJ31" i="2"/>
  <c r="CK31" i="2"/>
  <c r="CL31" i="2"/>
  <c r="CM31" i="2"/>
  <c r="CO31" i="2"/>
  <c r="CP31" i="2"/>
  <c r="CQ31" i="2"/>
  <c r="CR31" i="2"/>
  <c r="CS31" i="2"/>
  <c r="CT31" i="2"/>
  <c r="CU31" i="2"/>
  <c r="CV31" i="2"/>
  <c r="CW31" i="2"/>
  <c r="CX31" i="2"/>
  <c r="CY31" i="2"/>
  <c r="CZ31" i="2"/>
  <c r="DA31" i="2"/>
  <c r="DB31" i="2"/>
  <c r="DC31" i="2"/>
  <c r="DD31" i="2"/>
  <c r="DE31" i="2"/>
  <c r="DF31" i="2"/>
  <c r="DG31" i="2"/>
  <c r="DH31" i="2"/>
  <c r="DI31" i="2"/>
  <c r="DL31" i="2"/>
  <c r="DO31" i="2"/>
  <c r="DP31" i="2"/>
  <c r="DQ31" i="2"/>
  <c r="DR31" i="2"/>
  <c r="DS31" i="2"/>
  <c r="DT31" i="2"/>
  <c r="DU31" i="2"/>
  <c r="DV31" i="2"/>
  <c r="DW31" i="2"/>
  <c r="DX31" i="2"/>
  <c r="DY31" i="2"/>
  <c r="DZ31" i="2"/>
  <c r="EA31" i="2"/>
  <c r="EB31" i="2"/>
  <c r="EC31" i="2"/>
  <c r="ED31" i="2"/>
  <c r="EE31" i="2"/>
  <c r="EF31" i="2"/>
  <c r="EG31" i="2"/>
  <c r="EH31" i="2"/>
  <c r="EJ31" i="2"/>
  <c r="EL31" i="2"/>
  <c r="EM31" i="2"/>
  <c r="EN31" i="2"/>
  <c r="EO31" i="2"/>
  <c r="EP31" i="2"/>
  <c r="EQ31" i="2"/>
  <c r="ER31" i="2"/>
  <c r="EU31" i="2"/>
  <c r="EV31" i="2"/>
  <c r="EW31" i="2"/>
  <c r="EX31" i="2"/>
  <c r="EY31" i="2"/>
  <c r="EZ31" i="2"/>
  <c r="FA31" i="2"/>
  <c r="FB31" i="2"/>
  <c r="FC31" i="2"/>
  <c r="FD31" i="2"/>
  <c r="FE31" i="2"/>
  <c r="FF31" i="2"/>
  <c r="FL31" i="2"/>
  <c r="FM31" i="2"/>
  <c r="FO31" i="2"/>
  <c r="FP31" i="2"/>
  <c r="FR31" i="2"/>
  <c r="FS31" i="2"/>
  <c r="FT31" i="2"/>
  <c r="FU31" i="2"/>
  <c r="FV31" i="2"/>
  <c r="FW31" i="2"/>
  <c r="FX31" i="2"/>
  <c r="FZ31" i="2"/>
  <c r="GA31" i="2"/>
  <c r="GB31" i="2"/>
  <c r="GC31" i="2"/>
  <c r="GG31" i="2"/>
  <c r="GH31" i="2"/>
  <c r="GI31" i="2"/>
  <c r="GJ31" i="2"/>
  <c r="GK31" i="2"/>
  <c r="GM31" i="2"/>
  <c r="GO31" i="2"/>
  <c r="GP31" i="2"/>
  <c r="GQ31" i="2"/>
  <c r="GR31" i="2"/>
  <c r="GS31" i="2"/>
  <c r="GT31" i="2"/>
  <c r="GU31" i="2"/>
  <c r="GV31" i="2"/>
  <c r="GZ31" i="2"/>
  <c r="HA31" i="2"/>
  <c r="HB31" i="2"/>
  <c r="HC31" i="2"/>
  <c r="HD31" i="2"/>
  <c r="HE31" i="2"/>
  <c r="HF31" i="2"/>
  <c r="C10" i="2"/>
  <c r="C28" i="2"/>
  <c r="D12" i="2"/>
  <c r="D10" i="2"/>
  <c r="D28" i="2"/>
  <c r="E12" i="2"/>
  <c r="E10" i="2"/>
  <c r="E28" i="2"/>
  <c r="F12" i="2"/>
  <c r="F10" i="2"/>
  <c r="F28" i="2"/>
  <c r="G10" i="2"/>
  <c r="G28" i="2"/>
  <c r="I12" i="2"/>
  <c r="I10" i="2"/>
  <c r="I28" i="2"/>
  <c r="J12" i="2"/>
  <c r="J10" i="2"/>
  <c r="J28" i="2"/>
  <c r="K10" i="2"/>
  <c r="K28" i="2"/>
  <c r="M10" i="2"/>
  <c r="M28" i="2"/>
  <c r="N12" i="2"/>
  <c r="N10" i="2"/>
  <c r="N28" i="2"/>
  <c r="O12" i="2"/>
  <c r="O10" i="2"/>
  <c r="O28" i="2"/>
  <c r="P10" i="2"/>
  <c r="P28" i="2"/>
  <c r="R10" i="2"/>
  <c r="R28" i="2"/>
  <c r="S12" i="2"/>
  <c r="S10" i="2"/>
  <c r="S28" i="2"/>
  <c r="U10" i="2"/>
  <c r="U28" i="2"/>
  <c r="V12" i="2"/>
  <c r="V10" i="2"/>
  <c r="V28" i="2"/>
  <c r="X10" i="2"/>
  <c r="X28" i="2"/>
  <c r="Z12" i="2"/>
  <c r="Z10" i="2"/>
  <c r="Z28" i="2"/>
  <c r="AA10" i="2"/>
  <c r="AA28" i="2"/>
  <c r="AB10" i="2"/>
  <c r="AB28" i="2"/>
  <c r="AD12" i="2"/>
  <c r="AD10" i="2"/>
  <c r="AD28" i="2"/>
  <c r="AF10" i="2"/>
  <c r="AF28" i="2"/>
  <c r="AG10" i="2"/>
  <c r="AG28" i="2"/>
  <c r="AH12" i="2"/>
  <c r="AH10" i="2"/>
  <c r="AH28" i="2"/>
  <c r="AI12" i="2"/>
  <c r="AI10" i="2"/>
  <c r="AI28" i="2"/>
  <c r="AJ12" i="2"/>
  <c r="AJ10" i="2"/>
  <c r="AJ28" i="2"/>
  <c r="AK12" i="2"/>
  <c r="AK10" i="2"/>
  <c r="AK28" i="2"/>
  <c r="AL10" i="2"/>
  <c r="AL28" i="2"/>
  <c r="AM10" i="2"/>
  <c r="AM28" i="2"/>
  <c r="AN10" i="2"/>
  <c r="AN28" i="2"/>
  <c r="AO10" i="2"/>
  <c r="AO28" i="2"/>
  <c r="AP10" i="2"/>
  <c r="AP28" i="2"/>
  <c r="AQ10" i="2"/>
  <c r="AQ28" i="2"/>
  <c r="AR10" i="2"/>
  <c r="AR28" i="2"/>
  <c r="AS10" i="2"/>
  <c r="AS28" i="2"/>
  <c r="AT10" i="2"/>
  <c r="AT28" i="2"/>
  <c r="AU10" i="2"/>
  <c r="AU28" i="2"/>
  <c r="AV10" i="2"/>
  <c r="AV28" i="2"/>
  <c r="AW10" i="2"/>
  <c r="AW28" i="2"/>
  <c r="AX10" i="2"/>
  <c r="AX28" i="2"/>
  <c r="AY10" i="2"/>
  <c r="AY28" i="2"/>
  <c r="AZ12" i="2"/>
  <c r="AZ10" i="2"/>
  <c r="AZ28" i="2"/>
  <c r="BA10" i="2"/>
  <c r="BA28" i="2"/>
  <c r="BC12" i="2"/>
  <c r="BC10" i="2"/>
  <c r="BC28" i="2"/>
  <c r="BE12" i="2"/>
  <c r="BE10" i="2"/>
  <c r="BE28" i="2"/>
  <c r="BF10" i="2"/>
  <c r="BF28" i="2"/>
  <c r="BG12" i="2"/>
  <c r="BG10" i="2"/>
  <c r="BG28" i="2"/>
  <c r="BH12" i="2"/>
  <c r="BH10" i="2"/>
  <c r="BH28" i="2"/>
  <c r="BJ10" i="2"/>
  <c r="BJ28" i="2"/>
  <c r="BK12" i="2"/>
  <c r="BK10" i="2"/>
  <c r="BK28" i="2"/>
  <c r="BL10" i="2"/>
  <c r="BL28" i="2"/>
  <c r="BN10" i="2"/>
  <c r="BN28" i="2"/>
  <c r="BO10" i="2"/>
  <c r="BO28" i="2"/>
  <c r="BP10" i="2"/>
  <c r="BP28" i="2"/>
  <c r="BQ10" i="2"/>
  <c r="BQ28" i="2"/>
  <c r="BR10" i="2"/>
  <c r="BR28" i="2"/>
  <c r="BT12" i="2"/>
  <c r="BT10" i="2"/>
  <c r="BT28" i="2"/>
  <c r="BV12" i="2"/>
  <c r="BV10" i="2"/>
  <c r="BV28" i="2"/>
  <c r="BW10" i="2"/>
  <c r="BW28" i="2"/>
  <c r="BY10" i="2"/>
  <c r="BY28" i="2"/>
  <c r="CA10" i="2"/>
  <c r="CA28" i="2"/>
  <c r="CB12" i="2"/>
  <c r="CB10" i="2"/>
  <c r="CB28" i="2"/>
  <c r="CC10" i="2"/>
  <c r="CC28" i="2"/>
  <c r="CD10" i="2"/>
  <c r="CD28" i="2"/>
  <c r="CE10" i="2"/>
  <c r="CE28" i="2"/>
  <c r="CF10" i="2"/>
  <c r="CF28" i="2"/>
  <c r="CG10" i="2"/>
  <c r="CG28" i="2"/>
  <c r="CH12" i="2"/>
  <c r="CH10" i="2"/>
  <c r="CH28" i="2"/>
  <c r="CI10" i="2"/>
  <c r="CI28" i="2"/>
  <c r="CJ12" i="2"/>
  <c r="CJ10" i="2"/>
  <c r="CJ28" i="2"/>
  <c r="CK10" i="2"/>
  <c r="CK28" i="2"/>
  <c r="CL10" i="2"/>
  <c r="CL28" i="2"/>
  <c r="CM12" i="2"/>
  <c r="CM10" i="2"/>
  <c r="CM28" i="2"/>
  <c r="CN10" i="2"/>
  <c r="CN28" i="2"/>
  <c r="CO12" i="2"/>
  <c r="CO10" i="2"/>
  <c r="CO28" i="2"/>
  <c r="CQ12" i="2"/>
  <c r="CQ10" i="2"/>
  <c r="CQ28" i="2"/>
  <c r="CR10" i="2"/>
  <c r="CR28" i="2"/>
  <c r="CS12" i="2"/>
  <c r="CS10" i="2"/>
  <c r="CS28" i="2"/>
  <c r="CT10" i="2"/>
  <c r="CT28" i="2"/>
  <c r="CU10" i="2"/>
  <c r="CU28" i="2"/>
  <c r="CV12" i="2"/>
  <c r="CV10" i="2"/>
  <c r="CV28" i="2"/>
  <c r="CW10" i="2"/>
  <c r="CW28" i="2"/>
  <c r="CX12" i="2"/>
  <c r="CX10" i="2"/>
  <c r="CX28" i="2"/>
  <c r="CY12" i="2"/>
  <c r="CY10" i="2"/>
  <c r="CY28" i="2"/>
  <c r="CZ12" i="2"/>
  <c r="CZ10" i="2"/>
  <c r="CZ28" i="2"/>
  <c r="DA10" i="2"/>
  <c r="DA28" i="2"/>
  <c r="DB28" i="2"/>
  <c r="DC12" i="2"/>
  <c r="DC10" i="2"/>
  <c r="DC28" i="2"/>
  <c r="DD12" i="2"/>
  <c r="DD10" i="2"/>
  <c r="DD28" i="2"/>
  <c r="DE12" i="2"/>
  <c r="DE10" i="2"/>
  <c r="DE28" i="2"/>
  <c r="DF12" i="2"/>
  <c r="DF10" i="2"/>
  <c r="DF28" i="2"/>
  <c r="DG12" i="2"/>
  <c r="DG10" i="2"/>
  <c r="DG28" i="2"/>
  <c r="DH12" i="2"/>
  <c r="DH10" i="2"/>
  <c r="DH28" i="2"/>
  <c r="DI10" i="2"/>
  <c r="DI28" i="2"/>
  <c r="DJ12" i="2"/>
  <c r="DJ10" i="2"/>
  <c r="DJ28" i="2"/>
  <c r="DL12" i="2"/>
  <c r="DL10" i="2"/>
  <c r="DL28" i="2"/>
  <c r="DN12" i="2"/>
  <c r="DN10" i="2"/>
  <c r="DN28" i="2"/>
  <c r="DO10" i="2"/>
  <c r="DO28" i="2"/>
  <c r="DQ10" i="2"/>
  <c r="DQ28" i="2"/>
  <c r="DR12" i="2"/>
  <c r="DR10" i="2"/>
  <c r="DR28" i="2"/>
  <c r="DS10" i="2"/>
  <c r="DS28" i="2"/>
  <c r="DT10" i="2"/>
  <c r="DT28" i="2"/>
  <c r="DU10" i="2"/>
  <c r="DU28" i="2"/>
  <c r="EC10" i="2"/>
  <c r="EC28" i="2"/>
  <c r="ED10" i="2"/>
  <c r="ED28" i="2"/>
  <c r="EE10" i="2"/>
  <c r="EE28" i="2"/>
  <c r="EF10" i="2"/>
  <c r="EF28" i="2"/>
  <c r="EG10" i="2"/>
  <c r="EG28" i="2"/>
  <c r="EH12" i="2"/>
  <c r="EH10" i="2"/>
  <c r="EH28" i="2"/>
  <c r="EI12" i="2"/>
  <c r="EI10" i="2"/>
  <c r="EI28" i="2"/>
  <c r="EJ12" i="2"/>
  <c r="EJ10" i="2"/>
  <c r="EJ28" i="2"/>
  <c r="EK10" i="2"/>
  <c r="EK28" i="2"/>
  <c r="EL10" i="2"/>
  <c r="EL28" i="2"/>
  <c r="EM10" i="2"/>
  <c r="EM28" i="2"/>
  <c r="EN10" i="2"/>
  <c r="EN28" i="2"/>
  <c r="EO12" i="2"/>
  <c r="EO10" i="2"/>
  <c r="EO28" i="2"/>
  <c r="EP10" i="2"/>
  <c r="EP28" i="2"/>
  <c r="EQ10" i="2"/>
  <c r="EQ28" i="2"/>
  <c r="ER12" i="2"/>
  <c r="ER10" i="2"/>
  <c r="ER28" i="2"/>
  <c r="ES10" i="2"/>
  <c r="ES28" i="2"/>
  <c r="ET10" i="2"/>
  <c r="ET28" i="2"/>
  <c r="EV12" i="2"/>
  <c r="EV10" i="2"/>
  <c r="EV28" i="2"/>
  <c r="EW10" i="2"/>
  <c r="EW28" i="2"/>
  <c r="EX10" i="2"/>
  <c r="EX28" i="2"/>
  <c r="EY10" i="2"/>
  <c r="EY28" i="2"/>
  <c r="EZ10" i="2"/>
  <c r="EZ28" i="2"/>
  <c r="FA12" i="2"/>
  <c r="FA10" i="2"/>
  <c r="FA28" i="2"/>
  <c r="FB10" i="2"/>
  <c r="FB28" i="2"/>
  <c r="FC10" i="2"/>
  <c r="FC28" i="2"/>
  <c r="FE12" i="2"/>
  <c r="FE10" i="2"/>
  <c r="FE28" i="2"/>
  <c r="FF10" i="2"/>
  <c r="FF28" i="2"/>
  <c r="FG12" i="2"/>
  <c r="FG10" i="2"/>
  <c r="FG28" i="2"/>
  <c r="FH10" i="2"/>
  <c r="FH28" i="2"/>
  <c r="FI12" i="2"/>
  <c r="FI10" i="2"/>
  <c r="FI28" i="2"/>
  <c r="FJ10" i="2"/>
  <c r="FJ28" i="2"/>
  <c r="FK10" i="2"/>
  <c r="FK28" i="2"/>
  <c r="FL12" i="2"/>
  <c r="FL10" i="2"/>
  <c r="FL28" i="2"/>
  <c r="FM10" i="2"/>
  <c r="FM28" i="2"/>
  <c r="FN10" i="2"/>
  <c r="FN28" i="2"/>
  <c r="FO10" i="2"/>
  <c r="FO28" i="2"/>
  <c r="FP10" i="2"/>
  <c r="FP28" i="2"/>
  <c r="FQ10" i="2"/>
  <c r="FQ28" i="2"/>
  <c r="FR12" i="2"/>
  <c r="FR10" i="2"/>
  <c r="FR28" i="2"/>
  <c r="FS12" i="2"/>
  <c r="FS10" i="2"/>
  <c r="FS28" i="2"/>
  <c r="FT12" i="2"/>
  <c r="FT10" i="2"/>
  <c r="FT28" i="2"/>
  <c r="FU12" i="2"/>
  <c r="FU10" i="2"/>
  <c r="FU28" i="2"/>
  <c r="FW12" i="2"/>
  <c r="FW10" i="2"/>
  <c r="FW28" i="2"/>
  <c r="FX12" i="2"/>
  <c r="FX10" i="2"/>
  <c r="FX28" i="2"/>
  <c r="FY12" i="2"/>
  <c r="FY10" i="2"/>
  <c r="FY28" i="2"/>
  <c r="FZ10" i="2"/>
  <c r="FZ28" i="2"/>
  <c r="GA10" i="2"/>
  <c r="GA28" i="2"/>
  <c r="GB12" i="2"/>
  <c r="GB10" i="2"/>
  <c r="GB28" i="2"/>
  <c r="GC12" i="2"/>
  <c r="GC10" i="2"/>
  <c r="GC28" i="2"/>
  <c r="GD28" i="2"/>
  <c r="GE28" i="2"/>
  <c r="GF12" i="2"/>
  <c r="GF10" i="2"/>
  <c r="GF28" i="2"/>
  <c r="GG12" i="2"/>
  <c r="GG10" i="2"/>
  <c r="GG28" i="2"/>
  <c r="GH10" i="2"/>
  <c r="GH28" i="2"/>
  <c r="GI10" i="2"/>
  <c r="GI28" i="2"/>
  <c r="GJ28" i="2"/>
  <c r="GK28" i="2"/>
  <c r="GL28" i="2"/>
  <c r="GM28" i="2"/>
  <c r="GN28" i="2"/>
  <c r="GO28" i="2"/>
  <c r="GP28" i="2"/>
  <c r="GQ28" i="2"/>
  <c r="GR28" i="2"/>
  <c r="GS28" i="2"/>
  <c r="GW10" i="2"/>
  <c r="GW28" i="2"/>
  <c r="GX12" i="2"/>
  <c r="GX10" i="2"/>
  <c r="GX28" i="2"/>
  <c r="GY12" i="2"/>
  <c r="GY10" i="2"/>
  <c r="GY28" i="2"/>
  <c r="GZ10" i="2"/>
  <c r="GZ28" i="2"/>
  <c r="HA12" i="2"/>
  <c r="HA10" i="2"/>
  <c r="HA28" i="2"/>
  <c r="HB10" i="2"/>
  <c r="HB28" i="2"/>
  <c r="HC10" i="2"/>
  <c r="HC28" i="2"/>
  <c r="HD10" i="2"/>
  <c r="HD28" i="2"/>
  <c r="HE12" i="2"/>
  <c r="HE10" i="2"/>
  <c r="HE28" i="2"/>
  <c r="HF10" i="2"/>
  <c r="HF28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D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N27" i="2"/>
  <c r="BO27" i="2"/>
  <c r="BP27" i="2"/>
  <c r="BQ27" i="2"/>
  <c r="BR27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CJ27" i="2"/>
  <c r="CK27" i="2"/>
  <c r="CL27" i="2"/>
  <c r="CM27" i="2"/>
  <c r="CN27" i="2"/>
  <c r="CO27" i="2"/>
  <c r="CP27" i="2"/>
  <c r="CQ27" i="2"/>
  <c r="CR27" i="2"/>
  <c r="CS27" i="2"/>
  <c r="CT27" i="2"/>
  <c r="CU27" i="2"/>
  <c r="CV27" i="2"/>
  <c r="CW27" i="2"/>
  <c r="CX27" i="2"/>
  <c r="CY27" i="2"/>
  <c r="CZ27" i="2"/>
  <c r="DA27" i="2"/>
  <c r="DB27" i="2"/>
  <c r="DC27" i="2"/>
  <c r="DD27" i="2"/>
  <c r="DE27" i="2"/>
  <c r="DF27" i="2"/>
  <c r="DG27" i="2"/>
  <c r="DH27" i="2"/>
  <c r="DI27" i="2"/>
  <c r="DJ27" i="2"/>
  <c r="DK27" i="2"/>
  <c r="DL27" i="2"/>
  <c r="DM27" i="2"/>
  <c r="DN27" i="2"/>
  <c r="DO27" i="2"/>
  <c r="DP27" i="2"/>
  <c r="DQ27" i="2"/>
  <c r="DR27" i="2"/>
  <c r="DS27" i="2"/>
  <c r="DT27" i="2"/>
  <c r="DU27" i="2"/>
  <c r="DV27" i="2"/>
  <c r="DW27" i="2"/>
  <c r="DX27" i="2"/>
  <c r="DZ27" i="2"/>
  <c r="EC27" i="2"/>
  <c r="ED27" i="2"/>
  <c r="EE27" i="2"/>
  <c r="EF27" i="2"/>
  <c r="EG27" i="2"/>
  <c r="EH27" i="2"/>
  <c r="EI27" i="2"/>
  <c r="EJ27" i="2"/>
  <c r="EK27" i="2"/>
  <c r="EL27" i="2"/>
  <c r="EM27" i="2"/>
  <c r="EN27" i="2"/>
  <c r="EO27" i="2"/>
  <c r="EP27" i="2"/>
  <c r="EQ27" i="2"/>
  <c r="ER27" i="2"/>
  <c r="ES27" i="2"/>
  <c r="ET27" i="2"/>
  <c r="EU27" i="2"/>
  <c r="EV27" i="2"/>
  <c r="EW27" i="2"/>
  <c r="EX27" i="2"/>
  <c r="EY27" i="2"/>
  <c r="EZ27" i="2"/>
  <c r="FA27" i="2"/>
  <c r="FB27" i="2"/>
  <c r="FC27" i="2"/>
  <c r="FD27" i="2"/>
  <c r="FE27" i="2"/>
  <c r="FF27" i="2"/>
  <c r="FG27" i="2"/>
  <c r="FH27" i="2"/>
  <c r="FI27" i="2"/>
  <c r="FJ27" i="2"/>
  <c r="FK27" i="2"/>
  <c r="FL27" i="2"/>
  <c r="FM27" i="2"/>
  <c r="FN27" i="2"/>
  <c r="FO27" i="2"/>
  <c r="FP27" i="2"/>
  <c r="FQ27" i="2"/>
  <c r="FR27" i="2"/>
  <c r="FS27" i="2"/>
  <c r="FT27" i="2"/>
  <c r="FU27" i="2"/>
  <c r="FV27" i="2"/>
  <c r="FW27" i="2"/>
  <c r="FX27" i="2"/>
  <c r="FY27" i="2"/>
  <c r="FZ27" i="2"/>
  <c r="GA27" i="2"/>
  <c r="GB27" i="2"/>
  <c r="GC27" i="2"/>
  <c r="GD27" i="2"/>
  <c r="GE27" i="2"/>
  <c r="GF27" i="2"/>
  <c r="GG27" i="2"/>
  <c r="GH27" i="2"/>
  <c r="GI27" i="2"/>
  <c r="GJ27" i="2"/>
  <c r="GK27" i="2"/>
  <c r="GL27" i="2"/>
  <c r="GM27" i="2"/>
  <c r="GN27" i="2"/>
  <c r="GO27" i="2"/>
  <c r="GP27" i="2"/>
  <c r="GQ27" i="2"/>
  <c r="GR27" i="2"/>
  <c r="GS27" i="2"/>
  <c r="GW27" i="2"/>
  <c r="GX27" i="2"/>
  <c r="GY27" i="2"/>
  <c r="GZ27" i="2"/>
  <c r="HA27" i="2"/>
  <c r="HB27" i="2"/>
  <c r="HC27" i="2"/>
  <c r="HD27" i="2"/>
  <c r="HE27" i="2"/>
  <c r="HF27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Q26" i="2"/>
  <c r="CR26" i="2"/>
  <c r="CS26" i="2"/>
  <c r="CT26" i="2"/>
  <c r="CU26" i="2"/>
  <c r="CV26" i="2"/>
  <c r="CW26" i="2"/>
  <c r="CX26" i="2"/>
  <c r="CY26" i="2"/>
  <c r="CZ26" i="2"/>
  <c r="DA26" i="2"/>
  <c r="DB26" i="2"/>
  <c r="DC26" i="2"/>
  <c r="DD26" i="2"/>
  <c r="DE26" i="2"/>
  <c r="DF26" i="2"/>
  <c r="DG26" i="2"/>
  <c r="DH26" i="2"/>
  <c r="DI26" i="2"/>
  <c r="DJ26" i="2"/>
  <c r="DK26" i="2"/>
  <c r="DL26" i="2"/>
  <c r="DM26" i="2"/>
  <c r="DN26" i="2"/>
  <c r="DO26" i="2"/>
  <c r="DP26" i="2"/>
  <c r="DQ26" i="2"/>
  <c r="DR26" i="2"/>
  <c r="DS26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EF26" i="2"/>
  <c r="EG26" i="2"/>
  <c r="EH26" i="2"/>
  <c r="EI26" i="2"/>
  <c r="EJ26" i="2"/>
  <c r="EK26" i="2"/>
  <c r="EL26" i="2"/>
  <c r="EM26" i="2"/>
  <c r="EN26" i="2"/>
  <c r="EO26" i="2"/>
  <c r="EP26" i="2"/>
  <c r="EQ26" i="2"/>
  <c r="ER26" i="2"/>
  <c r="ES26" i="2"/>
  <c r="ET26" i="2"/>
  <c r="EU26" i="2"/>
  <c r="EV26" i="2"/>
  <c r="EW26" i="2"/>
  <c r="EX26" i="2"/>
  <c r="EY26" i="2"/>
  <c r="EZ26" i="2"/>
  <c r="FA26" i="2"/>
  <c r="FB26" i="2"/>
  <c r="FC26" i="2"/>
  <c r="FD26" i="2"/>
  <c r="FE26" i="2"/>
  <c r="FF26" i="2"/>
  <c r="FG26" i="2"/>
  <c r="FH26" i="2"/>
  <c r="FI26" i="2"/>
  <c r="FJ26" i="2"/>
  <c r="FK26" i="2"/>
  <c r="FL26" i="2"/>
  <c r="FM26" i="2"/>
  <c r="FN26" i="2"/>
  <c r="FO26" i="2"/>
  <c r="FP26" i="2"/>
  <c r="FQ26" i="2"/>
  <c r="FR26" i="2"/>
  <c r="FS26" i="2"/>
  <c r="FT26" i="2"/>
  <c r="FU26" i="2"/>
  <c r="FV26" i="2"/>
  <c r="FW26" i="2"/>
  <c r="FX26" i="2"/>
  <c r="FY26" i="2"/>
  <c r="FZ26" i="2"/>
  <c r="GA26" i="2"/>
  <c r="GB26" i="2"/>
  <c r="GC26" i="2"/>
  <c r="GD26" i="2"/>
  <c r="GE26" i="2"/>
  <c r="GF26" i="2"/>
  <c r="GG26" i="2"/>
  <c r="GH26" i="2"/>
  <c r="GI26" i="2"/>
  <c r="GJ26" i="2"/>
  <c r="GK26" i="2"/>
  <c r="GL26" i="2"/>
  <c r="GM26" i="2"/>
  <c r="GN26" i="2"/>
  <c r="GO26" i="2"/>
  <c r="GP26" i="2"/>
  <c r="GQ26" i="2"/>
  <c r="GR26" i="2"/>
  <c r="GS26" i="2"/>
  <c r="GW26" i="2"/>
  <c r="GX26" i="2"/>
  <c r="GY26" i="2"/>
  <c r="GZ26" i="2"/>
  <c r="HA26" i="2"/>
  <c r="HB26" i="2"/>
  <c r="HC26" i="2"/>
  <c r="HD26" i="2"/>
  <c r="HE26" i="2"/>
  <c r="HF26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3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T24" i="2"/>
  <c r="BU23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3" i="2"/>
  <c r="CN24" i="2"/>
  <c r="CO24" i="2"/>
  <c r="CP24" i="2"/>
  <c r="CQ24" i="2"/>
  <c r="CR24" i="2"/>
  <c r="CS23" i="2"/>
  <c r="CS24" i="2"/>
  <c r="CT24" i="2"/>
  <c r="CU24" i="2"/>
  <c r="CV24" i="2"/>
  <c r="CW24" i="2"/>
  <c r="CX24" i="2"/>
  <c r="CY23" i="2"/>
  <c r="CY24" i="2"/>
  <c r="CZ24" i="2"/>
  <c r="DA24" i="2"/>
  <c r="DB24" i="2"/>
  <c r="DC24" i="2"/>
  <c r="DD24" i="2"/>
  <c r="DE24" i="2"/>
  <c r="DF24" i="2"/>
  <c r="DG24" i="2"/>
  <c r="DH24" i="2"/>
  <c r="DI24" i="2"/>
  <c r="DJ24" i="2"/>
  <c r="DK24" i="2"/>
  <c r="DL24" i="2"/>
  <c r="DM24" i="2"/>
  <c r="DN24" i="2"/>
  <c r="DO24" i="2"/>
  <c r="DP24" i="2"/>
  <c r="DQ24" i="2"/>
  <c r="DR24" i="2"/>
  <c r="DS24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O24" i="2"/>
  <c r="EP24" i="2"/>
  <c r="EQ24" i="2"/>
  <c r="ER24" i="2"/>
  <c r="ES24" i="2"/>
  <c r="ET24" i="2"/>
  <c r="EU24" i="2"/>
  <c r="EV24" i="2"/>
  <c r="EW24" i="2"/>
  <c r="EX24" i="2"/>
  <c r="EY24" i="2"/>
  <c r="EZ24" i="2"/>
  <c r="FA24" i="2"/>
  <c r="FB24" i="2"/>
  <c r="FC24" i="2"/>
  <c r="FD24" i="2"/>
  <c r="FE24" i="2"/>
  <c r="FF24" i="2"/>
  <c r="FG24" i="2"/>
  <c r="FH24" i="2"/>
  <c r="FI24" i="2"/>
  <c r="FJ24" i="2"/>
  <c r="FK24" i="2"/>
  <c r="FL24" i="2"/>
  <c r="FM24" i="2"/>
  <c r="FN24" i="2"/>
  <c r="FO24" i="2"/>
  <c r="FP24" i="2"/>
  <c r="FQ24" i="2"/>
  <c r="FR24" i="2"/>
  <c r="FS23" i="2"/>
  <c r="FS24" i="2"/>
  <c r="FT23" i="2"/>
  <c r="FT24" i="2"/>
  <c r="FU24" i="2"/>
  <c r="FV24" i="2"/>
  <c r="FW24" i="2"/>
  <c r="FX24" i="2"/>
  <c r="FY23" i="2"/>
  <c r="FY24" i="2"/>
  <c r="FZ24" i="2"/>
  <c r="GA24" i="2"/>
  <c r="GB24" i="2"/>
  <c r="GC24" i="2"/>
  <c r="GD24" i="2"/>
  <c r="GE24" i="2"/>
  <c r="GF24" i="2"/>
  <c r="GG24" i="2"/>
  <c r="GH24" i="2"/>
  <c r="GI24" i="2"/>
  <c r="GJ24" i="2"/>
  <c r="GK24" i="2"/>
  <c r="GL24" i="2"/>
  <c r="GM24" i="2"/>
  <c r="GN24" i="2"/>
  <c r="GO24" i="2"/>
  <c r="GP24" i="2"/>
  <c r="GQ24" i="2"/>
  <c r="GR24" i="2"/>
  <c r="GS24" i="2"/>
  <c r="GT24" i="2"/>
  <c r="GU24" i="2"/>
  <c r="GV24" i="2"/>
  <c r="GW24" i="2"/>
  <c r="GX24" i="2"/>
  <c r="GY24" i="2"/>
  <c r="GZ23" i="2"/>
  <c r="GZ24" i="2"/>
  <c r="HA24" i="2"/>
  <c r="HB24" i="2"/>
  <c r="HC24" i="2"/>
  <c r="HD24" i="2"/>
  <c r="HE24" i="2"/>
  <c r="HF24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GI22" i="2"/>
  <c r="GJ22" i="2"/>
  <c r="GK22" i="2"/>
  <c r="GL22" i="2"/>
  <c r="GM22" i="2"/>
  <c r="GN22" i="2"/>
  <c r="GO22" i="2"/>
  <c r="GP22" i="2"/>
  <c r="GQ22" i="2"/>
  <c r="GR22" i="2"/>
  <c r="GS22" i="2"/>
  <c r="GT22" i="2"/>
  <c r="GU22" i="2"/>
  <c r="GV22" i="2"/>
  <c r="GW22" i="2"/>
  <c r="GX22" i="2"/>
  <c r="GY22" i="2"/>
  <c r="GZ22" i="2"/>
  <c r="HA22" i="2"/>
  <c r="HB22" i="2"/>
  <c r="HC22" i="2"/>
  <c r="HD22" i="2"/>
  <c r="HE22" i="2"/>
  <c r="HF22" i="2"/>
  <c r="C16" i="2"/>
  <c r="D16" i="2"/>
  <c r="E16" i="2"/>
  <c r="F16" i="2"/>
  <c r="G16" i="2"/>
  <c r="I16" i="2"/>
  <c r="J16" i="2"/>
  <c r="K16" i="2"/>
  <c r="M16" i="2"/>
  <c r="N16" i="2"/>
  <c r="O16" i="2"/>
  <c r="P16" i="2"/>
  <c r="R16" i="2"/>
  <c r="S16" i="2"/>
  <c r="U16" i="2"/>
  <c r="V16" i="2"/>
  <c r="X16" i="2"/>
  <c r="Z16" i="2"/>
  <c r="AA16" i="2"/>
  <c r="AB16" i="2"/>
  <c r="AD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Y16" i="2"/>
  <c r="AZ16" i="2"/>
  <c r="BA16" i="2"/>
  <c r="BC16" i="2"/>
  <c r="BE16" i="2"/>
  <c r="BF16" i="2"/>
  <c r="BG16" i="2"/>
  <c r="BH16" i="2"/>
  <c r="BJ16" i="2"/>
  <c r="BK16" i="2"/>
  <c r="BL16" i="2"/>
  <c r="BN16" i="2"/>
  <c r="BO16" i="2"/>
  <c r="BP16" i="2"/>
  <c r="BQ16" i="2"/>
  <c r="BR16" i="2"/>
  <c r="BS12" i="2"/>
  <c r="BS16" i="2"/>
  <c r="BT16" i="2"/>
  <c r="BV16" i="2"/>
  <c r="BW16" i="2"/>
  <c r="BY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DF16" i="2"/>
  <c r="DG16" i="2"/>
  <c r="DH16" i="2"/>
  <c r="DI16" i="2"/>
  <c r="DJ16" i="2"/>
  <c r="DL16" i="2"/>
  <c r="DN16" i="2"/>
  <c r="DO16" i="2"/>
  <c r="DQ16" i="2"/>
  <c r="DR16" i="2"/>
  <c r="DS16" i="2"/>
  <c r="DT16" i="2"/>
  <c r="DU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V16" i="2"/>
  <c r="EW16" i="2"/>
  <c r="EX16" i="2"/>
  <c r="EY16" i="2"/>
  <c r="EZ16" i="2"/>
  <c r="FA16" i="2"/>
  <c r="FB16" i="2"/>
  <c r="FC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FS16" i="2"/>
  <c r="FT16" i="2"/>
  <c r="FU16" i="2"/>
  <c r="FW16" i="2"/>
  <c r="FX16" i="2"/>
  <c r="FY16" i="2"/>
  <c r="FZ16" i="2"/>
  <c r="GA16" i="2"/>
  <c r="GB16" i="2"/>
  <c r="GC16" i="2"/>
  <c r="GD16" i="2"/>
  <c r="GE16" i="2"/>
  <c r="GF16" i="2"/>
  <c r="GG16" i="2"/>
  <c r="GH16" i="2"/>
  <c r="GI16" i="2"/>
  <c r="GJ16" i="2"/>
  <c r="GK16" i="2"/>
  <c r="GL16" i="2"/>
  <c r="GM16" i="2"/>
  <c r="GN16" i="2"/>
  <c r="GO16" i="2"/>
  <c r="GP16" i="2"/>
  <c r="GQ16" i="2"/>
  <c r="GR16" i="2"/>
  <c r="GS16" i="2"/>
  <c r="GT12" i="2"/>
  <c r="GT16" i="2"/>
  <c r="GU16" i="2"/>
  <c r="GV16" i="2"/>
  <c r="GW16" i="2"/>
  <c r="GX16" i="2"/>
  <c r="GY16" i="2"/>
  <c r="GZ16" i="2"/>
  <c r="HA16" i="2"/>
  <c r="HB16" i="2"/>
  <c r="HC16" i="2"/>
  <c r="HD16" i="2"/>
  <c r="HE16" i="2"/>
  <c r="HF16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Y15" i="2"/>
  <c r="AZ15" i="2"/>
  <c r="BA15" i="2"/>
  <c r="BB15" i="2"/>
  <c r="BC15" i="2"/>
  <c r="BD15" i="2"/>
  <c r="BE15" i="2"/>
  <c r="BF15" i="2"/>
  <c r="BG15" i="2"/>
  <c r="BH8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8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Z15" i="2"/>
  <c r="EA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FB15" i="2"/>
  <c r="FC15" i="2"/>
  <c r="FD15" i="2"/>
  <c r="FE15" i="2"/>
  <c r="FF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FT15" i="2"/>
  <c r="FU15" i="2"/>
  <c r="FV15" i="2"/>
  <c r="FW15" i="2"/>
  <c r="FX15" i="2"/>
  <c r="FY15" i="2"/>
  <c r="FZ15" i="2"/>
  <c r="GA15" i="2"/>
  <c r="GB15" i="2"/>
  <c r="GC15" i="2"/>
  <c r="GD15" i="2"/>
  <c r="GE15" i="2"/>
  <c r="GF15" i="2"/>
  <c r="GG15" i="2"/>
  <c r="GH15" i="2"/>
  <c r="GI15" i="2"/>
  <c r="GJ15" i="2"/>
  <c r="GK15" i="2"/>
  <c r="GL15" i="2"/>
  <c r="GM15" i="2"/>
  <c r="GN15" i="2"/>
  <c r="GO15" i="2"/>
  <c r="GP15" i="2"/>
  <c r="GQ15" i="2"/>
  <c r="GR15" i="2"/>
  <c r="GS15" i="2"/>
  <c r="GT15" i="2"/>
  <c r="GU15" i="2"/>
  <c r="GV15" i="2"/>
  <c r="GW15" i="2"/>
  <c r="GX15" i="2"/>
  <c r="GY15" i="2"/>
  <c r="GZ15" i="2"/>
  <c r="HA15" i="2"/>
  <c r="HB15" i="2"/>
  <c r="HC15" i="2"/>
  <c r="HD15" i="2"/>
  <c r="HE15" i="2"/>
  <c r="HF15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Y14" i="2"/>
  <c r="AZ14" i="2"/>
  <c r="BA14" i="2"/>
  <c r="BB14" i="2"/>
  <c r="BC14" i="2"/>
  <c r="BD14" i="2"/>
  <c r="BE14" i="2"/>
  <c r="BF14" i="2"/>
  <c r="BG14" i="2"/>
  <c r="BH14" i="2"/>
  <c r="BI9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Z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I14" i="2"/>
  <c r="GJ14" i="2"/>
  <c r="GK14" i="2"/>
  <c r="GL14" i="2"/>
  <c r="GM14" i="2"/>
  <c r="GN14" i="2"/>
  <c r="GO14" i="2"/>
  <c r="GP14" i="2"/>
  <c r="GQ14" i="2"/>
  <c r="GR14" i="2"/>
  <c r="GS14" i="2"/>
  <c r="GT14" i="2"/>
  <c r="GU14" i="2"/>
  <c r="GV14" i="2"/>
  <c r="GW14" i="2"/>
  <c r="GX9" i="2"/>
  <c r="GX14" i="2"/>
  <c r="GY14" i="2"/>
  <c r="GZ14" i="2"/>
  <c r="HA14" i="2"/>
  <c r="HB14" i="2"/>
  <c r="HC14" i="2"/>
  <c r="HD14" i="2"/>
  <c r="HE14" i="2"/>
  <c r="HF14" i="2"/>
  <c r="C13" i="2"/>
  <c r="D13" i="2"/>
  <c r="E13" i="2"/>
  <c r="F13" i="2"/>
  <c r="G13" i="2"/>
  <c r="I13" i="2"/>
  <c r="J13" i="2"/>
  <c r="K13" i="2"/>
  <c r="M13" i="2"/>
  <c r="N13" i="2"/>
  <c r="O13" i="2"/>
  <c r="P13" i="2"/>
  <c r="R13" i="2"/>
  <c r="S13" i="2"/>
  <c r="U13" i="2"/>
  <c r="V13" i="2"/>
  <c r="X13" i="2"/>
  <c r="Z13" i="2"/>
  <c r="AA13" i="2"/>
  <c r="AB13" i="2"/>
  <c r="AD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Y13" i="2"/>
  <c r="AZ13" i="2"/>
  <c r="BA13" i="2"/>
  <c r="BC13" i="2"/>
  <c r="BE13" i="2"/>
  <c r="BF13" i="2"/>
  <c r="BG13" i="2"/>
  <c r="BH13" i="2"/>
  <c r="BJ13" i="2"/>
  <c r="BK13" i="2"/>
  <c r="BL13" i="2"/>
  <c r="BN13" i="2"/>
  <c r="BO13" i="2"/>
  <c r="BP13" i="2"/>
  <c r="BQ13" i="2"/>
  <c r="BR13" i="2"/>
  <c r="BS10" i="2"/>
  <c r="BS13" i="2"/>
  <c r="BT13" i="2"/>
  <c r="BV13" i="2"/>
  <c r="BW13" i="2"/>
  <c r="BY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L13" i="2"/>
  <c r="DN13" i="2"/>
  <c r="DO13" i="2"/>
  <c r="DQ13" i="2"/>
  <c r="DR13" i="2"/>
  <c r="DS13" i="2"/>
  <c r="DT13" i="2"/>
  <c r="DU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V13" i="2"/>
  <c r="EW13" i="2"/>
  <c r="EX13" i="2"/>
  <c r="EY13" i="2"/>
  <c r="EZ13" i="2"/>
  <c r="FA13" i="2"/>
  <c r="FB13" i="2"/>
  <c r="FC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FU13" i="2"/>
  <c r="FW13" i="2"/>
  <c r="FX13" i="2"/>
  <c r="FY13" i="2"/>
  <c r="FZ13" i="2"/>
  <c r="GA13" i="2"/>
  <c r="GB13" i="2"/>
  <c r="GC13" i="2"/>
  <c r="GD13" i="2"/>
  <c r="GE13" i="2"/>
  <c r="GF13" i="2"/>
  <c r="GG13" i="2"/>
  <c r="GH13" i="2"/>
  <c r="GI13" i="2"/>
  <c r="GJ13" i="2"/>
  <c r="GK13" i="2"/>
  <c r="GL13" i="2"/>
  <c r="GM13" i="2"/>
  <c r="GN13" i="2"/>
  <c r="GO13" i="2"/>
  <c r="GP13" i="2"/>
  <c r="GQ13" i="2"/>
  <c r="GR13" i="2"/>
  <c r="GS13" i="2"/>
  <c r="GT10" i="2"/>
  <c r="GT13" i="2"/>
  <c r="GU10" i="2"/>
  <c r="GU13" i="2"/>
  <c r="GV10" i="2"/>
  <c r="GV13" i="2"/>
  <c r="GW13" i="2"/>
  <c r="GX13" i="2"/>
  <c r="GY13" i="2"/>
  <c r="GZ13" i="2"/>
  <c r="HA13" i="2"/>
  <c r="HB13" i="2"/>
  <c r="HC13" i="2"/>
  <c r="HD13" i="2"/>
  <c r="HE13" i="2"/>
  <c r="HF13" i="2"/>
  <c r="C3" i="2"/>
  <c r="C4" i="2"/>
  <c r="D3" i="2"/>
  <c r="D4" i="2"/>
  <c r="E3" i="2"/>
  <c r="E4" i="2"/>
  <c r="F3" i="2"/>
  <c r="F4" i="2"/>
  <c r="G3" i="2"/>
  <c r="G4" i="2"/>
  <c r="I3" i="2"/>
  <c r="I4" i="2"/>
  <c r="J3" i="2"/>
  <c r="J4" i="2"/>
  <c r="K3" i="2"/>
  <c r="K4" i="2"/>
  <c r="M3" i="2"/>
  <c r="M4" i="2"/>
  <c r="N3" i="2"/>
  <c r="N4" i="2"/>
  <c r="O3" i="2"/>
  <c r="O4" i="2"/>
  <c r="P3" i="2"/>
  <c r="P4" i="2"/>
  <c r="R3" i="2"/>
  <c r="R4" i="2"/>
  <c r="S3" i="2"/>
  <c r="S4" i="2"/>
  <c r="U3" i="2"/>
  <c r="U4" i="2"/>
  <c r="V3" i="2"/>
  <c r="V4" i="2"/>
  <c r="X3" i="2"/>
  <c r="X4" i="2"/>
  <c r="Z3" i="2"/>
  <c r="Z4" i="2"/>
  <c r="AA3" i="2"/>
  <c r="AA4" i="2"/>
  <c r="AB3" i="2"/>
  <c r="AB4" i="2"/>
  <c r="AD3" i="2"/>
  <c r="AD4" i="2"/>
  <c r="AF3" i="2"/>
  <c r="AF4" i="2"/>
  <c r="AG3" i="2"/>
  <c r="AG4" i="2"/>
  <c r="AH3" i="2"/>
  <c r="AH4" i="2"/>
  <c r="AI3" i="2"/>
  <c r="AI4" i="2"/>
  <c r="AJ3" i="2"/>
  <c r="AJ4" i="2"/>
  <c r="AK3" i="2"/>
  <c r="AK4" i="2"/>
  <c r="AL3" i="2"/>
  <c r="AL4" i="2"/>
  <c r="AM3" i="2"/>
  <c r="AM4" i="2"/>
  <c r="AN3" i="2"/>
  <c r="AN4" i="2"/>
  <c r="AO3" i="2"/>
  <c r="AO4" i="2"/>
  <c r="AP3" i="2"/>
  <c r="AP4" i="2"/>
  <c r="AQ3" i="2"/>
  <c r="AQ4" i="2"/>
  <c r="AR3" i="2"/>
  <c r="AR4" i="2"/>
  <c r="AS3" i="2"/>
  <c r="AS4" i="2"/>
  <c r="AT3" i="2"/>
  <c r="AT4" i="2"/>
  <c r="AU3" i="2"/>
  <c r="AU4" i="2"/>
  <c r="AV3" i="2"/>
  <c r="AV4" i="2"/>
  <c r="AW3" i="2"/>
  <c r="AW4" i="2"/>
  <c r="AY3" i="2"/>
  <c r="AY4" i="2"/>
  <c r="AZ3" i="2"/>
  <c r="AZ4" i="2"/>
  <c r="BA3" i="2"/>
  <c r="BA4" i="2"/>
  <c r="BC3" i="2"/>
  <c r="BC4" i="2"/>
  <c r="BE3" i="2"/>
  <c r="BE4" i="2"/>
  <c r="BF3" i="2"/>
  <c r="BF4" i="2"/>
  <c r="BG3" i="2"/>
  <c r="BG4" i="2"/>
  <c r="BH3" i="2"/>
  <c r="BH4" i="2"/>
  <c r="BJ3" i="2"/>
  <c r="BJ4" i="2"/>
  <c r="BK3" i="2"/>
  <c r="BK4" i="2"/>
  <c r="BL3" i="2"/>
  <c r="BL4" i="2"/>
  <c r="BN3" i="2"/>
  <c r="BN4" i="2"/>
  <c r="BO3" i="2"/>
  <c r="BO4" i="2"/>
  <c r="BP3" i="2"/>
  <c r="BP4" i="2"/>
  <c r="BQ3" i="2"/>
  <c r="BQ4" i="2"/>
  <c r="BR3" i="2"/>
  <c r="BR4" i="2"/>
  <c r="BS3" i="2"/>
  <c r="BS4" i="2"/>
  <c r="BT3" i="2"/>
  <c r="BT4" i="2"/>
  <c r="BV3" i="2"/>
  <c r="BV4" i="2"/>
  <c r="BW3" i="2"/>
  <c r="BW4" i="2"/>
  <c r="BY3" i="2"/>
  <c r="BY4" i="2"/>
  <c r="CA3" i="2"/>
  <c r="CA4" i="2"/>
  <c r="CB3" i="2"/>
  <c r="CB4" i="2"/>
  <c r="CC3" i="2"/>
  <c r="CC4" i="2"/>
  <c r="CD3" i="2"/>
  <c r="CD4" i="2"/>
  <c r="CE3" i="2"/>
  <c r="CE4" i="2"/>
  <c r="CF3" i="2"/>
  <c r="CF4" i="2"/>
  <c r="CG3" i="2"/>
  <c r="CG4" i="2"/>
  <c r="CH3" i="2"/>
  <c r="CH4" i="2"/>
  <c r="CI3" i="2"/>
  <c r="CI4" i="2"/>
  <c r="CJ3" i="2"/>
  <c r="CJ4" i="2"/>
  <c r="CK3" i="2"/>
  <c r="CK4" i="2"/>
  <c r="CL3" i="2"/>
  <c r="CL4" i="2"/>
  <c r="CM3" i="2"/>
  <c r="CM4" i="2"/>
  <c r="CN3" i="2"/>
  <c r="CN4" i="2"/>
  <c r="CO3" i="2"/>
  <c r="CO4" i="2"/>
  <c r="CQ3" i="2"/>
  <c r="CQ4" i="2"/>
  <c r="CR3" i="2"/>
  <c r="CR4" i="2"/>
  <c r="CS3" i="2"/>
  <c r="CS4" i="2"/>
  <c r="CT3" i="2"/>
  <c r="CT4" i="2"/>
  <c r="CU3" i="2"/>
  <c r="CU4" i="2"/>
  <c r="CV3" i="2"/>
  <c r="CV4" i="2"/>
  <c r="CW3" i="2"/>
  <c r="CW4" i="2"/>
  <c r="CX3" i="2"/>
  <c r="CX4" i="2"/>
  <c r="CY3" i="2"/>
  <c r="CY4" i="2"/>
  <c r="CZ3" i="2"/>
  <c r="CZ4" i="2"/>
  <c r="DA3" i="2"/>
  <c r="DA4" i="2"/>
  <c r="DB3" i="2"/>
  <c r="DB4" i="2"/>
  <c r="DC3" i="2"/>
  <c r="DC4" i="2"/>
  <c r="DD3" i="2"/>
  <c r="DD4" i="2"/>
  <c r="DE3" i="2"/>
  <c r="DE4" i="2"/>
  <c r="DF3" i="2"/>
  <c r="DF4" i="2"/>
  <c r="DG3" i="2"/>
  <c r="DG4" i="2"/>
  <c r="DH3" i="2"/>
  <c r="DH4" i="2"/>
  <c r="DI3" i="2"/>
  <c r="DI4" i="2"/>
  <c r="DJ3" i="2"/>
  <c r="DJ4" i="2"/>
  <c r="DL3" i="2"/>
  <c r="DL4" i="2"/>
  <c r="DN3" i="2"/>
  <c r="DN4" i="2"/>
  <c r="DO3" i="2"/>
  <c r="DO4" i="2"/>
  <c r="DQ3" i="2"/>
  <c r="DQ4" i="2"/>
  <c r="DR3" i="2"/>
  <c r="DR4" i="2"/>
  <c r="DS3" i="2"/>
  <c r="DS4" i="2"/>
  <c r="DT3" i="2"/>
  <c r="DT4" i="2"/>
  <c r="DU3" i="2"/>
  <c r="DU4" i="2"/>
  <c r="EC3" i="2"/>
  <c r="EC4" i="2"/>
  <c r="ED3" i="2"/>
  <c r="ED4" i="2"/>
  <c r="EE3" i="2"/>
  <c r="EE4" i="2"/>
  <c r="EF3" i="2"/>
  <c r="EF4" i="2"/>
  <c r="EG3" i="2"/>
  <c r="EG4" i="2"/>
  <c r="EH3" i="2"/>
  <c r="EH4" i="2"/>
  <c r="EI3" i="2"/>
  <c r="EI4" i="2"/>
  <c r="EJ3" i="2"/>
  <c r="EJ4" i="2"/>
  <c r="EK3" i="2"/>
  <c r="EK4" i="2"/>
  <c r="EL3" i="2"/>
  <c r="EL4" i="2"/>
  <c r="EM3" i="2"/>
  <c r="EM4" i="2"/>
  <c r="EN3" i="2"/>
  <c r="EN4" i="2"/>
  <c r="EO3" i="2"/>
  <c r="EO4" i="2"/>
  <c r="EP3" i="2"/>
  <c r="EP4" i="2"/>
  <c r="EQ3" i="2"/>
  <c r="EQ4" i="2"/>
  <c r="ER3" i="2"/>
  <c r="ER4" i="2"/>
  <c r="ES3" i="2"/>
  <c r="ES4" i="2"/>
  <c r="ET3" i="2"/>
  <c r="ET4" i="2"/>
  <c r="EV3" i="2"/>
  <c r="EV4" i="2"/>
  <c r="EW3" i="2"/>
  <c r="EW4" i="2"/>
  <c r="EX3" i="2"/>
  <c r="EX4" i="2"/>
  <c r="EY3" i="2"/>
  <c r="EY4" i="2"/>
  <c r="EZ3" i="2"/>
  <c r="EZ4" i="2"/>
  <c r="FA3" i="2"/>
  <c r="FA4" i="2"/>
  <c r="FB3" i="2"/>
  <c r="FB4" i="2"/>
  <c r="FC3" i="2"/>
  <c r="FC4" i="2"/>
  <c r="FE3" i="2"/>
  <c r="FE4" i="2"/>
  <c r="FF3" i="2"/>
  <c r="FF4" i="2"/>
  <c r="FG3" i="2"/>
  <c r="FG4" i="2"/>
  <c r="FH3" i="2"/>
  <c r="FH4" i="2"/>
  <c r="FI3" i="2"/>
  <c r="FI4" i="2"/>
  <c r="FJ3" i="2"/>
  <c r="FJ4" i="2"/>
  <c r="FK3" i="2"/>
  <c r="FK4" i="2"/>
  <c r="FL3" i="2"/>
  <c r="FL4" i="2"/>
  <c r="FM3" i="2"/>
  <c r="FM4" i="2"/>
  <c r="FN3" i="2"/>
  <c r="FN4" i="2"/>
  <c r="FO3" i="2"/>
  <c r="FO4" i="2"/>
  <c r="FP3" i="2"/>
  <c r="FP4" i="2"/>
  <c r="FQ3" i="2"/>
  <c r="FQ4" i="2"/>
  <c r="FR3" i="2"/>
  <c r="FR4" i="2"/>
  <c r="FS3" i="2"/>
  <c r="FS4" i="2"/>
  <c r="FT3" i="2"/>
  <c r="FT4" i="2"/>
  <c r="FU3" i="2"/>
  <c r="FU4" i="2"/>
  <c r="FW3" i="2"/>
  <c r="FW4" i="2"/>
  <c r="FX3" i="2"/>
  <c r="FX4" i="2"/>
  <c r="FY3" i="2"/>
  <c r="FY4" i="2"/>
  <c r="FZ3" i="2"/>
  <c r="FZ4" i="2"/>
  <c r="GA3" i="2"/>
  <c r="GA4" i="2"/>
  <c r="GB3" i="2"/>
  <c r="GB4" i="2"/>
  <c r="GC3" i="2"/>
  <c r="GC4" i="2"/>
  <c r="GD3" i="2"/>
  <c r="GD4" i="2"/>
  <c r="GE3" i="2"/>
  <c r="GE4" i="2"/>
  <c r="GF3" i="2"/>
  <c r="GF4" i="2"/>
  <c r="GG3" i="2"/>
  <c r="GG4" i="2"/>
  <c r="GH3" i="2"/>
  <c r="GH4" i="2"/>
  <c r="GI3" i="2"/>
  <c r="GI4" i="2"/>
  <c r="GJ3" i="2"/>
  <c r="GJ4" i="2"/>
  <c r="GK3" i="2"/>
  <c r="GK4" i="2"/>
  <c r="GL3" i="2"/>
  <c r="GL4" i="2"/>
  <c r="GM3" i="2"/>
  <c r="GM4" i="2"/>
  <c r="GN3" i="2"/>
  <c r="GN4" i="2"/>
  <c r="GO3" i="2"/>
  <c r="GO4" i="2"/>
  <c r="GP3" i="2"/>
  <c r="GP4" i="2"/>
  <c r="GQ3" i="2"/>
  <c r="GQ4" i="2"/>
  <c r="GR3" i="2"/>
  <c r="GR4" i="2"/>
  <c r="GS3" i="2"/>
  <c r="GS4" i="2"/>
  <c r="GT3" i="2"/>
  <c r="GT4" i="2"/>
  <c r="GU3" i="2"/>
  <c r="GU4" i="2"/>
  <c r="GV3" i="2"/>
  <c r="GV4" i="2"/>
  <c r="GW3" i="2"/>
  <c r="GW4" i="2"/>
  <c r="GX3" i="2"/>
  <c r="GX4" i="2"/>
  <c r="GY3" i="2"/>
  <c r="GY4" i="2"/>
  <c r="GZ3" i="2"/>
  <c r="GZ4" i="2"/>
  <c r="HA3" i="2"/>
  <c r="HA4" i="2"/>
  <c r="HB3" i="2"/>
  <c r="HB4" i="2"/>
  <c r="HC3" i="2"/>
  <c r="HC4" i="2"/>
  <c r="HD3" i="2"/>
  <c r="HD4" i="2"/>
  <c r="HE3" i="2"/>
  <c r="HE4" i="2"/>
  <c r="HF3" i="2"/>
  <c r="HF4" i="2"/>
</calcChain>
</file>

<file path=xl/sharedStrings.xml><?xml version="1.0" encoding="utf-8"?>
<sst xmlns="http://schemas.openxmlformats.org/spreadsheetml/2006/main" count="1029" uniqueCount="366">
  <si>
    <t>D. acerifoliae 3</t>
  </si>
  <si>
    <t>D. acerifoliae 2</t>
  </si>
  <si>
    <t>D. acerifoliae 1</t>
  </si>
  <si>
    <t>SIPH middle</t>
  </si>
  <si>
    <t>URS L / URS W</t>
  </si>
  <si>
    <t>URS W</t>
  </si>
  <si>
    <t>URS L</t>
  </si>
  <si>
    <t>HT II L / ANT VI</t>
  </si>
  <si>
    <t>HT II L / ANT VI BASE</t>
  </si>
  <si>
    <t>HT II L</t>
  </si>
  <si>
    <t>III TIBIA L / BL</t>
  </si>
  <si>
    <t>III FEMUR L / BL</t>
  </si>
  <si>
    <t>II FEMUR L</t>
  </si>
  <si>
    <t>I FEMUR W</t>
  </si>
  <si>
    <t>I FEMUR L</t>
  </si>
  <si>
    <t>HW</t>
  </si>
  <si>
    <t>ANT VI PT / ANT VI BASE</t>
  </si>
  <si>
    <t>ANT VI / ANT III</t>
  </si>
  <si>
    <t>ANT VI</t>
  </si>
  <si>
    <t>ANT VI PT</t>
  </si>
  <si>
    <t>ANT VI BASE</t>
  </si>
  <si>
    <t>ANT V</t>
  </si>
  <si>
    <t>ANT IV</t>
  </si>
  <si>
    <t>ANT II</t>
  </si>
  <si>
    <t>ANT I</t>
  </si>
  <si>
    <t>ANT</t>
  </si>
  <si>
    <t>BL</t>
  </si>
  <si>
    <t>Frontal setae - 2 pairs</t>
  </si>
  <si>
    <t>Siphunculi colour</t>
  </si>
  <si>
    <t>SIPH L / ANT III</t>
  </si>
  <si>
    <t>SIPH L / SIPH middle</t>
  </si>
  <si>
    <t>SIPH L / BL</t>
  </si>
  <si>
    <t>SIPH L</t>
  </si>
  <si>
    <t>URS L / ANT III</t>
  </si>
  <si>
    <t>URS L / ANT VI BASE</t>
  </si>
  <si>
    <t>URS L / HT II L</t>
  </si>
  <si>
    <t>HT II L / ANT III</t>
  </si>
  <si>
    <t>III TIBIA L</t>
  </si>
  <si>
    <t>III FEMUR L</t>
  </si>
  <si>
    <t>ANT IV / ANT III</t>
  </si>
  <si>
    <t>ANT V / ANT III</t>
  </si>
  <si>
    <t>ANT III</t>
  </si>
  <si>
    <t>PC 24</t>
  </si>
  <si>
    <t>PC 23</t>
  </si>
  <si>
    <t>PC 22</t>
  </si>
  <si>
    <t>PC 21</t>
  </si>
  <si>
    <t>PC 20</t>
  </si>
  <si>
    <t>PC 19</t>
  </si>
  <si>
    <t>PC 18</t>
  </si>
  <si>
    <t>PC 17</t>
  </si>
  <si>
    <t>PC 16</t>
  </si>
  <si>
    <t>PC 15</t>
  </si>
  <si>
    <t>PC 14</t>
  </si>
  <si>
    <t>PC 13</t>
  </si>
  <si>
    <t>PC 12</t>
  </si>
  <si>
    <t>PC 11</t>
  </si>
  <si>
    <t>PC 10</t>
  </si>
  <si>
    <t>PC 9</t>
  </si>
  <si>
    <t>PC 8</t>
  </si>
  <si>
    <t>PC 7</t>
  </si>
  <si>
    <t>PC 6</t>
  </si>
  <si>
    <t>PC 5</t>
  </si>
  <si>
    <t>PC 4</t>
  </si>
  <si>
    <t>PC 3</t>
  </si>
  <si>
    <t>PC 2</t>
  </si>
  <si>
    <t>PC 1</t>
  </si>
  <si>
    <t>D. utahensis 4</t>
  </si>
  <si>
    <t>D. utahensis 3</t>
  </si>
  <si>
    <t>D. utahensis 2</t>
  </si>
  <si>
    <t>D. simpsoni 3</t>
  </si>
  <si>
    <t>D. simpsoni 2</t>
  </si>
  <si>
    <t>D. simpsoni 1</t>
  </si>
  <si>
    <t>D. monelli 2</t>
  </si>
  <si>
    <t>D. monelli 1</t>
  </si>
  <si>
    <t>D. keshenae 3</t>
  </si>
  <si>
    <t>D. keshenae 2</t>
  </si>
  <si>
    <t>D. keshenae 1</t>
  </si>
  <si>
    <t>D. kanzensis 3</t>
  </si>
  <si>
    <t>D. kanzensis 2</t>
  </si>
  <si>
    <t>D. kanzensis 1</t>
  </si>
  <si>
    <t>D. carolinensis 3</t>
  </si>
  <si>
    <t>D. carolinensis 2</t>
  </si>
  <si>
    <t>D. carolinensis 1</t>
  </si>
  <si>
    <t>% variance</t>
  </si>
  <si>
    <t>Eigenvalue</t>
  </si>
  <si>
    <t>PC</t>
  </si>
  <si>
    <t>D. monelli 4</t>
  </si>
  <si>
    <t>D. monelli 3</t>
  </si>
  <si>
    <t>D. knowltoni 2</t>
  </si>
  <si>
    <t>D. knowltoni 1</t>
  </si>
  <si>
    <t>D. keshenae 4</t>
  </si>
  <si>
    <t>Species</t>
  </si>
  <si>
    <t>Supplementary file S3</t>
  </si>
  <si>
    <r>
      <t xml:space="preserve">Results of statistical analysis for alate viviparous females of the genus </t>
    </r>
    <r>
      <rPr>
        <b/>
        <i/>
        <sz val="14"/>
        <color theme="1"/>
        <rFont val="Calibri"/>
        <family val="2"/>
        <charset val="238"/>
      </rPr>
      <t>Drepanaphis</t>
    </r>
  </si>
  <si>
    <t>Head width across compound eyes</t>
  </si>
  <si>
    <t>Conspiciosus tubercles</t>
  </si>
  <si>
    <t>Femora colour</t>
  </si>
  <si>
    <t>Veins bordered</t>
  </si>
  <si>
    <t>Hind femora with stripes</t>
  </si>
  <si>
    <t>Dorsal scleroites</t>
  </si>
  <si>
    <t>D. acerifoliae 4</t>
  </si>
  <si>
    <t>D. acerifoliae 5</t>
  </si>
  <si>
    <t>D. acerifoliae 6</t>
  </si>
  <si>
    <t>D. acerifoliae 7</t>
  </si>
  <si>
    <t>D. acerifoliae 8</t>
  </si>
  <si>
    <t>D. acerifoliae 9</t>
  </si>
  <si>
    <t>D. acerifoliae 10</t>
  </si>
  <si>
    <t>D. acerifoliae 11</t>
  </si>
  <si>
    <t>D. acerifoliae 12</t>
  </si>
  <si>
    <t>D. acerifoliae 13</t>
  </si>
  <si>
    <t>D. acerifoliae 14</t>
  </si>
  <si>
    <t>D. acerifoliae 15</t>
  </si>
  <si>
    <t>D. acerifoliae 16</t>
  </si>
  <si>
    <t>D. carolinensis 4</t>
  </si>
  <si>
    <t>D. carolinensis 5</t>
  </si>
  <si>
    <t>D. carolinensis 6</t>
  </si>
  <si>
    <t>D. carolinensis 7</t>
  </si>
  <si>
    <t>D. carolinensis 8</t>
  </si>
  <si>
    <t>D. carolinensis 9</t>
  </si>
  <si>
    <t>D. carolinensis 10</t>
  </si>
  <si>
    <t>D. carolinensis 11</t>
  </si>
  <si>
    <t>D. carolinensis 12</t>
  </si>
  <si>
    <t>D. carolinensis 13</t>
  </si>
  <si>
    <t>D. carolinensis 14</t>
  </si>
  <si>
    <t>D. carolinensis 15</t>
  </si>
  <si>
    <t>D. choanotricha 1</t>
  </si>
  <si>
    <t>D. choanotricha 2</t>
  </si>
  <si>
    <t>D. choanotricha 3</t>
  </si>
  <si>
    <t>D. choanotricha 4</t>
  </si>
  <si>
    <t>D. choanotricha 5</t>
  </si>
  <si>
    <t>D. choanotricha 6</t>
  </si>
  <si>
    <t>D. choanotricha 7</t>
  </si>
  <si>
    <t>D. choanotricha 8</t>
  </si>
  <si>
    <t>D. granovskyi 1</t>
  </si>
  <si>
    <t>D. granovskyi 2</t>
  </si>
  <si>
    <t>D. granovskyi 3</t>
  </si>
  <si>
    <t>D. granovskyi 4</t>
  </si>
  <si>
    <t>D. granovskyi 5</t>
  </si>
  <si>
    <t>D. granovskyi 6</t>
  </si>
  <si>
    <t>D. granovskyi 7</t>
  </si>
  <si>
    <t>D. granovskyi 8</t>
  </si>
  <si>
    <t>D. granovskyi 9</t>
  </si>
  <si>
    <t>D. idahoensis 1</t>
  </si>
  <si>
    <t>D. idahoensis 2</t>
  </si>
  <si>
    <t>D. idahoensis 3</t>
  </si>
  <si>
    <t>D. idahoensis 4</t>
  </si>
  <si>
    <t>D. idahoensis 5</t>
  </si>
  <si>
    <t>D. idahoensis 6</t>
  </si>
  <si>
    <t>D. idahoensis 7</t>
  </si>
  <si>
    <t>D. idahoensis 8</t>
  </si>
  <si>
    <t>D. idahoensis 9</t>
  </si>
  <si>
    <t>D. kanzensis 4</t>
  </si>
  <si>
    <t>D. kanzensis 5</t>
  </si>
  <si>
    <t>D. kanzensis 6</t>
  </si>
  <si>
    <t>D. kanzensis 7</t>
  </si>
  <si>
    <t>D. kanzensis 8</t>
  </si>
  <si>
    <t>D. kanzensis 9</t>
  </si>
  <si>
    <t>D. kanzensis 10</t>
  </si>
  <si>
    <t>D. kanzensis 11</t>
  </si>
  <si>
    <t>D. kanzensis 12</t>
  </si>
  <si>
    <t>D. keshenae 5</t>
  </si>
  <si>
    <t>D. keshenae 6</t>
  </si>
  <si>
    <t>D. keshenae 7</t>
  </si>
  <si>
    <t>D. keshenae 8</t>
  </si>
  <si>
    <t>D. keshenae 9</t>
  </si>
  <si>
    <t>D. keshenae 10</t>
  </si>
  <si>
    <t>D. knowltoni 3</t>
  </si>
  <si>
    <t>D. knowltoni 4</t>
  </si>
  <si>
    <t>D. knowltoni 5</t>
  </si>
  <si>
    <t>D. knowltoni 6</t>
  </si>
  <si>
    <t>D. knowltoni 7</t>
  </si>
  <si>
    <t>D. knowltoni 8</t>
  </si>
  <si>
    <t>D. knowltoni 9</t>
  </si>
  <si>
    <t>D. knowltoni 10</t>
  </si>
  <si>
    <t>D. monelli 5</t>
  </si>
  <si>
    <t>D. monelli 6</t>
  </si>
  <si>
    <t>D. monelli 7</t>
  </si>
  <si>
    <t>D. monelli 8</t>
  </si>
  <si>
    <t>D. monelli 9</t>
  </si>
  <si>
    <t>D. monelli 10</t>
  </si>
  <si>
    <t>D. nigricans 1</t>
  </si>
  <si>
    <t>D. nigricans 2</t>
  </si>
  <si>
    <t>D. nigricans 3</t>
  </si>
  <si>
    <t>D. nigricans 4</t>
  </si>
  <si>
    <t>D. nigricans 5</t>
  </si>
  <si>
    <t>D. nigricans 6</t>
  </si>
  <si>
    <t>D. nigricans 7</t>
  </si>
  <si>
    <t>D. nigricans 8</t>
  </si>
  <si>
    <t>D. nigricans 9</t>
  </si>
  <si>
    <t>D. nigricans 10</t>
  </si>
  <si>
    <t>D. nigricans 11</t>
  </si>
  <si>
    <t>D. nigricans 12</t>
  </si>
  <si>
    <t>D. nigricans 13</t>
  </si>
  <si>
    <t>D. parva 1</t>
  </si>
  <si>
    <t>D. parva 2</t>
  </si>
  <si>
    <t>D. parva 3</t>
  </si>
  <si>
    <t>D. parva 4</t>
  </si>
  <si>
    <t>D. parva 5</t>
  </si>
  <si>
    <t>D. parva 6</t>
  </si>
  <si>
    <t>D. parva 7</t>
  </si>
  <si>
    <t>D. parva 8</t>
  </si>
  <si>
    <t>D. parva 9</t>
  </si>
  <si>
    <t>D. parva 10</t>
  </si>
  <si>
    <t>D. sabrinae 1</t>
  </si>
  <si>
    <t>D. sabrinae 2</t>
  </si>
  <si>
    <t>D. sabrinae 3</t>
  </si>
  <si>
    <t>D. sabrinae 4</t>
  </si>
  <si>
    <t>D. sabrinae 5</t>
  </si>
  <si>
    <t>D. sabrinae 6</t>
  </si>
  <si>
    <t>D. sabrinae 7</t>
  </si>
  <si>
    <t>D. sabrinae 8</t>
  </si>
  <si>
    <t>D. sabrinae 9</t>
  </si>
  <si>
    <t>D. sabrinae 10</t>
  </si>
  <si>
    <t>D. sabrinae 11</t>
  </si>
  <si>
    <t>D. sabrinae 12</t>
  </si>
  <si>
    <t>D. sabrinae 13</t>
  </si>
  <si>
    <t>D. sabrinae 14</t>
  </si>
  <si>
    <t>D. saccharini 1</t>
  </si>
  <si>
    <t>D. saccharini 2</t>
  </si>
  <si>
    <t>D. saccharini 3</t>
  </si>
  <si>
    <t>D. saccharini 4</t>
  </si>
  <si>
    <t>D. saccharini 5</t>
  </si>
  <si>
    <t>D. saccharini 6</t>
  </si>
  <si>
    <t>D. saccharini 7</t>
  </si>
  <si>
    <t>D. saccharini 8</t>
  </si>
  <si>
    <t>D. saccharini 9</t>
  </si>
  <si>
    <t>D. saccharini 10</t>
  </si>
  <si>
    <t>D. saccharini 11</t>
  </si>
  <si>
    <t>D. saccharini 12</t>
  </si>
  <si>
    <t>D. saccharini 13</t>
  </si>
  <si>
    <t>D. saccharini 14</t>
  </si>
  <si>
    <t>D. simpsoni 4</t>
  </si>
  <si>
    <t>D. simpsoni 5</t>
  </si>
  <si>
    <t>D. simpsoni 6</t>
  </si>
  <si>
    <t>D. simpsoni 7</t>
  </si>
  <si>
    <t>D. simpsoni 8</t>
  </si>
  <si>
    <t>D. simpsoni 9</t>
  </si>
  <si>
    <t>D. simpsoni 10</t>
  </si>
  <si>
    <t>D. simpsoni 11</t>
  </si>
  <si>
    <t>D. spicata 1</t>
  </si>
  <si>
    <t>D. spicata 2</t>
  </si>
  <si>
    <t>D. spicata 3</t>
  </si>
  <si>
    <t>D. spicata 4</t>
  </si>
  <si>
    <t>D. spicata 5</t>
  </si>
  <si>
    <t>D. spicata 6</t>
  </si>
  <si>
    <t>D. spicata 7</t>
  </si>
  <si>
    <t>D. spicata 8</t>
  </si>
  <si>
    <t>D. spicata 9</t>
  </si>
  <si>
    <t>D. spicata 10</t>
  </si>
  <si>
    <t>D. spicata 11</t>
  </si>
  <si>
    <t>D. spicata 12</t>
  </si>
  <si>
    <t>D. tissoti 1</t>
  </si>
  <si>
    <t>D. tissoti 2</t>
  </si>
  <si>
    <t>D. tissoti 3</t>
  </si>
  <si>
    <t>D. tissoti 4</t>
  </si>
  <si>
    <t>D. tissoti 5</t>
  </si>
  <si>
    <t>D. tissoti 6</t>
  </si>
  <si>
    <t>D. tissoti 7</t>
  </si>
  <si>
    <t>D. tissoti 8</t>
  </si>
  <si>
    <t>D. tissoti 9</t>
  </si>
  <si>
    <t>D. tissoti 10</t>
  </si>
  <si>
    <t>D. tissoti 11</t>
  </si>
  <si>
    <t>D. tissoti 12</t>
  </si>
  <si>
    <t>D. tissoti 13</t>
  </si>
  <si>
    <t>D. tissoti 14</t>
  </si>
  <si>
    <t>D. tissoti 15</t>
  </si>
  <si>
    <t>D. tissoti 16</t>
  </si>
  <si>
    <t>D. utahensis 1</t>
  </si>
  <si>
    <t>D. utahensis 5</t>
  </si>
  <si>
    <t>D. utahensis 6</t>
  </si>
  <si>
    <t>D. utahensis 7</t>
  </si>
  <si>
    <t>D. utahensis 8</t>
  </si>
  <si>
    <t>D. utahensis 9</t>
  </si>
  <si>
    <t>D. utahensis 10</t>
  </si>
  <si>
    <t>D. utahensis 11</t>
  </si>
  <si>
    <t>D. utahensis 12</t>
  </si>
  <si>
    <t>D. utahensis 13</t>
  </si>
  <si>
    <t>D. robinsoni 1</t>
  </si>
  <si>
    <t>D. robinsoni 2</t>
  </si>
  <si>
    <t>D. robinsoni 3</t>
  </si>
  <si>
    <t>D. robinsoni 4</t>
  </si>
  <si>
    <t>D. robinsoni 5</t>
  </si>
  <si>
    <t>D. robinsoni 6</t>
  </si>
  <si>
    <t>D. robinsoni 7</t>
  </si>
  <si>
    <t>D. robinsoni 8</t>
  </si>
  <si>
    <t>D. robinsoni 9</t>
  </si>
  <si>
    <t>D. robinsoni 10</t>
  </si>
  <si>
    <t>D. robinsoni 11</t>
  </si>
  <si>
    <t>CAUDA L / CAUDA W</t>
  </si>
  <si>
    <t>SIPH L / CAUDA L</t>
  </si>
  <si>
    <t>Number of accessory rhinaria on VI BASE</t>
  </si>
  <si>
    <t>Length of body</t>
  </si>
  <si>
    <t>Length of antennae</t>
  </si>
  <si>
    <t>Length of antennae/length of body</t>
  </si>
  <si>
    <t>Length of antennae segment I</t>
  </si>
  <si>
    <t>Length of antennae segment II</t>
  </si>
  <si>
    <t>Length of antennae segment III</t>
  </si>
  <si>
    <t>Length of antennae segment IV</t>
  </si>
  <si>
    <t>Length of antennae segment V</t>
  </si>
  <si>
    <t>Length of antennae segment VI</t>
  </si>
  <si>
    <t>Length of antennae segment VIa</t>
  </si>
  <si>
    <t>Length of antennae segment VIb</t>
  </si>
  <si>
    <t>Ant segment ratio VI:III</t>
  </si>
  <si>
    <t>Ant segment ratio V:III</t>
  </si>
  <si>
    <t>Ant segment ratio IV:III</t>
  </si>
  <si>
    <t>Ant segment ratio VIb:VIa</t>
  </si>
  <si>
    <t>First femora length</t>
  </si>
  <si>
    <t>First femora width</t>
  </si>
  <si>
    <t>Second femora length</t>
  </si>
  <si>
    <t>Hind femora length</t>
  </si>
  <si>
    <t>Hind femora lenght/length of body</t>
  </si>
  <si>
    <t>Hind tibia lenght</t>
  </si>
  <si>
    <t>Hind tibia lenght/length of body</t>
  </si>
  <si>
    <t>length of the 2nd segment of hind tarsus</t>
  </si>
  <si>
    <t>length of the 2nd segment of hind tarsus/length of 3rd antennal segment</t>
  </si>
  <si>
    <t>length of the 2nd segment of hind tarsus/length of base of last antennal segment</t>
  </si>
  <si>
    <t>length of the 2nd segment of hind tarsus/length of last antennal segment</t>
  </si>
  <si>
    <t>Ultimate rostral segment length</t>
  </si>
  <si>
    <t>Ultimate rostral segment width</t>
  </si>
  <si>
    <t>Ultimate rostral segment length/Ultimate rostral segment width</t>
  </si>
  <si>
    <t>Ultimate rostral segment length/length of 2nd segment of hind tarsus</t>
  </si>
  <si>
    <t>Ultimate rostral segment length/length of 3rd antennal segment</t>
  </si>
  <si>
    <t>Ultimate rostral segment length/length of base of last antennal segment</t>
  </si>
  <si>
    <t>Ultimate rostral segment length/length of siphunculi</t>
  </si>
  <si>
    <t>Siphunculi length</t>
  </si>
  <si>
    <t>mind-width of siphunculus</t>
  </si>
  <si>
    <t>Siphunculi length/body length</t>
  </si>
  <si>
    <t>Siphunculi length/mind-width of siphunculus</t>
  </si>
  <si>
    <t>Siphunculi length/length of 3rd antennal segment</t>
  </si>
  <si>
    <t>Cauda length</t>
  </si>
  <si>
    <t>CAUDA L</t>
  </si>
  <si>
    <t>basal width of cauda</t>
  </si>
  <si>
    <t>CAUDA W</t>
  </si>
  <si>
    <t>Cauda length/basal width of cauda</t>
  </si>
  <si>
    <t>Length of siphunculi/length of cauda</t>
  </si>
  <si>
    <t>Siphunculi shape</t>
  </si>
  <si>
    <t>holotype</t>
  </si>
  <si>
    <t>paratype</t>
  </si>
  <si>
    <t>Femora whole pale</t>
  </si>
  <si>
    <t>Femora whole dark</t>
  </si>
  <si>
    <t>4 (3th)</t>
  </si>
  <si>
    <t>Femora dark at the edges</t>
  </si>
  <si>
    <t>3 (2nd)</t>
  </si>
  <si>
    <t>3 (1st)</t>
  </si>
  <si>
    <t>Siphunculi flask shaped</t>
  </si>
  <si>
    <t>Siphunculi tubular</t>
  </si>
  <si>
    <t>4 (1st)</t>
  </si>
  <si>
    <t>4 (2nd, 3th)</t>
  </si>
  <si>
    <t>Siphunculi dark</t>
  </si>
  <si>
    <t>Siphunculi pale</t>
  </si>
  <si>
    <t>Siphunculi shaded</t>
  </si>
  <si>
    <t>4 a.s VI sensoria</t>
  </si>
  <si>
    <t>&gt;4 a.s VI sensoria</t>
  </si>
  <si>
    <t>no</t>
  </si>
  <si>
    <t>yes</t>
  </si>
  <si>
    <t>pale</t>
  </si>
  <si>
    <t>dark</t>
  </si>
  <si>
    <t>very dark</t>
  </si>
  <si>
    <t>absent</t>
  </si>
  <si>
    <t>present</t>
  </si>
  <si>
    <t>ANT / BL</t>
  </si>
  <si>
    <t>URS L / SIPH L</t>
  </si>
  <si>
    <r>
      <t xml:space="preserve">Plots of the first two components of a principal components analysis (PCA) for alate viviparous females of the genus </t>
    </r>
    <r>
      <rPr>
        <i/>
        <sz val="11"/>
        <color theme="1"/>
        <rFont val="Calibri"/>
        <family val="2"/>
        <charset val="238"/>
      </rPr>
      <t>Drepanaphis</t>
    </r>
    <r>
      <rPr>
        <sz val="11"/>
        <color theme="1"/>
        <rFont val="Calibri"/>
        <family val="2"/>
        <charset val="238"/>
      </rPr>
      <t>. Plots demonstrate the separation of individual species.</t>
    </r>
  </si>
  <si>
    <t>Taxonomic Revision of the Nearctic Genus Drepanaphis Del Guercio (Hemiptera, Aphididae: Drepanosiphinae)</t>
  </si>
  <si>
    <t>Kamila Malik, Agnieszka Bugaj-Nawrocka and Karina Wieczorek *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</si>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</sst>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  <font>
      <i/>
      <sz val="11"/>
      <color theme="1"/>
      <name val="Aptos Narrow"/>
      <family val="2"/>
      <charset val="238"/>
      <scheme val="minor"/>
    </font>
    <font>
      <i/>
      <sz val="11"/>
      <color theme="1"/>
      <name val="Aptos Narrow"/>
      <family val="2"/>
      <scheme val="minor"/>
    </font>
  </fonts>
  <fills count="10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rgb="FFFFFFCC"/>
      </patternFill>
    </fill>
    <fill>
      <patternFill patternType="solid">
        <fgColor theme="4" tint="0.39997558519241921"/>
        <bgColor rgb="FFD0CECE"/>
      </patternFill>
    </fill>
    <fill>
      <patternFill patternType="solid">
        <fgColor theme="9" tint="0.59999389629810485"/>
        <bgColor rgb="FFE2EFDA"/>
      </patternFill>
    </fill>
    <fill>
      <patternFill patternType="solid">
        <fgColor theme="5" tint="0.39997558519241921"/>
        <bgColor rgb="FFFFFFFF"/>
      </patternFill>
    </fill>
    <fill>
      <patternFill patternType="solid">
        <fgColor rgb="FFC595BF"/>
        <bgColor indexed="64"/>
      </patternFill>
    </fill>
    <fill>
      <patternFill patternType="solid">
        <fgColor theme="8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rgb="FFFFFFCC"/>
      </patternFill>
    </fill>
    <fill>
      <patternFill patternType="solid">
        <fgColor theme="7"/>
        <bgColor rgb="FFE7E6E6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99"/>
        <bgColor rgb="FFFCE4D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rgb="FFD9E1F2"/>
      </patternFill>
    </fill>
    <fill>
      <patternFill patternType="solid">
        <fgColor theme="7" tint="0.59999389629810485"/>
        <bgColor rgb="FFFCE4D6"/>
      </patternFill>
    </fill>
    <fill>
      <patternFill patternType="solid">
        <fgColor theme="7" tint="0.59999389629810485"/>
        <bgColor rgb="FFE2EFDA"/>
      </patternFill>
    </fill>
    <fill>
      <patternFill patternType="solid">
        <fgColor theme="4" tint="0.39997558519241921"/>
        <bgColor rgb="FFE2EFDA"/>
      </patternFill>
    </fill>
    <fill>
      <patternFill patternType="solid">
        <fgColor theme="4" tint="0.39997558519241921"/>
        <bgColor rgb="FFFCE4D6"/>
      </patternFill>
    </fill>
    <fill>
      <patternFill patternType="solid">
        <fgColor theme="4" tint="0.39997558519241921"/>
        <bgColor rgb="FFD9E1F2"/>
      </patternFill>
    </fill>
    <fill>
      <patternFill patternType="solid">
        <fgColor theme="4" tint="0.39997558519241921"/>
        <bgColor rgb="FFFFF2CC"/>
      </patternFill>
    </fill>
    <fill>
      <patternFill patternType="solid">
        <fgColor theme="9" tint="0.59999389629810485"/>
        <bgColor rgb="FFD9E1F2"/>
      </patternFill>
    </fill>
    <fill>
      <patternFill patternType="solid">
        <fgColor theme="9" tint="0.59999389629810485"/>
        <bgColor rgb="FFFCE4D6"/>
      </patternFill>
    </fill>
    <fill>
      <patternFill patternType="solid">
        <fgColor theme="5" tint="0.39997558519241921"/>
        <bgColor rgb="FFE2EFDA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5" tint="0.39997558519241921"/>
        <bgColor rgb="FFD9E1F2"/>
      </patternFill>
    </fill>
    <fill>
      <patternFill patternType="solid">
        <fgColor theme="5" tint="0.39997558519241921"/>
        <bgColor rgb="FFF2F2F2"/>
      </patternFill>
    </fill>
    <fill>
      <patternFill patternType="solid">
        <fgColor rgb="FFC595BF"/>
        <bgColor rgb="FFE7E6E6"/>
      </patternFill>
    </fill>
    <fill>
      <patternFill patternType="solid">
        <fgColor rgb="FFC595BF"/>
        <bgColor rgb="FFD9E1F2"/>
      </patternFill>
    </fill>
    <fill>
      <patternFill patternType="solid">
        <fgColor rgb="FFC595BF"/>
        <bgColor rgb="FFFCE4D6"/>
      </patternFill>
    </fill>
    <fill>
      <patternFill patternType="solid">
        <fgColor rgb="FFC595BF"/>
        <bgColor rgb="FFE2EFDA"/>
      </patternFill>
    </fill>
    <fill>
      <patternFill patternType="solid">
        <fgColor theme="8"/>
        <bgColor rgb="FFE7E6E6"/>
      </patternFill>
    </fill>
    <fill>
      <patternFill patternType="solid">
        <fgColor theme="8"/>
        <bgColor rgb="FFE2EFDA"/>
      </patternFill>
    </fill>
    <fill>
      <patternFill patternType="solid">
        <fgColor theme="8"/>
        <bgColor rgb="FFFFFFCC"/>
      </patternFill>
    </fill>
    <fill>
      <patternFill patternType="solid">
        <fgColor theme="8"/>
        <bgColor rgb="FFFCE4D6"/>
      </patternFill>
    </fill>
    <fill>
      <patternFill patternType="solid">
        <fgColor rgb="FFFFFF00"/>
        <bgColor rgb="FFE7E6E6"/>
      </patternFill>
    </fill>
    <fill>
      <patternFill patternType="solid">
        <fgColor rgb="FFFFFF00"/>
        <bgColor rgb="FFE2EFDA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D9E1F2"/>
      </patternFill>
    </fill>
    <fill>
      <patternFill patternType="solid">
        <fgColor rgb="FFFFFF00"/>
        <bgColor rgb="FFFCE4D6"/>
      </patternFill>
    </fill>
    <fill>
      <patternFill patternType="solid">
        <fgColor theme="6" tint="0.39997558519241921"/>
        <bgColor rgb="FFD9E1F2"/>
      </patternFill>
    </fill>
    <fill>
      <patternFill patternType="solid">
        <fgColor theme="6" tint="0.39997558519241921"/>
        <bgColor rgb="FFFCE4D6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rgb="FFFCE4D6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39997558519241921"/>
        <bgColor rgb="FFD9E1F2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E2EFDA"/>
      </patternFill>
    </fill>
    <fill>
      <patternFill patternType="solid">
        <fgColor theme="7"/>
        <bgColor rgb="FFFFFFFF"/>
      </patternFill>
    </fill>
    <fill>
      <patternFill patternType="solid">
        <fgColor theme="7"/>
        <bgColor rgb="FFD6DCE4"/>
      </patternFill>
    </fill>
    <fill>
      <patternFill patternType="solid">
        <fgColor rgb="FF00B0F0"/>
        <bgColor rgb="FFFFF2CC"/>
      </patternFill>
    </fill>
    <fill>
      <patternFill patternType="solid">
        <fgColor rgb="FF00B0F0"/>
        <bgColor rgb="FFD6DCE4"/>
      </patternFill>
    </fill>
    <fill>
      <patternFill patternType="solid">
        <fgColor rgb="FF00B0F0"/>
        <bgColor rgb="FFE2EFDA"/>
      </patternFill>
    </fill>
    <fill>
      <patternFill patternType="solid">
        <fgColor rgb="FF00B0F0"/>
        <bgColor rgb="FFFCE4D6"/>
      </patternFill>
    </fill>
    <fill>
      <patternFill patternType="solid">
        <fgColor rgb="FF00B0F0"/>
        <bgColor rgb="FFD9E1F2"/>
      </patternFill>
    </fill>
    <fill>
      <patternFill patternType="solid">
        <fgColor rgb="FF92D050"/>
        <bgColor rgb="FFE2EFDA"/>
      </patternFill>
    </fill>
    <fill>
      <patternFill patternType="solid">
        <fgColor rgb="FF92D050"/>
        <bgColor rgb="FFFCE4D6"/>
      </patternFill>
    </fill>
    <fill>
      <patternFill patternType="solid">
        <fgColor rgb="FF92D050"/>
        <bgColor rgb="FFD9E1F2"/>
      </patternFill>
    </fill>
    <fill>
      <patternFill patternType="solid">
        <fgColor rgb="FF92D050"/>
        <bgColor rgb="FFFFF2CC"/>
      </patternFill>
    </fill>
    <fill>
      <patternFill patternType="solid">
        <fgColor theme="2" tint="-0.249977111117893"/>
        <bgColor rgb="FFD9E1F2"/>
      </patternFill>
    </fill>
    <fill>
      <patternFill patternType="solid">
        <fgColor theme="2" tint="-0.249977111117893"/>
        <bgColor rgb="FFE2EFDA"/>
      </patternFill>
    </fill>
    <fill>
      <patternFill patternType="solid">
        <fgColor theme="2" tint="-0.249977111117893"/>
        <bgColor rgb="FFFCE4D6"/>
      </patternFill>
    </fill>
    <fill>
      <patternFill patternType="solid">
        <fgColor theme="2" tint="-0.249977111117893"/>
        <bgColor rgb="FFFFF2CC"/>
      </patternFill>
    </fill>
    <fill>
      <patternFill patternType="solid">
        <fgColor rgb="FFFFFF66"/>
        <bgColor rgb="FFE7E6E6"/>
      </patternFill>
    </fill>
    <fill>
      <patternFill patternType="solid">
        <fgColor rgb="FFFFFF66"/>
        <bgColor rgb="FFFCE4D6"/>
      </patternFill>
    </fill>
    <fill>
      <patternFill patternType="solid">
        <fgColor rgb="FFFFFF66"/>
        <bgColor rgb="FFE2EFDA"/>
      </patternFill>
    </fill>
    <fill>
      <patternFill patternType="solid">
        <fgColor rgb="FFFFFF66"/>
        <bgColor rgb="FFFFF2CC"/>
      </patternFill>
    </fill>
    <fill>
      <patternFill patternType="solid">
        <fgColor rgb="FFFFFF66"/>
        <bgColor rgb="FFD9E1F2"/>
      </patternFill>
    </fill>
    <fill>
      <patternFill patternType="solid">
        <fgColor rgb="FFFFCC99"/>
        <bgColor indexed="64"/>
      </patternFill>
    </fill>
    <fill>
      <patternFill patternType="solid">
        <fgColor rgb="FFFFCC99"/>
        <bgColor rgb="FFE7E6E6"/>
      </patternFill>
    </fill>
    <fill>
      <patternFill patternType="solid">
        <fgColor rgb="FFFFCC99"/>
        <bgColor rgb="FFE2EFDA"/>
      </patternFill>
    </fill>
    <fill>
      <patternFill patternType="solid">
        <fgColor rgb="FFFFCC99"/>
        <bgColor rgb="FFD9E1F2"/>
      </patternFill>
    </fill>
    <fill>
      <patternFill patternType="solid">
        <fgColor rgb="FFFFCC99"/>
        <bgColor rgb="FFFFF2CC"/>
      </patternFill>
    </fill>
    <fill>
      <patternFill patternType="solid">
        <fgColor theme="9" tint="0.39997558519241921"/>
        <bgColor rgb="FFDDEBF7"/>
      </patternFill>
    </fill>
    <fill>
      <patternFill patternType="solid">
        <fgColor theme="4" tint="0.39997558519241921"/>
        <bgColor rgb="FFFFFFCC"/>
      </patternFill>
    </fill>
    <fill>
      <patternFill patternType="solid">
        <fgColor theme="9" tint="0.59999389629810485"/>
        <bgColor rgb="FFFFFFCC"/>
      </patternFill>
    </fill>
    <fill>
      <patternFill patternType="solid">
        <fgColor rgb="FFC595BF"/>
        <bgColor rgb="FFFFFFCC"/>
      </patternFill>
    </fill>
    <fill>
      <patternFill patternType="solid">
        <fgColor theme="6" tint="0.39997558519241921"/>
        <bgColor rgb="FFFFFFCC"/>
      </patternFill>
    </fill>
    <fill>
      <patternFill patternType="solid">
        <fgColor theme="7"/>
        <bgColor rgb="FFFFFFCC"/>
      </patternFill>
    </fill>
    <fill>
      <patternFill patternType="solid">
        <fgColor rgb="FF00B0F0"/>
        <bgColor rgb="FFFFFFCC"/>
      </patternFill>
    </fill>
    <fill>
      <patternFill patternType="solid">
        <fgColor rgb="FF92D050"/>
        <bgColor rgb="FFFFFFCC"/>
      </patternFill>
    </fill>
    <fill>
      <patternFill patternType="solid">
        <fgColor theme="2" tint="-0.249977111117893"/>
        <bgColor rgb="FFFFFFCC"/>
      </patternFill>
    </fill>
    <fill>
      <patternFill patternType="solid">
        <fgColor rgb="FFFFFF66"/>
        <bgColor rgb="FFFFFFCC"/>
      </patternFill>
    </fill>
    <fill>
      <patternFill patternType="solid">
        <fgColor rgb="FFFFCC99"/>
        <bgColor rgb="FFFFFFCC"/>
      </patternFill>
    </fill>
    <fill>
      <patternFill patternType="solid">
        <fgColor theme="6" tint="0.39997558519241921"/>
        <bgColor rgb="FFFFF2CC"/>
      </patternFill>
    </fill>
    <fill>
      <patternFill patternType="solid">
        <fgColor theme="8" tint="0.59999389629810485"/>
        <bgColor rgb="FFD9E1F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EDEDED"/>
      </patternFill>
    </fill>
    <fill>
      <patternFill patternType="solid">
        <fgColor theme="8" tint="0.59999389629810485"/>
        <bgColor rgb="FFFFF2CC"/>
      </patternFill>
    </fill>
    <fill>
      <patternFill patternType="solid">
        <fgColor theme="8" tint="0.59999389629810485"/>
        <bgColor rgb="FFE2EFDA"/>
      </patternFill>
    </fill>
    <fill>
      <patternFill patternType="solid">
        <fgColor theme="8" tint="0.59999389629810485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0" fontId="5" fillId="0" borderId="3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3" borderId="0" xfId="0" applyFont="1" applyFill="1"/>
    <xf numFmtId="2" fontId="5" fillId="2" borderId="0" xfId="0" applyNumberFormat="1" applyFont="1" applyFill="1"/>
    <xf numFmtId="0" fontId="6" fillId="3" borderId="0" xfId="0" applyFont="1" applyFill="1"/>
    <xf numFmtId="164" fontId="5" fillId="2" borderId="0" xfId="0" applyNumberFormat="1" applyFont="1" applyFill="1"/>
    <xf numFmtId="164" fontId="5" fillId="0" borderId="0" xfId="0" applyNumberFormat="1" applyFont="1"/>
    <xf numFmtId="0" fontId="10" fillId="0" borderId="0" xfId="0" applyFont="1"/>
    <xf numFmtId="1" fontId="10" fillId="0" borderId="0" xfId="0" applyNumberFormat="1" applyFont="1"/>
    <xf numFmtId="2" fontId="0" fillId="0" borderId="0" xfId="0" applyNumberFormat="1"/>
    <xf numFmtId="0" fontId="0" fillId="4" borderId="0" xfId="0" applyFill="1"/>
    <xf numFmtId="2" fontId="0" fillId="4" borderId="0" xfId="0" applyNumberFormat="1" applyFill="1"/>
    <xf numFmtId="0" fontId="0" fillId="5" borderId="0" xfId="0" applyFill="1"/>
    <xf numFmtId="2" fontId="0" fillId="5" borderId="0" xfId="0" applyNumberFormat="1" applyFill="1"/>
    <xf numFmtId="0" fontId="0" fillId="6" borderId="0" xfId="0" applyFill="1"/>
    <xf numFmtId="2" fontId="0" fillId="6" borderId="0" xfId="0" applyNumberFormat="1" applyFill="1"/>
    <xf numFmtId="0" fontId="5" fillId="3" borderId="0" xfId="0" applyFont="1" applyFill="1" applyAlignment="1">
      <alignment vertical="center" wrapText="1"/>
    </xf>
    <xf numFmtId="0" fontId="6" fillId="3" borderId="2" xfId="0" applyFont="1" applyFill="1" applyBorder="1"/>
    <xf numFmtId="2" fontId="5" fillId="0" borderId="2" xfId="0" applyNumberFormat="1" applyFont="1" applyBorder="1"/>
    <xf numFmtId="0" fontId="5" fillId="0" borderId="2" xfId="0" applyFont="1" applyBorder="1"/>
    <xf numFmtId="0" fontId="5" fillId="7" borderId="0" xfId="0" applyFont="1" applyFill="1"/>
    <xf numFmtId="0" fontId="6" fillId="7" borderId="0" xfId="0" applyFon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9" fillId="15" borderId="0" xfId="0" applyFont="1" applyFill="1"/>
    <xf numFmtId="0" fontId="0" fillId="15" borderId="0" xfId="0" applyFill="1"/>
    <xf numFmtId="0" fontId="0" fillId="16" borderId="0" xfId="0" applyFill="1"/>
    <xf numFmtId="2" fontId="0" fillId="17" borderId="0" xfId="0" applyNumberFormat="1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2" fontId="0" fillId="8" borderId="0" xfId="0" applyNumberFormat="1" applyFill="1"/>
    <xf numFmtId="2" fontId="0" fillId="24" borderId="0" xfId="0" applyNumberFormat="1" applyFill="1"/>
    <xf numFmtId="2" fontId="0" fillId="25" borderId="0" xfId="0" applyNumberFormat="1" applyFill="1"/>
    <xf numFmtId="2" fontId="0" fillId="26" borderId="0" xfId="0" applyNumberFormat="1" applyFill="1"/>
    <xf numFmtId="2" fontId="0" fillId="27" borderId="0" xfId="0" applyNumberFormat="1" applyFill="1"/>
    <xf numFmtId="2" fontId="0" fillId="28" borderId="0" xfId="0" applyNumberFormat="1" applyFill="1"/>
    <xf numFmtId="2" fontId="0" fillId="9" borderId="0" xfId="0" applyNumberFormat="1" applyFill="1"/>
    <xf numFmtId="2" fontId="0" fillId="29" borderId="0" xfId="0" applyNumberFormat="1" applyFill="1"/>
    <xf numFmtId="2" fontId="0" fillId="30" borderId="0" xfId="0" applyNumberFormat="1" applyFill="1"/>
    <xf numFmtId="2" fontId="0" fillId="10" borderId="0" xfId="0" applyNumberFormat="1" applyFill="1"/>
    <xf numFmtId="2" fontId="0" fillId="2" borderId="0" xfId="0" applyNumberFormat="1" applyFill="1" applyAlignment="1">
      <alignment vertical="center" wrapText="1"/>
    </xf>
    <xf numFmtId="2" fontId="0" fillId="31" borderId="0" xfId="0" applyNumberFormat="1" applyFill="1"/>
    <xf numFmtId="2" fontId="0" fillId="2" borderId="0" xfId="0" applyNumberFormat="1" applyFill="1"/>
    <xf numFmtId="2" fontId="0" fillId="32" borderId="0" xfId="0" applyNumberFormat="1" applyFill="1"/>
    <xf numFmtId="2" fontId="0" fillId="11" borderId="0" xfId="0" applyNumberFormat="1" applyFill="1"/>
    <xf numFmtId="2" fontId="0" fillId="33" borderId="0" xfId="0" applyNumberFormat="1" applyFill="1"/>
    <xf numFmtId="2" fontId="0" fillId="34" borderId="0" xfId="0" applyNumberFormat="1" applyFill="1"/>
    <xf numFmtId="2" fontId="0" fillId="35" borderId="0" xfId="0" applyNumberFormat="1" applyFill="1"/>
    <xf numFmtId="2" fontId="0" fillId="36" borderId="0" xfId="0" applyNumberFormat="1" applyFill="1"/>
    <xf numFmtId="2" fontId="0" fillId="37" borderId="0" xfId="0" applyNumberFormat="1" applyFill="1"/>
    <xf numFmtId="2" fontId="0" fillId="12" borderId="0" xfId="0" applyNumberFormat="1" applyFill="1"/>
    <xf numFmtId="2" fontId="0" fillId="38" borderId="0" xfId="0" applyNumberFormat="1" applyFill="1"/>
    <xf numFmtId="2" fontId="0" fillId="39" borderId="0" xfId="0" applyNumberFormat="1" applyFill="1"/>
    <xf numFmtId="2" fontId="0" fillId="40" borderId="0" xfId="0" applyNumberFormat="1" applyFill="1"/>
    <xf numFmtId="2" fontId="0" fillId="41" borderId="0" xfId="0" applyNumberFormat="1" applyFill="1"/>
    <xf numFmtId="2" fontId="0" fillId="13" borderId="0" xfId="0" applyNumberFormat="1" applyFill="1" applyAlignment="1">
      <alignment vertical="center" wrapText="1"/>
    </xf>
    <xf numFmtId="2" fontId="0" fillId="42" borderId="0" xfId="0" applyNumberFormat="1" applyFill="1" applyAlignment="1">
      <alignment vertical="center" wrapText="1"/>
    </xf>
    <xf numFmtId="2" fontId="0" fillId="43" borderId="0" xfId="0" applyNumberFormat="1" applyFill="1" applyAlignment="1">
      <alignment vertical="center" wrapText="1"/>
    </xf>
    <xf numFmtId="2" fontId="0" fillId="44" borderId="0" xfId="0" applyNumberFormat="1" applyFill="1"/>
    <xf numFmtId="2" fontId="0" fillId="45" borderId="0" xfId="0" applyNumberFormat="1" applyFill="1"/>
    <xf numFmtId="2" fontId="0" fillId="46" borderId="0" xfId="0" applyNumberFormat="1" applyFill="1" applyAlignment="1">
      <alignment vertical="center" wrapText="1"/>
    </xf>
    <xf numFmtId="2" fontId="0" fillId="4" borderId="0" xfId="0" applyNumberFormat="1" applyFill="1" applyAlignment="1">
      <alignment vertical="center" wrapText="1"/>
    </xf>
    <xf numFmtId="2" fontId="0" fillId="47" borderId="0" xfId="0" applyNumberFormat="1" applyFill="1" applyAlignment="1">
      <alignment vertical="center" wrapText="1"/>
    </xf>
    <xf numFmtId="2" fontId="0" fillId="48" borderId="0" xfId="0" applyNumberFormat="1" applyFill="1" applyAlignment="1">
      <alignment vertical="center" wrapText="1"/>
    </xf>
    <xf numFmtId="2" fontId="0" fillId="49" borderId="0" xfId="0" applyNumberFormat="1" applyFill="1"/>
    <xf numFmtId="2" fontId="0" fillId="50" borderId="0" xfId="0" applyNumberFormat="1" applyFill="1"/>
    <xf numFmtId="2" fontId="0" fillId="14" borderId="0" xfId="0" applyNumberFormat="1" applyFill="1"/>
    <xf numFmtId="2" fontId="0" fillId="51" borderId="0" xfId="0" applyNumberFormat="1" applyFill="1"/>
    <xf numFmtId="2" fontId="0" fillId="52" borderId="0" xfId="0" applyNumberFormat="1" applyFill="1"/>
    <xf numFmtId="2" fontId="0" fillId="15" borderId="0" xfId="0" applyNumberFormat="1" applyFill="1" applyAlignment="1">
      <alignment vertical="center" wrapText="1"/>
    </xf>
    <xf numFmtId="2" fontId="0" fillId="23" borderId="0" xfId="0" applyNumberFormat="1" applyFill="1" applyAlignment="1">
      <alignment vertical="center" wrapText="1"/>
    </xf>
    <xf numFmtId="2" fontId="0" fillId="53" borderId="0" xfId="0" applyNumberFormat="1" applyFill="1" applyAlignment="1">
      <alignment vertical="center" wrapText="1"/>
    </xf>
    <xf numFmtId="2" fontId="0" fillId="54" borderId="0" xfId="0" applyNumberFormat="1" applyFill="1"/>
    <xf numFmtId="2" fontId="0" fillId="55" borderId="0" xfId="0" applyNumberFormat="1" applyFill="1"/>
    <xf numFmtId="2" fontId="0" fillId="23" borderId="0" xfId="0" applyNumberFormat="1" applyFill="1"/>
    <xf numFmtId="2" fontId="0" fillId="56" borderId="0" xfId="0" applyNumberFormat="1" applyFill="1"/>
    <xf numFmtId="2" fontId="0" fillId="15" borderId="0" xfId="0" applyNumberFormat="1" applyFill="1"/>
    <xf numFmtId="2" fontId="0" fillId="16" borderId="0" xfId="0" applyNumberFormat="1" applyFill="1"/>
    <xf numFmtId="2" fontId="0" fillId="57" borderId="0" xfId="0" applyNumberFormat="1" applyFill="1"/>
    <xf numFmtId="2" fontId="0" fillId="58" borderId="0" xfId="0" applyNumberFormat="1" applyFill="1"/>
    <xf numFmtId="2" fontId="0" fillId="59" borderId="0" xfId="0" applyNumberFormat="1" applyFill="1"/>
    <xf numFmtId="2" fontId="0" fillId="60" borderId="0" xfId="0" applyNumberFormat="1" applyFill="1"/>
    <xf numFmtId="2" fontId="0" fillId="18" borderId="0" xfId="0" applyNumberFormat="1" applyFill="1"/>
    <xf numFmtId="2" fontId="0" fillId="61" borderId="0" xfId="0" applyNumberFormat="1" applyFill="1"/>
    <xf numFmtId="2" fontId="0" fillId="62" borderId="0" xfId="0" applyNumberFormat="1" applyFill="1"/>
    <xf numFmtId="2" fontId="0" fillId="63" borderId="0" xfId="0" applyNumberFormat="1" applyFill="1"/>
    <xf numFmtId="2" fontId="0" fillId="64" borderId="0" xfId="0" applyNumberFormat="1" applyFill="1"/>
    <xf numFmtId="2" fontId="0" fillId="65" borderId="0" xfId="0" applyNumberFormat="1" applyFill="1"/>
    <xf numFmtId="2" fontId="0" fillId="19" borderId="0" xfId="0" applyNumberFormat="1" applyFill="1"/>
    <xf numFmtId="2" fontId="0" fillId="66" borderId="0" xfId="0" applyNumberFormat="1" applyFill="1"/>
    <xf numFmtId="2" fontId="0" fillId="67" borderId="0" xfId="0" applyNumberFormat="1" applyFill="1"/>
    <xf numFmtId="2" fontId="0" fillId="68" borderId="0" xfId="0" applyNumberFormat="1" applyFill="1"/>
    <xf numFmtId="2" fontId="0" fillId="69" borderId="0" xfId="0" applyNumberFormat="1" applyFill="1"/>
    <xf numFmtId="2" fontId="0" fillId="20" borderId="0" xfId="0" applyNumberFormat="1" applyFill="1" applyAlignment="1">
      <alignment vertical="center" wrapText="1"/>
    </xf>
    <xf numFmtId="2" fontId="0" fillId="70" borderId="0" xfId="0" applyNumberFormat="1" applyFill="1" applyAlignment="1">
      <alignment vertical="center" wrapText="1"/>
    </xf>
    <xf numFmtId="2" fontId="0" fillId="71" borderId="0" xfId="0" applyNumberFormat="1" applyFill="1" applyAlignment="1">
      <alignment vertical="center" wrapText="1"/>
    </xf>
    <xf numFmtId="2" fontId="0" fillId="72" borderId="0" xfId="0" applyNumberFormat="1" applyFill="1" applyAlignment="1">
      <alignment vertical="center" wrapText="1"/>
    </xf>
    <xf numFmtId="2" fontId="0" fillId="70" borderId="0" xfId="0" applyNumberFormat="1" applyFill="1"/>
    <xf numFmtId="2" fontId="0" fillId="20" borderId="0" xfId="0" applyNumberFormat="1" applyFill="1"/>
    <xf numFmtId="2" fontId="0" fillId="73" borderId="0" xfId="0" applyNumberFormat="1" applyFill="1"/>
    <xf numFmtId="2" fontId="0" fillId="21" borderId="0" xfId="0" applyNumberFormat="1" applyFill="1"/>
    <xf numFmtId="2" fontId="0" fillId="74" borderId="0" xfId="0" applyNumberFormat="1" applyFill="1"/>
    <xf numFmtId="2" fontId="0" fillId="75" borderId="0" xfId="0" applyNumberFormat="1" applyFill="1"/>
    <xf numFmtId="2" fontId="0" fillId="76" borderId="0" xfId="0" applyNumberFormat="1" applyFill="1"/>
    <xf numFmtId="2" fontId="0" fillId="77" borderId="0" xfId="0" applyNumberFormat="1" applyFill="1"/>
    <xf numFmtId="2" fontId="0" fillId="78" borderId="0" xfId="0" applyNumberFormat="1" applyFill="1"/>
    <xf numFmtId="2" fontId="0" fillId="79" borderId="0" xfId="0" applyNumberFormat="1" applyFill="1"/>
    <xf numFmtId="2" fontId="0" fillId="22" borderId="0" xfId="0" applyNumberFormat="1" applyFill="1" applyAlignment="1">
      <alignment vertical="center" wrapText="1"/>
    </xf>
    <xf numFmtId="2" fontId="0" fillId="80" borderId="0" xfId="0" applyNumberFormat="1" applyFill="1"/>
    <xf numFmtId="2" fontId="0" fillId="81" borderId="0" xfId="0" applyNumberFormat="1" applyFill="1"/>
    <xf numFmtId="2" fontId="0" fillId="82" borderId="0" xfId="0" applyNumberFormat="1" applyFill="1"/>
    <xf numFmtId="2" fontId="0" fillId="83" borderId="0" xfId="0" applyNumberFormat="1" applyFill="1"/>
    <xf numFmtId="2" fontId="0" fillId="84" borderId="0" xfId="0" applyNumberFormat="1" applyFill="1"/>
    <xf numFmtId="0" fontId="0" fillId="0" borderId="0" xfId="0" quotePrefix="1"/>
    <xf numFmtId="2" fontId="0" fillId="8" borderId="0" xfId="0" applyNumberFormat="1" applyFill="1" applyAlignment="1">
      <alignment vertical="center" wrapText="1"/>
    </xf>
    <xf numFmtId="2" fontId="0" fillId="85" borderId="0" xfId="0" applyNumberFormat="1" applyFill="1" applyAlignment="1">
      <alignment vertical="center" wrapText="1"/>
    </xf>
    <xf numFmtId="2" fontId="0" fillId="86" borderId="0" xfId="0" applyNumberFormat="1" applyFill="1" applyAlignment="1">
      <alignment vertical="center" wrapText="1"/>
    </xf>
    <xf numFmtId="2" fontId="0" fillId="35" borderId="0" xfId="0" applyNumberFormat="1" applyFill="1" applyAlignment="1">
      <alignment vertical="center" wrapText="1"/>
    </xf>
    <xf numFmtId="2" fontId="0" fillId="87" borderId="0" xfId="0" applyNumberFormat="1" applyFill="1" applyAlignment="1">
      <alignment vertical="center" wrapText="1"/>
    </xf>
    <xf numFmtId="2" fontId="0" fillId="44" borderId="0" xfId="0" applyNumberFormat="1" applyFill="1" applyAlignment="1">
      <alignment vertical="center" wrapText="1"/>
    </xf>
    <xf numFmtId="2" fontId="0" fillId="17" borderId="0" xfId="0" applyNumberFormat="1" applyFill="1" applyAlignment="1">
      <alignment vertical="center" wrapText="1"/>
    </xf>
    <xf numFmtId="2" fontId="0" fillId="88" borderId="0" xfId="0" applyNumberFormat="1" applyFill="1" applyAlignment="1">
      <alignment vertical="center" wrapText="1"/>
    </xf>
    <xf numFmtId="2" fontId="0" fillId="89" borderId="0" xfId="0" applyNumberFormat="1" applyFill="1" applyAlignment="1">
      <alignment vertical="center" wrapText="1"/>
    </xf>
    <xf numFmtId="2" fontId="0" fillId="90" borderId="0" xfId="0" applyNumberFormat="1" applyFill="1" applyAlignment="1">
      <alignment vertical="center" wrapText="1"/>
    </xf>
    <xf numFmtId="2" fontId="0" fillId="91" borderId="0" xfId="0" applyNumberFormat="1" applyFill="1" applyAlignment="1">
      <alignment vertical="center" wrapText="1"/>
    </xf>
    <xf numFmtId="2" fontId="0" fillId="92" borderId="0" xfId="0" applyNumberFormat="1" applyFill="1" applyAlignment="1">
      <alignment vertical="center" wrapText="1"/>
    </xf>
    <xf numFmtId="2" fontId="0" fillId="93" borderId="0" xfId="0" applyNumberFormat="1" applyFill="1" applyAlignment="1">
      <alignment vertical="center" wrapText="1"/>
    </xf>
    <xf numFmtId="2" fontId="0" fillId="94" borderId="0" xfId="0" applyNumberFormat="1" applyFill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6" borderId="0" xfId="0" applyNumberFormat="1" applyFill="1" applyAlignment="1">
      <alignment vertical="center" wrapText="1"/>
    </xf>
    <xf numFmtId="2" fontId="0" fillId="24" borderId="0" xfId="0" applyNumberFormat="1" applyFill="1" applyAlignment="1">
      <alignment vertical="center" wrapText="1"/>
    </xf>
    <xf numFmtId="2" fontId="0" fillId="25" borderId="0" xfId="0" applyNumberFormat="1" applyFill="1" applyAlignment="1">
      <alignment vertical="center" wrapText="1"/>
    </xf>
    <xf numFmtId="2" fontId="0" fillId="26" borderId="0" xfId="0" applyNumberFormat="1" applyFill="1" applyAlignment="1">
      <alignment vertical="center" wrapText="1"/>
    </xf>
    <xf numFmtId="2" fontId="0" fillId="27" borderId="0" xfId="0" applyNumberFormat="1" applyFill="1" applyAlignment="1">
      <alignment vertical="center" wrapText="1"/>
    </xf>
    <xf numFmtId="2" fontId="0" fillId="28" borderId="0" xfId="0" applyNumberFormat="1" applyFill="1" applyAlignment="1">
      <alignment vertical="center" wrapText="1"/>
    </xf>
    <xf numFmtId="2" fontId="0" fillId="5" borderId="0" xfId="0" applyNumberFormat="1" applyFill="1" applyAlignment="1">
      <alignment vertical="center" wrapText="1"/>
    </xf>
    <xf numFmtId="2" fontId="0" fillId="9" borderId="0" xfId="0" applyNumberFormat="1" applyFill="1" applyAlignment="1">
      <alignment vertical="center" wrapText="1"/>
    </xf>
    <xf numFmtId="2" fontId="0" fillId="29" borderId="0" xfId="0" applyNumberFormat="1" applyFill="1" applyAlignment="1">
      <alignment vertical="center" wrapText="1"/>
    </xf>
    <xf numFmtId="2" fontId="0" fillId="30" borderId="0" xfId="0" applyNumberFormat="1" applyFill="1" applyAlignment="1">
      <alignment vertical="center" wrapText="1"/>
    </xf>
    <xf numFmtId="2" fontId="0" fillId="10" borderId="0" xfId="0" applyNumberFormat="1" applyFill="1" applyAlignment="1">
      <alignment vertical="center" wrapText="1"/>
    </xf>
    <xf numFmtId="2" fontId="0" fillId="31" borderId="0" xfId="0" applyNumberFormat="1" applyFill="1" applyAlignment="1">
      <alignment vertical="center" wrapText="1"/>
    </xf>
    <xf numFmtId="2" fontId="0" fillId="32" borderId="0" xfId="0" applyNumberFormat="1" applyFill="1" applyAlignment="1">
      <alignment vertical="center" wrapText="1"/>
    </xf>
    <xf numFmtId="2" fontId="0" fillId="11" borderId="0" xfId="0" applyNumberFormat="1" applyFill="1" applyAlignment="1">
      <alignment vertical="center" wrapText="1"/>
    </xf>
    <xf numFmtId="2" fontId="0" fillId="33" borderId="0" xfId="0" applyNumberFormat="1" applyFill="1" applyAlignment="1">
      <alignment vertical="center" wrapText="1"/>
    </xf>
    <xf numFmtId="2" fontId="0" fillId="34" borderId="0" xfId="0" applyNumberFormat="1" applyFill="1" applyAlignment="1">
      <alignment vertical="center" wrapText="1"/>
    </xf>
    <xf numFmtId="2" fontId="0" fillId="36" borderId="0" xfId="0" applyNumberFormat="1" applyFill="1" applyAlignment="1">
      <alignment vertical="center" wrapText="1"/>
    </xf>
    <xf numFmtId="2" fontId="0" fillId="37" borderId="0" xfId="0" applyNumberFormat="1" applyFill="1" applyAlignment="1">
      <alignment vertical="center" wrapText="1"/>
    </xf>
    <xf numFmtId="2" fontId="0" fillId="12" borderId="0" xfId="0" applyNumberFormat="1" applyFill="1" applyAlignment="1">
      <alignment vertical="center" wrapText="1"/>
    </xf>
    <xf numFmtId="2" fontId="0" fillId="38" borderId="0" xfId="0" applyNumberFormat="1" applyFill="1" applyAlignment="1">
      <alignment vertical="center" wrapText="1"/>
    </xf>
    <xf numFmtId="2" fontId="0" fillId="39" borderId="0" xfId="0" applyNumberFormat="1" applyFill="1" applyAlignment="1">
      <alignment vertical="center" wrapText="1"/>
    </xf>
    <xf numFmtId="2" fontId="0" fillId="40" borderId="0" xfId="0" applyNumberFormat="1" applyFill="1" applyAlignment="1">
      <alignment vertical="center" wrapText="1"/>
    </xf>
    <xf numFmtId="2" fontId="0" fillId="41" borderId="0" xfId="0" applyNumberFormat="1" applyFill="1" applyAlignment="1">
      <alignment vertical="center" wrapText="1"/>
    </xf>
    <xf numFmtId="2" fontId="0" fillId="45" borderId="0" xfId="0" applyNumberFormat="1" applyFill="1" applyAlignment="1">
      <alignment vertical="center" wrapText="1"/>
    </xf>
    <xf numFmtId="2" fontId="0" fillId="49" borderId="0" xfId="0" applyNumberFormat="1" applyFill="1" applyAlignment="1">
      <alignment vertical="center" wrapText="1"/>
    </xf>
    <xf numFmtId="2" fontId="0" fillId="50" borderId="0" xfId="0" applyNumberFormat="1" applyFill="1" applyAlignment="1">
      <alignment vertical="center" wrapText="1"/>
    </xf>
    <xf numFmtId="2" fontId="0" fillId="14" borderId="0" xfId="0" applyNumberFormat="1" applyFill="1" applyAlignment="1">
      <alignment vertical="center" wrapText="1"/>
    </xf>
    <xf numFmtId="2" fontId="0" fillId="51" borderId="0" xfId="0" applyNumberFormat="1" applyFill="1" applyAlignment="1">
      <alignment vertical="center" wrapText="1"/>
    </xf>
    <xf numFmtId="2" fontId="0" fillId="95" borderId="0" xfId="0" applyNumberFormat="1" applyFill="1" applyAlignment="1">
      <alignment vertical="center" wrapText="1"/>
    </xf>
    <xf numFmtId="2" fontId="0" fillId="52" borderId="0" xfId="0" applyNumberFormat="1" applyFill="1" applyAlignment="1">
      <alignment vertical="center" wrapText="1"/>
    </xf>
    <xf numFmtId="2" fontId="0" fillId="54" borderId="0" xfId="0" applyNumberFormat="1" applyFill="1" applyAlignment="1">
      <alignment vertical="center" wrapText="1"/>
    </xf>
    <xf numFmtId="2" fontId="0" fillId="55" borderId="0" xfId="0" applyNumberFormat="1" applyFill="1" applyAlignment="1">
      <alignment vertical="center" wrapText="1"/>
    </xf>
    <xf numFmtId="2" fontId="0" fillId="56" borderId="0" xfId="0" applyNumberFormat="1" applyFill="1" applyAlignment="1">
      <alignment vertical="center" wrapText="1"/>
    </xf>
    <xf numFmtId="2" fontId="0" fillId="16" borderId="0" xfId="0" applyNumberFormat="1" applyFill="1" applyAlignment="1">
      <alignment vertical="center" wrapText="1"/>
    </xf>
    <xf numFmtId="2" fontId="0" fillId="57" borderId="0" xfId="0" applyNumberFormat="1" applyFill="1" applyAlignment="1">
      <alignment vertical="center" wrapText="1"/>
    </xf>
    <xf numFmtId="2" fontId="0" fillId="58" borderId="0" xfId="0" applyNumberFormat="1" applyFill="1" applyAlignment="1">
      <alignment vertical="center" wrapText="1"/>
    </xf>
    <xf numFmtId="2" fontId="0" fillId="59" borderId="0" xfId="0" applyNumberFormat="1" applyFill="1" applyAlignment="1">
      <alignment vertical="center" wrapText="1"/>
    </xf>
    <xf numFmtId="2" fontId="0" fillId="60" borderId="0" xfId="0" applyNumberFormat="1" applyFill="1" applyAlignment="1">
      <alignment vertical="center" wrapText="1"/>
    </xf>
    <xf numFmtId="2" fontId="0" fillId="18" borderId="0" xfId="0" applyNumberFormat="1" applyFill="1" applyAlignment="1">
      <alignment vertical="center" wrapText="1"/>
    </xf>
    <xf numFmtId="2" fontId="0" fillId="61" borderId="0" xfId="0" applyNumberFormat="1" applyFill="1" applyAlignment="1">
      <alignment vertical="center" wrapText="1"/>
    </xf>
    <xf numFmtId="2" fontId="0" fillId="62" borderId="0" xfId="0" applyNumberFormat="1" applyFill="1" applyAlignment="1">
      <alignment vertical="center" wrapText="1"/>
    </xf>
    <xf numFmtId="2" fontId="0" fillId="63" borderId="0" xfId="0" applyNumberFormat="1" applyFill="1" applyAlignment="1">
      <alignment vertical="center" wrapText="1"/>
    </xf>
    <xf numFmtId="2" fontId="0" fillId="64" borderId="0" xfId="0" applyNumberFormat="1" applyFill="1" applyAlignment="1">
      <alignment vertical="center" wrapText="1"/>
    </xf>
    <xf numFmtId="2" fontId="0" fillId="65" borderId="0" xfId="0" applyNumberFormat="1" applyFill="1" applyAlignment="1">
      <alignment vertical="center" wrapText="1"/>
    </xf>
    <xf numFmtId="2" fontId="0" fillId="19" borderId="0" xfId="0" applyNumberFormat="1" applyFill="1" applyAlignment="1">
      <alignment vertical="center" wrapText="1"/>
    </xf>
    <xf numFmtId="2" fontId="0" fillId="66" borderId="0" xfId="0" applyNumberFormat="1" applyFill="1" applyAlignment="1">
      <alignment vertical="center" wrapText="1"/>
    </xf>
    <xf numFmtId="2" fontId="0" fillId="67" borderId="0" xfId="0" applyNumberFormat="1" applyFill="1" applyAlignment="1">
      <alignment vertical="center" wrapText="1"/>
    </xf>
    <xf numFmtId="2" fontId="0" fillId="68" borderId="0" xfId="0" applyNumberFormat="1" applyFill="1" applyAlignment="1">
      <alignment vertical="center" wrapText="1"/>
    </xf>
    <xf numFmtId="2" fontId="0" fillId="69" borderId="0" xfId="0" applyNumberFormat="1" applyFill="1" applyAlignment="1">
      <alignment vertical="center" wrapText="1"/>
    </xf>
    <xf numFmtId="2" fontId="0" fillId="73" borderId="0" xfId="0" applyNumberFormat="1" applyFill="1" applyAlignment="1">
      <alignment vertical="center" wrapText="1"/>
    </xf>
    <xf numFmtId="2" fontId="0" fillId="21" borderId="0" xfId="0" applyNumberFormat="1" applyFill="1" applyAlignment="1">
      <alignment vertical="center" wrapText="1"/>
    </xf>
    <xf numFmtId="2" fontId="0" fillId="74" borderId="0" xfId="0" applyNumberFormat="1" applyFill="1" applyAlignment="1">
      <alignment vertical="center" wrapText="1"/>
    </xf>
    <xf numFmtId="2" fontId="0" fillId="75" borderId="0" xfId="0" applyNumberFormat="1" applyFill="1" applyAlignment="1">
      <alignment vertical="center" wrapText="1"/>
    </xf>
    <xf numFmtId="2" fontId="0" fillId="76" borderId="0" xfId="0" applyNumberFormat="1" applyFill="1" applyAlignment="1">
      <alignment vertical="center" wrapText="1"/>
    </xf>
    <xf numFmtId="2" fontId="0" fillId="77" borderId="0" xfId="0" applyNumberFormat="1" applyFill="1" applyAlignment="1">
      <alignment vertical="center" wrapText="1"/>
    </xf>
    <xf numFmtId="2" fontId="0" fillId="78" borderId="0" xfId="0" applyNumberFormat="1" applyFill="1" applyAlignment="1">
      <alignment vertical="center" wrapText="1"/>
    </xf>
    <xf numFmtId="2" fontId="0" fillId="80" borderId="0" xfId="0" applyNumberFormat="1" applyFill="1" applyAlignment="1">
      <alignment vertical="center" wrapText="1"/>
    </xf>
    <xf numFmtId="2" fontId="0" fillId="79" borderId="0" xfId="0" applyNumberFormat="1" applyFill="1" applyAlignment="1">
      <alignment vertical="center" wrapText="1"/>
    </xf>
    <xf numFmtId="2" fontId="0" fillId="81" borderId="0" xfId="0" applyNumberFormat="1" applyFill="1" applyAlignment="1">
      <alignment vertical="center" wrapText="1"/>
    </xf>
    <xf numFmtId="2" fontId="0" fillId="82" borderId="0" xfId="0" applyNumberFormat="1" applyFill="1" applyAlignment="1">
      <alignment vertical="center" wrapText="1"/>
    </xf>
    <xf numFmtId="2" fontId="0" fillId="84" borderId="0" xfId="0" applyNumberFormat="1" applyFill="1" applyAlignment="1">
      <alignment vertical="center" wrapText="1"/>
    </xf>
    <xf numFmtId="2" fontId="0" fillId="85" borderId="0" xfId="0" applyNumberFormat="1" applyFill="1"/>
    <xf numFmtId="2" fontId="0" fillId="86" borderId="0" xfId="0" applyNumberFormat="1" applyFill="1"/>
    <xf numFmtId="2" fontId="0" fillId="87" borderId="0" xfId="0" applyNumberFormat="1" applyFill="1"/>
    <xf numFmtId="2" fontId="0" fillId="48" borderId="0" xfId="0" applyNumberFormat="1" applyFill="1"/>
    <xf numFmtId="2" fontId="0" fillId="88" borderId="0" xfId="0" applyNumberFormat="1" applyFill="1"/>
    <xf numFmtId="2" fontId="0" fillId="89" borderId="0" xfId="0" applyNumberFormat="1" applyFill="1"/>
    <xf numFmtId="2" fontId="0" fillId="90" borderId="0" xfId="0" applyNumberFormat="1" applyFill="1"/>
    <xf numFmtId="2" fontId="0" fillId="91" borderId="0" xfId="0" applyNumberFormat="1" applyFill="1"/>
    <xf numFmtId="2" fontId="0" fillId="92" borderId="0" xfId="0" applyNumberFormat="1" applyFill="1"/>
    <xf numFmtId="2" fontId="0" fillId="93" borderId="0" xfId="0" applyNumberFormat="1" applyFill="1"/>
    <xf numFmtId="2" fontId="0" fillId="94" borderId="0" xfId="0" applyNumberFormat="1" applyFill="1"/>
    <xf numFmtId="2" fontId="0" fillId="95" borderId="0" xfId="0" applyNumberFormat="1" applyFill="1"/>
    <xf numFmtId="0" fontId="0" fillId="17" borderId="0" xfId="0" applyFill="1"/>
    <xf numFmtId="2" fontId="0" fillId="13" borderId="0" xfId="0" applyNumberFormat="1" applyFill="1"/>
    <xf numFmtId="2" fontId="0" fillId="42" borderId="0" xfId="0" applyNumberFormat="1" applyFill="1"/>
    <xf numFmtId="2" fontId="0" fillId="43" borderId="0" xfId="0" applyNumberFormat="1" applyFill="1"/>
    <xf numFmtId="2" fontId="0" fillId="46" borderId="0" xfId="0" applyNumberFormat="1" applyFill="1"/>
    <xf numFmtId="2" fontId="0" fillId="47" borderId="0" xfId="0" applyNumberFormat="1" applyFill="1"/>
    <xf numFmtId="2" fontId="0" fillId="53" borderId="0" xfId="0" applyNumberFormat="1" applyFill="1"/>
    <xf numFmtId="2" fontId="0" fillId="71" borderId="0" xfId="0" applyNumberFormat="1" applyFill="1"/>
    <xf numFmtId="2" fontId="0" fillId="72" borderId="0" xfId="0" applyNumberFormat="1" applyFill="1"/>
    <xf numFmtId="2" fontId="0" fillId="22" borderId="0" xfId="0" applyNumberFormat="1" applyFill="1"/>
    <xf numFmtId="0" fontId="0" fillId="57" borderId="0" xfId="0" applyFill="1"/>
    <xf numFmtId="0" fontId="0" fillId="2" borderId="0" xfId="0" applyFill="1"/>
    <xf numFmtId="0" fontId="7" fillId="0" borderId="0" xfId="0" applyFont="1"/>
    <xf numFmtId="0" fontId="7" fillId="0" borderId="0" xfId="0" applyFont="1" applyAlignment="1">
      <alignment horizontal="right"/>
    </xf>
    <xf numFmtId="0" fontId="0" fillId="23" borderId="0" xfId="0" applyFill="1" applyAlignment="1">
      <alignment vertical="center" wrapText="1"/>
    </xf>
    <xf numFmtId="0" fontId="0" fillId="79" borderId="0" xfId="0" applyFill="1" applyAlignment="1">
      <alignment vertical="center" wrapText="1"/>
    </xf>
    <xf numFmtId="0" fontId="0" fillId="79" borderId="0" xfId="0" applyFill="1"/>
    <xf numFmtId="0" fontId="0" fillId="4" borderId="0" xfId="0" applyFill="1" applyAlignment="1">
      <alignment vertical="center" wrapText="1"/>
    </xf>
    <xf numFmtId="0" fontId="0" fillId="20" borderId="0" xfId="0" applyFill="1" applyAlignment="1">
      <alignment vertical="center" wrapText="1"/>
    </xf>
    <xf numFmtId="0" fontId="0" fillId="19" borderId="0" xfId="0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0" fillId="57" borderId="0" xfId="0" applyFill="1" applyAlignment="1">
      <alignment vertical="center" wrapText="1"/>
    </xf>
    <xf numFmtId="0" fontId="0" fillId="96" borderId="0" xfId="0" applyFill="1"/>
    <xf numFmtId="2" fontId="0" fillId="96" borderId="0" xfId="0" applyNumberFormat="1" applyFill="1" applyAlignment="1">
      <alignment vertical="center" wrapText="1"/>
    </xf>
    <xf numFmtId="2" fontId="0" fillId="97" borderId="0" xfId="0" applyNumberFormat="1" applyFill="1" applyAlignment="1">
      <alignment vertical="center" wrapText="1"/>
    </xf>
    <xf numFmtId="2" fontId="0" fillId="98" borderId="0" xfId="0" applyNumberFormat="1" applyFill="1" applyAlignment="1">
      <alignment vertical="center" wrapText="1"/>
    </xf>
    <xf numFmtId="2" fontId="0" fillId="97" borderId="0" xfId="0" applyNumberFormat="1" applyFill="1"/>
    <xf numFmtId="2" fontId="0" fillId="99" borderId="0" xfId="0" applyNumberFormat="1" applyFill="1"/>
    <xf numFmtId="2" fontId="0" fillId="96" borderId="0" xfId="0" applyNumberFormat="1" applyFill="1"/>
    <xf numFmtId="2" fontId="0" fillId="100" borderId="0" xfId="0" applyNumberFormat="1" applyFill="1"/>
    <xf numFmtId="2" fontId="0" fillId="101" borderId="0" xfId="0" applyNumberFormat="1" applyFill="1" applyAlignment="1">
      <alignment vertical="center" wrapText="1"/>
    </xf>
    <xf numFmtId="2" fontId="0" fillId="99" borderId="0" xfId="0" applyNumberFormat="1" applyFill="1" applyAlignment="1">
      <alignment vertical="center" wrapText="1"/>
    </xf>
    <xf numFmtId="2" fontId="0" fillId="100" borderId="0" xfId="0" applyNumberFormat="1" applyFill="1" applyAlignment="1">
      <alignment vertical="center" wrapText="1"/>
    </xf>
    <xf numFmtId="0" fontId="0" fillId="97" borderId="0" xfId="0" applyFill="1"/>
    <xf numFmtId="2" fontId="0" fillId="101" borderId="0" xfId="0" applyNumberFormat="1" applyFill="1"/>
    <xf numFmtId="2" fontId="0" fillId="98" borderId="0" xfId="0" applyNumberFormat="1" applyFill="1"/>
    <xf numFmtId="0" fontId="0" fillId="97" borderId="0" xfId="0" applyFill="1" applyAlignment="1">
      <alignment vertical="center" wrapText="1"/>
    </xf>
    <xf numFmtId="0" fontId="0" fillId="14" borderId="0" xfId="0" applyFill="1" applyAlignment="1">
      <alignment vertical="center" wrapText="1"/>
    </xf>
    <xf numFmtId="0" fontId="0" fillId="17" borderId="0" xfId="0" applyFill="1" applyAlignment="1">
      <alignment vertical="center" wrapText="1"/>
    </xf>
    <xf numFmtId="0" fontId="0" fillId="12" borderId="0" xfId="0" applyFill="1" applyAlignment="1">
      <alignment vertical="center" wrapText="1"/>
    </xf>
    <xf numFmtId="0" fontId="0" fillId="34" borderId="0" xfId="0" applyFill="1" applyAlignment="1">
      <alignment vertical="center" wrapText="1"/>
    </xf>
    <xf numFmtId="0" fontId="0" fillId="34" borderId="0" xfId="0" applyFill="1"/>
    <xf numFmtId="0" fontId="0" fillId="2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1" xfId="0" applyBorder="1"/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595B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'PCA results'!$A$245</c:f>
              <c:strCache>
                <c:ptCount val="1"/>
                <c:pt idx="0">
                  <c:v>D. acerifoliae 1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results'!$B$245:$B$260</c:f>
              <c:numCache>
                <c:formatCode>0.00</c:formatCode>
                <c:ptCount val="16"/>
                <c:pt idx="0">
                  <c:v>-1.581</c:v>
                </c:pt>
                <c:pt idx="1">
                  <c:v>-1.6763999999999999</c:v>
                </c:pt>
                <c:pt idx="2">
                  <c:v>-1.5976999999999999</c:v>
                </c:pt>
                <c:pt idx="3">
                  <c:v>-1.5733999999999999</c:v>
                </c:pt>
                <c:pt idx="4">
                  <c:v>-1.5943000000000001</c:v>
                </c:pt>
                <c:pt idx="5">
                  <c:v>-1.589</c:v>
                </c:pt>
                <c:pt idx="6">
                  <c:v>-1.6141000000000001</c:v>
                </c:pt>
                <c:pt idx="7">
                  <c:v>-1.6281000000000001</c:v>
                </c:pt>
                <c:pt idx="8">
                  <c:v>-1.6043000000000001</c:v>
                </c:pt>
                <c:pt idx="9">
                  <c:v>-1.5838000000000001</c:v>
                </c:pt>
                <c:pt idx="10">
                  <c:v>-1.5584</c:v>
                </c:pt>
                <c:pt idx="11">
                  <c:v>-1.6113</c:v>
                </c:pt>
                <c:pt idx="12">
                  <c:v>-1.6596</c:v>
                </c:pt>
                <c:pt idx="13">
                  <c:v>-1.6214999999999999</c:v>
                </c:pt>
                <c:pt idx="14">
                  <c:v>-1.6520999999999999</c:v>
                </c:pt>
                <c:pt idx="15">
                  <c:v>-1.6853</c:v>
                </c:pt>
              </c:numCache>
            </c:numRef>
          </c:xVal>
          <c:yVal>
            <c:numRef>
              <c:f>'PCA results'!$C$245:$C$260</c:f>
              <c:numCache>
                <c:formatCode>0.00</c:formatCode>
                <c:ptCount val="16"/>
                <c:pt idx="0">
                  <c:v>1.6529</c:v>
                </c:pt>
                <c:pt idx="1">
                  <c:v>1.6687000000000001</c:v>
                </c:pt>
                <c:pt idx="2">
                  <c:v>1.7042999999999999</c:v>
                </c:pt>
                <c:pt idx="3">
                  <c:v>1.6039000000000001</c:v>
                </c:pt>
                <c:pt idx="4">
                  <c:v>1.7056</c:v>
                </c:pt>
                <c:pt idx="5">
                  <c:v>1.8005</c:v>
                </c:pt>
                <c:pt idx="6">
                  <c:v>1.7031000000000001</c:v>
                </c:pt>
                <c:pt idx="7">
                  <c:v>1.7136</c:v>
                </c:pt>
                <c:pt idx="8">
                  <c:v>1.6788000000000001</c:v>
                </c:pt>
                <c:pt idx="9">
                  <c:v>1.8263</c:v>
                </c:pt>
                <c:pt idx="10">
                  <c:v>1.7541</c:v>
                </c:pt>
                <c:pt idx="11">
                  <c:v>1.6273</c:v>
                </c:pt>
                <c:pt idx="12">
                  <c:v>1.6701999999999999</c:v>
                </c:pt>
                <c:pt idx="13">
                  <c:v>1.5673999999999999</c:v>
                </c:pt>
                <c:pt idx="14">
                  <c:v>1.6691</c:v>
                </c:pt>
                <c:pt idx="15">
                  <c:v>1.6593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3AE-476A-B53A-82F4065329E7}"/>
            </c:ext>
          </c:extLst>
        </c:ser>
        <c:ser>
          <c:idx val="1"/>
          <c:order val="1"/>
          <c:tx>
            <c:strRef>
              <c:f>'PCA results'!$A$261</c:f>
              <c:strCache>
                <c:ptCount val="1"/>
                <c:pt idx="0">
                  <c:v>D. carolinensis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results'!$B$261:$B$275</c:f>
              <c:numCache>
                <c:formatCode>0.00</c:formatCode>
                <c:ptCount val="15"/>
                <c:pt idx="0">
                  <c:v>-1.7346999999999999</c:v>
                </c:pt>
                <c:pt idx="1">
                  <c:v>-1.5992999999999999</c:v>
                </c:pt>
                <c:pt idx="2">
                  <c:v>-1.7312000000000001</c:v>
                </c:pt>
                <c:pt idx="3">
                  <c:v>-1.8396999999999999</c:v>
                </c:pt>
                <c:pt idx="4">
                  <c:v>-1.7702</c:v>
                </c:pt>
                <c:pt idx="5">
                  <c:v>-1.7235</c:v>
                </c:pt>
                <c:pt idx="6">
                  <c:v>-1.7849999999999999</c:v>
                </c:pt>
                <c:pt idx="7">
                  <c:v>-1.7232000000000001</c:v>
                </c:pt>
                <c:pt idx="8">
                  <c:v>-1.6940999999999999</c:v>
                </c:pt>
                <c:pt idx="9">
                  <c:v>-1.7795000000000001</c:v>
                </c:pt>
                <c:pt idx="10">
                  <c:v>-1.768</c:v>
                </c:pt>
                <c:pt idx="11">
                  <c:v>-1.8293999999999999</c:v>
                </c:pt>
                <c:pt idx="12">
                  <c:v>-1.7531000000000001</c:v>
                </c:pt>
                <c:pt idx="13">
                  <c:v>-1.784</c:v>
                </c:pt>
                <c:pt idx="14">
                  <c:v>-1.8055000000000001</c:v>
                </c:pt>
              </c:numCache>
            </c:numRef>
          </c:xVal>
          <c:yVal>
            <c:numRef>
              <c:f>'PCA results'!$C$261:$C$275</c:f>
              <c:numCache>
                <c:formatCode>0.00</c:formatCode>
                <c:ptCount val="15"/>
                <c:pt idx="0">
                  <c:v>0.88473999999999997</c:v>
                </c:pt>
                <c:pt idx="1">
                  <c:v>0.84248000000000001</c:v>
                </c:pt>
                <c:pt idx="2">
                  <c:v>0.99629000000000001</c:v>
                </c:pt>
                <c:pt idx="3">
                  <c:v>0.87248999999999999</c:v>
                </c:pt>
                <c:pt idx="4">
                  <c:v>0.89825999999999995</c:v>
                </c:pt>
                <c:pt idx="5">
                  <c:v>0.94171000000000005</c:v>
                </c:pt>
                <c:pt idx="6">
                  <c:v>0.81235999999999997</c:v>
                </c:pt>
                <c:pt idx="7">
                  <c:v>0.95342000000000005</c:v>
                </c:pt>
                <c:pt idx="8">
                  <c:v>0.93625999999999998</c:v>
                </c:pt>
                <c:pt idx="9">
                  <c:v>0.77793999999999996</c:v>
                </c:pt>
                <c:pt idx="10">
                  <c:v>0.81694</c:v>
                </c:pt>
                <c:pt idx="11">
                  <c:v>0.91888999999999998</c:v>
                </c:pt>
                <c:pt idx="12">
                  <c:v>0.87853999999999999</c:v>
                </c:pt>
                <c:pt idx="13">
                  <c:v>0.91315999999999997</c:v>
                </c:pt>
                <c:pt idx="14">
                  <c:v>0.84814000000000001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AE-476A-B53A-82F4065329E7}"/>
            </c:ext>
          </c:extLst>
        </c:ser>
        <c:ser>
          <c:idx val="2"/>
          <c:order val="2"/>
          <c:tx>
            <c:strRef>
              <c:f>'PCA results'!$A$276</c:f>
              <c:strCache>
                <c:ptCount val="1"/>
                <c:pt idx="0">
                  <c:v>D. choanotricha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results'!$B$276:$B$283</c:f>
              <c:numCache>
                <c:formatCode>0.00</c:formatCode>
                <c:ptCount val="8"/>
                <c:pt idx="0">
                  <c:v>-0.97277000000000002</c:v>
                </c:pt>
                <c:pt idx="1">
                  <c:v>-0.94896000000000003</c:v>
                </c:pt>
                <c:pt idx="2">
                  <c:v>-0.95293000000000005</c:v>
                </c:pt>
                <c:pt idx="3">
                  <c:v>-0.92157999999999995</c:v>
                </c:pt>
                <c:pt idx="4">
                  <c:v>-0.91722000000000004</c:v>
                </c:pt>
                <c:pt idx="5">
                  <c:v>-0.91590000000000005</c:v>
                </c:pt>
                <c:pt idx="6">
                  <c:v>-0.94362999999999997</c:v>
                </c:pt>
                <c:pt idx="7">
                  <c:v>-0.92476000000000003</c:v>
                </c:pt>
              </c:numCache>
            </c:numRef>
          </c:xVal>
          <c:yVal>
            <c:numRef>
              <c:f>'PCA results'!$C$276:$C$283</c:f>
              <c:numCache>
                <c:formatCode>0.00</c:formatCode>
                <c:ptCount val="8"/>
                <c:pt idx="0">
                  <c:v>-2.1857999999999999E-2</c:v>
                </c:pt>
                <c:pt idx="1">
                  <c:v>-5.2041999999999998E-2</c:v>
                </c:pt>
                <c:pt idx="2">
                  <c:v>7.8882999999999995E-2</c:v>
                </c:pt>
                <c:pt idx="3">
                  <c:v>4.2379E-2</c:v>
                </c:pt>
                <c:pt idx="4">
                  <c:v>4.7194E-2</c:v>
                </c:pt>
                <c:pt idx="5">
                  <c:v>0.19819999999999999</c:v>
                </c:pt>
                <c:pt idx="6">
                  <c:v>3.9972000000000001E-2</c:v>
                </c:pt>
                <c:pt idx="7">
                  <c:v>-3.7031000000000001E-2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3AE-476A-B53A-82F4065329E7}"/>
            </c:ext>
          </c:extLst>
        </c:ser>
        <c:ser>
          <c:idx val="3"/>
          <c:order val="3"/>
          <c:tx>
            <c:strRef>
              <c:f>'PCA results'!$A$284</c:f>
              <c:strCache>
                <c:ptCount val="1"/>
                <c:pt idx="0">
                  <c:v>D. granovskyi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results'!$B$284:$B$292</c:f>
              <c:numCache>
                <c:formatCode>0.00</c:formatCode>
                <c:ptCount val="9"/>
                <c:pt idx="0">
                  <c:v>0.20172000000000001</c:v>
                </c:pt>
                <c:pt idx="1">
                  <c:v>0.30057</c:v>
                </c:pt>
                <c:pt idx="2">
                  <c:v>0.36171999999999999</c:v>
                </c:pt>
                <c:pt idx="3">
                  <c:v>0.36807000000000001</c:v>
                </c:pt>
                <c:pt idx="4">
                  <c:v>0.36429</c:v>
                </c:pt>
                <c:pt idx="5">
                  <c:v>0.40437000000000001</c:v>
                </c:pt>
                <c:pt idx="6">
                  <c:v>0.33778000000000002</c:v>
                </c:pt>
                <c:pt idx="7">
                  <c:v>0.36953999999999998</c:v>
                </c:pt>
                <c:pt idx="8">
                  <c:v>0.30819000000000002</c:v>
                </c:pt>
              </c:numCache>
            </c:numRef>
          </c:xVal>
          <c:yVal>
            <c:numRef>
              <c:f>'PCA results'!$C$284:$C$292</c:f>
              <c:numCache>
                <c:formatCode>0.00</c:formatCode>
                <c:ptCount val="9"/>
                <c:pt idx="0">
                  <c:v>-1.454</c:v>
                </c:pt>
                <c:pt idx="1">
                  <c:v>-1.4118999999999999</c:v>
                </c:pt>
                <c:pt idx="2">
                  <c:v>-1.2266999999999999</c:v>
                </c:pt>
                <c:pt idx="3">
                  <c:v>-1.2827</c:v>
                </c:pt>
                <c:pt idx="4">
                  <c:v>-1.2777000000000001</c:v>
                </c:pt>
                <c:pt idx="5">
                  <c:v>-1.2762</c:v>
                </c:pt>
                <c:pt idx="6">
                  <c:v>-1.2609999999999999</c:v>
                </c:pt>
                <c:pt idx="7">
                  <c:v>-1.2514000000000001</c:v>
                </c:pt>
                <c:pt idx="8">
                  <c:v>-1.4125000000000001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3AE-476A-B53A-82F4065329E7}"/>
            </c:ext>
          </c:extLst>
        </c:ser>
        <c:ser>
          <c:idx val="4"/>
          <c:order val="4"/>
          <c:tx>
            <c:strRef>
              <c:f>'PCA results'!$A$293</c:f>
              <c:strCache>
                <c:ptCount val="1"/>
                <c:pt idx="0">
                  <c:v>D. idahoensis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C595B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results'!$B$293:$B$301</c:f>
              <c:numCache>
                <c:formatCode>0.00</c:formatCode>
                <c:ptCount val="9"/>
                <c:pt idx="0">
                  <c:v>-1.9815</c:v>
                </c:pt>
                <c:pt idx="1">
                  <c:v>-2.0350999999999999</c:v>
                </c:pt>
                <c:pt idx="2">
                  <c:v>-2.0139999999999998</c:v>
                </c:pt>
                <c:pt idx="3">
                  <c:v>-2.0074999999999998</c:v>
                </c:pt>
                <c:pt idx="4">
                  <c:v>-1.8905000000000001</c:v>
                </c:pt>
                <c:pt idx="5">
                  <c:v>-1.8777999999999999</c:v>
                </c:pt>
                <c:pt idx="6">
                  <c:v>-1.9186000000000001</c:v>
                </c:pt>
                <c:pt idx="7">
                  <c:v>-1.8803000000000001</c:v>
                </c:pt>
                <c:pt idx="8">
                  <c:v>-1.9839</c:v>
                </c:pt>
              </c:numCache>
            </c:numRef>
          </c:xVal>
          <c:yVal>
            <c:numRef>
              <c:f>'PCA results'!$C$293:$C$301</c:f>
              <c:numCache>
                <c:formatCode>0.00</c:formatCode>
                <c:ptCount val="9"/>
                <c:pt idx="0">
                  <c:v>-0.25807000000000002</c:v>
                </c:pt>
                <c:pt idx="1">
                  <c:v>-0.2024</c:v>
                </c:pt>
                <c:pt idx="2">
                  <c:v>-0.19744999999999999</c:v>
                </c:pt>
                <c:pt idx="3">
                  <c:v>-0.1062</c:v>
                </c:pt>
                <c:pt idx="4">
                  <c:v>-0.18049000000000001</c:v>
                </c:pt>
                <c:pt idx="5">
                  <c:v>-0.16707</c:v>
                </c:pt>
                <c:pt idx="6">
                  <c:v>-0.14610999999999999</c:v>
                </c:pt>
                <c:pt idx="7">
                  <c:v>-0.13472999999999999</c:v>
                </c:pt>
                <c:pt idx="8">
                  <c:v>-9.3696000000000002E-2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3AE-476A-B53A-82F4065329E7}"/>
            </c:ext>
          </c:extLst>
        </c:ser>
        <c:ser>
          <c:idx val="5"/>
          <c:order val="5"/>
          <c:tx>
            <c:strRef>
              <c:f>'PCA results'!$A$302</c:f>
              <c:strCache>
                <c:ptCount val="1"/>
                <c:pt idx="0">
                  <c:v>D. kanzensis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results'!$B$302:$B$313</c:f>
              <c:numCache>
                <c:formatCode>0.00</c:formatCode>
                <c:ptCount val="12"/>
                <c:pt idx="0">
                  <c:v>-0.67145999999999995</c:v>
                </c:pt>
                <c:pt idx="1">
                  <c:v>-0.66820999999999997</c:v>
                </c:pt>
                <c:pt idx="2">
                  <c:v>-0.61453999999999998</c:v>
                </c:pt>
                <c:pt idx="3">
                  <c:v>-0.72158</c:v>
                </c:pt>
                <c:pt idx="4">
                  <c:v>-0.66910999999999998</c:v>
                </c:pt>
                <c:pt idx="5">
                  <c:v>-0.67362</c:v>
                </c:pt>
                <c:pt idx="6">
                  <c:v>-0.63875999999999999</c:v>
                </c:pt>
                <c:pt idx="7">
                  <c:v>-0.75587000000000004</c:v>
                </c:pt>
                <c:pt idx="8">
                  <c:v>-0.72626999999999997</c:v>
                </c:pt>
                <c:pt idx="9">
                  <c:v>-0.68827000000000005</c:v>
                </c:pt>
                <c:pt idx="10">
                  <c:v>-0.67101999999999995</c:v>
                </c:pt>
                <c:pt idx="11">
                  <c:v>-0.69877</c:v>
                </c:pt>
              </c:numCache>
            </c:numRef>
          </c:xVal>
          <c:yVal>
            <c:numRef>
              <c:f>'PCA results'!$C$302:$C$313</c:f>
              <c:numCache>
                <c:formatCode>0.00</c:formatCode>
                <c:ptCount val="12"/>
                <c:pt idx="0">
                  <c:v>-1.3816999999999999</c:v>
                </c:pt>
                <c:pt idx="1">
                  <c:v>-1.3875999999999999</c:v>
                </c:pt>
                <c:pt idx="2">
                  <c:v>-1.3945000000000001</c:v>
                </c:pt>
                <c:pt idx="3">
                  <c:v>-1.5205</c:v>
                </c:pt>
                <c:pt idx="4">
                  <c:v>-1.4472</c:v>
                </c:pt>
                <c:pt idx="5">
                  <c:v>-1.5446</c:v>
                </c:pt>
                <c:pt idx="6">
                  <c:v>-1.4189000000000001</c:v>
                </c:pt>
                <c:pt idx="7">
                  <c:v>-1.3571</c:v>
                </c:pt>
                <c:pt idx="8">
                  <c:v>-1.4207000000000001</c:v>
                </c:pt>
                <c:pt idx="9">
                  <c:v>-1.3301000000000001</c:v>
                </c:pt>
                <c:pt idx="10">
                  <c:v>-1.4288000000000001</c:v>
                </c:pt>
                <c:pt idx="11">
                  <c:v>-1.41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3AE-476A-B53A-82F4065329E7}"/>
            </c:ext>
          </c:extLst>
        </c:ser>
        <c:ser>
          <c:idx val="6"/>
          <c:order val="6"/>
          <c:tx>
            <c:strRef>
              <c:f>'PCA results'!$A$314</c:f>
              <c:strCache>
                <c:ptCount val="1"/>
                <c:pt idx="0">
                  <c:v>D. keshenae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00206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results'!$B$314:$B$322</c:f>
              <c:numCache>
                <c:formatCode>0.00</c:formatCode>
                <c:ptCount val="9"/>
                <c:pt idx="0">
                  <c:v>1.5422</c:v>
                </c:pt>
                <c:pt idx="1">
                  <c:v>1.4269000000000001</c:v>
                </c:pt>
                <c:pt idx="2">
                  <c:v>1.5426</c:v>
                </c:pt>
                <c:pt idx="3">
                  <c:v>1.4543999999999999</c:v>
                </c:pt>
                <c:pt idx="4">
                  <c:v>1.4958</c:v>
                </c:pt>
                <c:pt idx="5">
                  <c:v>1.3967000000000001</c:v>
                </c:pt>
                <c:pt idx="6">
                  <c:v>1.3409</c:v>
                </c:pt>
                <c:pt idx="7">
                  <c:v>1.4491000000000001</c:v>
                </c:pt>
                <c:pt idx="8">
                  <c:v>1.4160999999999999</c:v>
                </c:pt>
              </c:numCache>
            </c:numRef>
          </c:xVal>
          <c:yVal>
            <c:numRef>
              <c:f>'PCA results'!$C$314:$C$322</c:f>
              <c:numCache>
                <c:formatCode>0.00</c:formatCode>
                <c:ptCount val="9"/>
                <c:pt idx="0">
                  <c:v>0.87158000000000002</c:v>
                </c:pt>
                <c:pt idx="1">
                  <c:v>0.79337000000000002</c:v>
                </c:pt>
                <c:pt idx="2">
                  <c:v>0.77708999999999995</c:v>
                </c:pt>
                <c:pt idx="3">
                  <c:v>0.77986</c:v>
                </c:pt>
                <c:pt idx="4">
                  <c:v>0.81455</c:v>
                </c:pt>
                <c:pt idx="5">
                  <c:v>0.89529000000000003</c:v>
                </c:pt>
                <c:pt idx="6">
                  <c:v>0.78188000000000002</c:v>
                </c:pt>
                <c:pt idx="7">
                  <c:v>0.78320000000000001</c:v>
                </c:pt>
                <c:pt idx="8">
                  <c:v>0.73816999999999999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3AE-476A-B53A-82F4065329E7}"/>
            </c:ext>
          </c:extLst>
        </c:ser>
        <c:ser>
          <c:idx val="7"/>
          <c:order val="7"/>
          <c:tx>
            <c:strRef>
              <c:f>'PCA results'!$A$323</c:f>
              <c:strCache>
                <c:ptCount val="1"/>
                <c:pt idx="0">
                  <c:v>D. knowltoni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924F0C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results'!$B$323:$B$332</c:f>
              <c:numCache>
                <c:formatCode>0.00</c:formatCode>
                <c:ptCount val="10"/>
                <c:pt idx="0">
                  <c:v>1.3619000000000001</c:v>
                </c:pt>
                <c:pt idx="1">
                  <c:v>1.3764000000000001</c:v>
                </c:pt>
                <c:pt idx="2">
                  <c:v>1.3607</c:v>
                </c:pt>
                <c:pt idx="3">
                  <c:v>1.4881</c:v>
                </c:pt>
                <c:pt idx="4">
                  <c:v>1.5353000000000001</c:v>
                </c:pt>
                <c:pt idx="5">
                  <c:v>1.4784999999999999</c:v>
                </c:pt>
                <c:pt idx="6">
                  <c:v>1.4993000000000001</c:v>
                </c:pt>
                <c:pt idx="7">
                  <c:v>1.3918999999999999</c:v>
                </c:pt>
                <c:pt idx="8">
                  <c:v>1.468</c:v>
                </c:pt>
                <c:pt idx="9">
                  <c:v>1.4710000000000001</c:v>
                </c:pt>
              </c:numCache>
            </c:numRef>
          </c:xVal>
          <c:yVal>
            <c:numRef>
              <c:f>'PCA results'!$C$323:$C$332</c:f>
              <c:numCache>
                <c:formatCode>0.00</c:formatCode>
                <c:ptCount val="10"/>
                <c:pt idx="0">
                  <c:v>1.2142999999999999</c:v>
                </c:pt>
                <c:pt idx="1">
                  <c:v>1.3391</c:v>
                </c:pt>
                <c:pt idx="2">
                  <c:v>1.2229000000000001</c:v>
                </c:pt>
                <c:pt idx="3">
                  <c:v>1.2596000000000001</c:v>
                </c:pt>
                <c:pt idx="4">
                  <c:v>1.3454999999999999</c:v>
                </c:pt>
                <c:pt idx="5">
                  <c:v>1.3796999999999999</c:v>
                </c:pt>
                <c:pt idx="6">
                  <c:v>1.2148000000000001</c:v>
                </c:pt>
                <c:pt idx="7">
                  <c:v>1.2020999999999999</c:v>
                </c:pt>
                <c:pt idx="8">
                  <c:v>1.4085000000000001</c:v>
                </c:pt>
                <c:pt idx="9">
                  <c:v>1.3338000000000001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3AE-476A-B53A-82F4065329E7}"/>
            </c:ext>
          </c:extLst>
        </c:ser>
        <c:ser>
          <c:idx val="8"/>
          <c:order val="8"/>
          <c:tx>
            <c:strRef>
              <c:f>'PCA results'!$A$333</c:f>
              <c:strCache>
                <c:ptCount val="1"/>
                <c:pt idx="0">
                  <c:v>D. monelli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results'!$B$333:$B$342</c:f>
              <c:numCache>
                <c:formatCode>0.00</c:formatCode>
                <c:ptCount val="10"/>
                <c:pt idx="0">
                  <c:v>1.2941</c:v>
                </c:pt>
                <c:pt idx="1">
                  <c:v>1.2859</c:v>
                </c:pt>
                <c:pt idx="2">
                  <c:v>1.2870999999999999</c:v>
                </c:pt>
                <c:pt idx="3">
                  <c:v>1.1634</c:v>
                </c:pt>
                <c:pt idx="4">
                  <c:v>1.0873999999999999</c:v>
                </c:pt>
                <c:pt idx="5">
                  <c:v>1.1246</c:v>
                </c:pt>
                <c:pt idx="6">
                  <c:v>1.1074999999999999</c:v>
                </c:pt>
                <c:pt idx="7">
                  <c:v>1.1641999999999999</c:v>
                </c:pt>
                <c:pt idx="8">
                  <c:v>1.2287999999999999</c:v>
                </c:pt>
                <c:pt idx="9">
                  <c:v>1.2354000000000001</c:v>
                </c:pt>
              </c:numCache>
            </c:numRef>
          </c:xVal>
          <c:yVal>
            <c:numRef>
              <c:f>'PCA results'!$C$333:$C$342</c:f>
              <c:numCache>
                <c:formatCode>0.00</c:formatCode>
                <c:ptCount val="10"/>
                <c:pt idx="0">
                  <c:v>0.69323999999999997</c:v>
                </c:pt>
                <c:pt idx="1">
                  <c:v>0.71233999999999997</c:v>
                </c:pt>
                <c:pt idx="2">
                  <c:v>0.87344999999999995</c:v>
                </c:pt>
                <c:pt idx="3">
                  <c:v>0.76578999999999997</c:v>
                </c:pt>
                <c:pt idx="4">
                  <c:v>0.90766000000000002</c:v>
                </c:pt>
                <c:pt idx="5">
                  <c:v>0.85219999999999996</c:v>
                </c:pt>
                <c:pt idx="6">
                  <c:v>0.90088000000000001</c:v>
                </c:pt>
                <c:pt idx="7">
                  <c:v>0.88843000000000005</c:v>
                </c:pt>
                <c:pt idx="8">
                  <c:v>0.82796000000000003</c:v>
                </c:pt>
                <c:pt idx="9">
                  <c:v>0.83872000000000002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23AE-476A-B53A-82F4065329E7}"/>
            </c:ext>
          </c:extLst>
        </c:ser>
        <c:ser>
          <c:idx val="9"/>
          <c:order val="9"/>
          <c:tx>
            <c:strRef>
              <c:f>'PCA results'!$A$343</c:f>
              <c:strCache>
                <c:ptCount val="1"/>
                <c:pt idx="0">
                  <c:v>D. nigricans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33CAF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results'!$B$343:$B$355</c:f>
              <c:numCache>
                <c:formatCode>0.00</c:formatCode>
                <c:ptCount val="13"/>
                <c:pt idx="0">
                  <c:v>-1.0763</c:v>
                </c:pt>
                <c:pt idx="1">
                  <c:v>-1.0422</c:v>
                </c:pt>
                <c:pt idx="2">
                  <c:v>-1.0471999999999999</c:v>
                </c:pt>
                <c:pt idx="3">
                  <c:v>-1.0482</c:v>
                </c:pt>
                <c:pt idx="4">
                  <c:v>-1.008</c:v>
                </c:pt>
                <c:pt idx="5">
                  <c:v>-1.0780000000000001</c:v>
                </c:pt>
                <c:pt idx="6">
                  <c:v>-1.0366</c:v>
                </c:pt>
                <c:pt idx="7">
                  <c:v>-1.0376000000000001</c:v>
                </c:pt>
                <c:pt idx="8">
                  <c:v>-1.0503</c:v>
                </c:pt>
                <c:pt idx="9">
                  <c:v>-0.96679999999999999</c:v>
                </c:pt>
                <c:pt idx="10">
                  <c:v>-1.1007</c:v>
                </c:pt>
                <c:pt idx="11">
                  <c:v>-1.0799000000000001</c:v>
                </c:pt>
                <c:pt idx="12">
                  <c:v>-1.0678000000000001</c:v>
                </c:pt>
              </c:numCache>
            </c:numRef>
          </c:xVal>
          <c:yVal>
            <c:numRef>
              <c:f>'PCA results'!$C$343:$C$355</c:f>
              <c:numCache>
                <c:formatCode>0.00</c:formatCode>
                <c:ptCount val="13"/>
                <c:pt idx="0">
                  <c:v>-0.2636</c:v>
                </c:pt>
                <c:pt idx="1">
                  <c:v>-0.37262000000000001</c:v>
                </c:pt>
                <c:pt idx="2">
                  <c:v>-0.16735</c:v>
                </c:pt>
                <c:pt idx="3">
                  <c:v>-0.16445000000000001</c:v>
                </c:pt>
                <c:pt idx="4">
                  <c:v>-0.22520000000000001</c:v>
                </c:pt>
                <c:pt idx="5">
                  <c:v>-0.20466000000000001</c:v>
                </c:pt>
                <c:pt idx="6">
                  <c:v>-0.19522999999999999</c:v>
                </c:pt>
                <c:pt idx="7">
                  <c:v>-0.17054</c:v>
                </c:pt>
                <c:pt idx="8">
                  <c:v>-0.21687000000000001</c:v>
                </c:pt>
                <c:pt idx="9">
                  <c:v>-0.18268999999999999</c:v>
                </c:pt>
                <c:pt idx="10">
                  <c:v>-0.17348</c:v>
                </c:pt>
                <c:pt idx="11">
                  <c:v>-0.15226999999999999</c:v>
                </c:pt>
                <c:pt idx="12">
                  <c:v>-0.29944999999999999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23AE-476A-B53A-82F4065329E7}"/>
            </c:ext>
          </c:extLst>
        </c:ser>
        <c:ser>
          <c:idx val="10"/>
          <c:order val="10"/>
          <c:tx>
            <c:strRef>
              <c:f>'PCA results'!$A$356</c:f>
              <c:strCache>
                <c:ptCount val="1"/>
                <c:pt idx="0">
                  <c:v>D. parva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results'!$B$356:$B$365</c:f>
              <c:numCache>
                <c:formatCode>0.00</c:formatCode>
                <c:ptCount val="10"/>
                <c:pt idx="0">
                  <c:v>-1.9473</c:v>
                </c:pt>
                <c:pt idx="1">
                  <c:v>-1.9983</c:v>
                </c:pt>
                <c:pt idx="2">
                  <c:v>-1.915</c:v>
                </c:pt>
                <c:pt idx="3">
                  <c:v>-2.0091999999999999</c:v>
                </c:pt>
                <c:pt idx="4">
                  <c:v>-2.0327999999999999</c:v>
                </c:pt>
                <c:pt idx="5">
                  <c:v>-2.0024000000000002</c:v>
                </c:pt>
                <c:pt idx="6">
                  <c:v>-2.0379</c:v>
                </c:pt>
                <c:pt idx="7">
                  <c:v>-2.0870000000000002</c:v>
                </c:pt>
                <c:pt idx="8">
                  <c:v>-2.0541</c:v>
                </c:pt>
                <c:pt idx="9">
                  <c:v>-2.1057000000000001</c:v>
                </c:pt>
              </c:numCache>
            </c:numRef>
          </c:xVal>
          <c:yVal>
            <c:numRef>
              <c:f>'PCA results'!$C$356:$C$365</c:f>
              <c:numCache>
                <c:formatCode>0.00</c:formatCode>
                <c:ptCount val="10"/>
                <c:pt idx="0">
                  <c:v>0.10956</c:v>
                </c:pt>
                <c:pt idx="1">
                  <c:v>0.15056</c:v>
                </c:pt>
                <c:pt idx="2">
                  <c:v>0.12503</c:v>
                </c:pt>
                <c:pt idx="3">
                  <c:v>0.14218</c:v>
                </c:pt>
                <c:pt idx="4">
                  <c:v>0.19211</c:v>
                </c:pt>
                <c:pt idx="5">
                  <c:v>0.10854</c:v>
                </c:pt>
                <c:pt idx="6">
                  <c:v>0.19161</c:v>
                </c:pt>
                <c:pt idx="7">
                  <c:v>0.12225999999999999</c:v>
                </c:pt>
                <c:pt idx="8">
                  <c:v>0.16349</c:v>
                </c:pt>
                <c:pt idx="9">
                  <c:v>0.18432000000000001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23AE-476A-B53A-82F4065329E7}"/>
            </c:ext>
          </c:extLst>
        </c:ser>
        <c:ser>
          <c:idx val="11"/>
          <c:order val="11"/>
          <c:tx>
            <c:strRef>
              <c:f>'PCA results'!$A$366</c:f>
              <c:strCache>
                <c:ptCount val="1"/>
                <c:pt idx="0">
                  <c:v>D. sabrinae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results'!$B$366:$B$379</c:f>
              <c:numCache>
                <c:formatCode>0.00</c:formatCode>
                <c:ptCount val="14"/>
                <c:pt idx="0">
                  <c:v>3.7239</c:v>
                </c:pt>
                <c:pt idx="1">
                  <c:v>3.6850999999999998</c:v>
                </c:pt>
                <c:pt idx="2">
                  <c:v>3.7336</c:v>
                </c:pt>
                <c:pt idx="3">
                  <c:v>3.7315</c:v>
                </c:pt>
                <c:pt idx="4">
                  <c:v>3.5341</c:v>
                </c:pt>
                <c:pt idx="5">
                  <c:v>3.5880000000000001</c:v>
                </c:pt>
                <c:pt idx="6">
                  <c:v>3.5322</c:v>
                </c:pt>
                <c:pt idx="7">
                  <c:v>3.5436000000000001</c:v>
                </c:pt>
                <c:pt idx="8">
                  <c:v>3.5573000000000001</c:v>
                </c:pt>
                <c:pt idx="9">
                  <c:v>3.5911</c:v>
                </c:pt>
                <c:pt idx="10">
                  <c:v>3.5665</c:v>
                </c:pt>
                <c:pt idx="11">
                  <c:v>3.5741999999999998</c:v>
                </c:pt>
                <c:pt idx="12">
                  <c:v>3.5057999999999998</c:v>
                </c:pt>
                <c:pt idx="13">
                  <c:v>3.5323000000000002</c:v>
                </c:pt>
              </c:numCache>
            </c:numRef>
          </c:xVal>
          <c:yVal>
            <c:numRef>
              <c:f>'PCA results'!$C$366:$C$379</c:f>
              <c:numCache>
                <c:formatCode>0.00</c:formatCode>
                <c:ptCount val="14"/>
                <c:pt idx="0">
                  <c:v>0.11221</c:v>
                </c:pt>
                <c:pt idx="1">
                  <c:v>0.17796999999999999</c:v>
                </c:pt>
                <c:pt idx="2">
                  <c:v>0.19266</c:v>
                </c:pt>
                <c:pt idx="3">
                  <c:v>0.11891</c:v>
                </c:pt>
                <c:pt idx="4">
                  <c:v>0.11724999999999999</c:v>
                </c:pt>
                <c:pt idx="5">
                  <c:v>0.11543</c:v>
                </c:pt>
                <c:pt idx="6">
                  <c:v>2.3085999999999999E-2</c:v>
                </c:pt>
                <c:pt idx="7">
                  <c:v>9.8071000000000005E-2</c:v>
                </c:pt>
                <c:pt idx="8">
                  <c:v>7.5511999999999996E-2</c:v>
                </c:pt>
                <c:pt idx="9">
                  <c:v>5.8520000000000003E-2</c:v>
                </c:pt>
                <c:pt idx="10">
                  <c:v>0.13669999999999999</c:v>
                </c:pt>
                <c:pt idx="11">
                  <c:v>4.4853999999999998E-2</c:v>
                </c:pt>
                <c:pt idx="12">
                  <c:v>0.10648000000000001</c:v>
                </c:pt>
                <c:pt idx="13">
                  <c:v>7.8148999999999996E-2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23AE-476A-B53A-82F4065329E7}"/>
            </c:ext>
          </c:extLst>
        </c:ser>
        <c:ser>
          <c:idx val="12"/>
          <c:order val="12"/>
          <c:tx>
            <c:strRef>
              <c:f>'PCA results'!$A$380</c:f>
              <c:strCache>
                <c:ptCount val="1"/>
                <c:pt idx="0">
                  <c:v>D. saccharini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results'!$B$380:$B$393</c:f>
              <c:numCache>
                <c:formatCode>0.00</c:formatCode>
                <c:ptCount val="14"/>
                <c:pt idx="0">
                  <c:v>-1.7637</c:v>
                </c:pt>
                <c:pt idx="1">
                  <c:v>-1.7486999999999999</c:v>
                </c:pt>
                <c:pt idx="2">
                  <c:v>-1.7479</c:v>
                </c:pt>
                <c:pt idx="3">
                  <c:v>-1.7659</c:v>
                </c:pt>
                <c:pt idx="4">
                  <c:v>-1.7547999999999999</c:v>
                </c:pt>
                <c:pt idx="5">
                  <c:v>-1.7272000000000001</c:v>
                </c:pt>
                <c:pt idx="6">
                  <c:v>-1.7785</c:v>
                </c:pt>
                <c:pt idx="7">
                  <c:v>-1.7019</c:v>
                </c:pt>
                <c:pt idx="8">
                  <c:v>-1.7126999999999999</c:v>
                </c:pt>
                <c:pt idx="9">
                  <c:v>-1.7221</c:v>
                </c:pt>
                <c:pt idx="10">
                  <c:v>-1.7124999999999999</c:v>
                </c:pt>
                <c:pt idx="11">
                  <c:v>-1.7346999999999999</c:v>
                </c:pt>
                <c:pt idx="12">
                  <c:v>-1.7513000000000001</c:v>
                </c:pt>
                <c:pt idx="13">
                  <c:v>-1.7253000000000001</c:v>
                </c:pt>
              </c:numCache>
            </c:numRef>
          </c:xVal>
          <c:yVal>
            <c:numRef>
              <c:f>'PCA results'!$C$380:$C$393</c:f>
              <c:numCache>
                <c:formatCode>0.00</c:formatCode>
                <c:ptCount val="14"/>
                <c:pt idx="0">
                  <c:v>-1.0337000000000001</c:v>
                </c:pt>
                <c:pt idx="1">
                  <c:v>-1.1752</c:v>
                </c:pt>
                <c:pt idx="2">
                  <c:v>-1.0063</c:v>
                </c:pt>
                <c:pt idx="3">
                  <c:v>-1.1178999999999999</c:v>
                </c:pt>
                <c:pt idx="4">
                  <c:v>-1.0308999999999999</c:v>
                </c:pt>
                <c:pt idx="5">
                  <c:v>-1.0929</c:v>
                </c:pt>
                <c:pt idx="6">
                  <c:v>-1.1089</c:v>
                </c:pt>
                <c:pt idx="7">
                  <c:v>-1.0567</c:v>
                </c:pt>
                <c:pt idx="8">
                  <c:v>-1.0379</c:v>
                </c:pt>
                <c:pt idx="9">
                  <c:v>-1.0379</c:v>
                </c:pt>
                <c:pt idx="10">
                  <c:v>-1.1228</c:v>
                </c:pt>
                <c:pt idx="11">
                  <c:v>-1.05</c:v>
                </c:pt>
                <c:pt idx="12">
                  <c:v>-1.0716000000000001</c:v>
                </c:pt>
                <c:pt idx="13">
                  <c:v>-1.0644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23AE-476A-B53A-82F4065329E7}"/>
            </c:ext>
          </c:extLst>
        </c:ser>
        <c:ser>
          <c:idx val="14"/>
          <c:order val="13"/>
          <c:tx>
            <c:strRef>
              <c:f>'PCA results'!$A$394</c:f>
              <c:strCache>
                <c:ptCount val="1"/>
                <c:pt idx="0">
                  <c:v>D. simpsoni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results'!$B$394:$B$404</c:f>
              <c:numCache>
                <c:formatCode>0.00</c:formatCode>
                <c:ptCount val="11"/>
                <c:pt idx="0">
                  <c:v>2.1192000000000002</c:v>
                </c:pt>
                <c:pt idx="1">
                  <c:v>2.1080000000000001</c:v>
                </c:pt>
                <c:pt idx="2">
                  <c:v>2.1322000000000001</c:v>
                </c:pt>
                <c:pt idx="3">
                  <c:v>2.1951000000000001</c:v>
                </c:pt>
                <c:pt idx="4">
                  <c:v>2.1863000000000001</c:v>
                </c:pt>
                <c:pt idx="5">
                  <c:v>2.1253000000000002</c:v>
                </c:pt>
                <c:pt idx="6">
                  <c:v>2.0813999999999999</c:v>
                </c:pt>
                <c:pt idx="7">
                  <c:v>2.2019000000000002</c:v>
                </c:pt>
                <c:pt idx="8">
                  <c:v>2.1097000000000001</c:v>
                </c:pt>
                <c:pt idx="9">
                  <c:v>2.1454</c:v>
                </c:pt>
                <c:pt idx="10">
                  <c:v>2.1358000000000001</c:v>
                </c:pt>
              </c:numCache>
            </c:numRef>
          </c:xVal>
          <c:yVal>
            <c:numRef>
              <c:f>'PCA results'!$C$394:$C$404</c:f>
              <c:numCache>
                <c:formatCode>0.00</c:formatCode>
                <c:ptCount val="11"/>
                <c:pt idx="0">
                  <c:v>-1.3475999999999999</c:v>
                </c:pt>
                <c:pt idx="1">
                  <c:v>-1.4529000000000001</c:v>
                </c:pt>
                <c:pt idx="2">
                  <c:v>-1.3479000000000001</c:v>
                </c:pt>
                <c:pt idx="3">
                  <c:v>-1.4419999999999999</c:v>
                </c:pt>
                <c:pt idx="4">
                  <c:v>-1.3482000000000001</c:v>
                </c:pt>
                <c:pt idx="5">
                  <c:v>-1.41</c:v>
                </c:pt>
                <c:pt idx="6">
                  <c:v>-1.4790000000000001</c:v>
                </c:pt>
                <c:pt idx="7">
                  <c:v>-1.4490000000000001</c:v>
                </c:pt>
                <c:pt idx="8">
                  <c:v>-1.3432999999999999</c:v>
                </c:pt>
                <c:pt idx="9">
                  <c:v>-1.4257</c:v>
                </c:pt>
                <c:pt idx="10">
                  <c:v>-1.3376999999999999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23AE-476A-B53A-82F4065329E7}"/>
            </c:ext>
          </c:extLst>
        </c:ser>
        <c:ser>
          <c:idx val="13"/>
          <c:order val="14"/>
          <c:tx>
            <c:strRef>
              <c:f>'PCA results'!$A$405</c:f>
              <c:strCache>
                <c:ptCount val="1"/>
                <c:pt idx="0">
                  <c:v>D. spicata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results'!$B$405:$B$416</c:f>
              <c:numCache>
                <c:formatCode>0.00</c:formatCode>
                <c:ptCount val="12"/>
                <c:pt idx="0">
                  <c:v>1.2649999999999999</c:v>
                </c:pt>
                <c:pt idx="1">
                  <c:v>1.3388</c:v>
                </c:pt>
                <c:pt idx="2">
                  <c:v>1.216</c:v>
                </c:pt>
                <c:pt idx="3">
                  <c:v>1.1658999999999999</c:v>
                </c:pt>
                <c:pt idx="4">
                  <c:v>1.3294999999999999</c:v>
                </c:pt>
                <c:pt idx="5">
                  <c:v>1.2565999999999999</c:v>
                </c:pt>
                <c:pt idx="6">
                  <c:v>1.2786999999999999</c:v>
                </c:pt>
                <c:pt idx="7">
                  <c:v>1.2746999999999999</c:v>
                </c:pt>
                <c:pt idx="8">
                  <c:v>1.2950999999999999</c:v>
                </c:pt>
                <c:pt idx="9">
                  <c:v>1.2583</c:v>
                </c:pt>
                <c:pt idx="10">
                  <c:v>1.3018000000000001</c:v>
                </c:pt>
                <c:pt idx="11">
                  <c:v>1.2538</c:v>
                </c:pt>
              </c:numCache>
            </c:numRef>
          </c:xVal>
          <c:yVal>
            <c:numRef>
              <c:f>'PCA results'!$C$405:$C$416</c:f>
              <c:numCache>
                <c:formatCode>0.00</c:formatCode>
                <c:ptCount val="12"/>
                <c:pt idx="0">
                  <c:v>1.8646</c:v>
                </c:pt>
                <c:pt idx="1">
                  <c:v>1.9375</c:v>
                </c:pt>
                <c:pt idx="2">
                  <c:v>1.8919999999999999</c:v>
                </c:pt>
                <c:pt idx="3">
                  <c:v>1.8360000000000001</c:v>
                </c:pt>
                <c:pt idx="4">
                  <c:v>1.7798</c:v>
                </c:pt>
                <c:pt idx="5">
                  <c:v>1.8361000000000001</c:v>
                </c:pt>
                <c:pt idx="6">
                  <c:v>1.9114</c:v>
                </c:pt>
                <c:pt idx="7">
                  <c:v>1.9061999999999999</c:v>
                </c:pt>
                <c:pt idx="8">
                  <c:v>1.9349000000000001</c:v>
                </c:pt>
                <c:pt idx="9">
                  <c:v>1.9899</c:v>
                </c:pt>
                <c:pt idx="10">
                  <c:v>2.0028999999999999</c:v>
                </c:pt>
                <c:pt idx="11">
                  <c:v>1.8392999999999999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23AE-476A-B53A-82F4065329E7}"/>
            </c:ext>
          </c:extLst>
        </c:ser>
        <c:ser>
          <c:idx val="15"/>
          <c:order val="15"/>
          <c:tx>
            <c:strRef>
              <c:f>'PCA results'!$A$417</c:f>
              <c:strCache>
                <c:ptCount val="1"/>
                <c:pt idx="0">
                  <c:v>D. tissoti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results'!$B$417:$B$432</c:f>
              <c:numCache>
                <c:formatCode>0.00</c:formatCode>
                <c:ptCount val="16"/>
                <c:pt idx="0">
                  <c:v>1.0454000000000001</c:v>
                </c:pt>
                <c:pt idx="1">
                  <c:v>1.0141</c:v>
                </c:pt>
                <c:pt idx="2">
                  <c:v>0.98629999999999995</c:v>
                </c:pt>
                <c:pt idx="3">
                  <c:v>0.98473999999999995</c:v>
                </c:pt>
                <c:pt idx="4">
                  <c:v>0.97924999999999995</c:v>
                </c:pt>
                <c:pt idx="5">
                  <c:v>1.0015000000000001</c:v>
                </c:pt>
                <c:pt idx="6">
                  <c:v>0.93125999999999998</c:v>
                </c:pt>
                <c:pt idx="7">
                  <c:v>0.97809999999999997</c:v>
                </c:pt>
                <c:pt idx="8">
                  <c:v>0.98897000000000002</c:v>
                </c:pt>
                <c:pt idx="9">
                  <c:v>1.0476000000000001</c:v>
                </c:pt>
                <c:pt idx="10">
                  <c:v>0.92849999999999999</c:v>
                </c:pt>
                <c:pt idx="11">
                  <c:v>0.90808</c:v>
                </c:pt>
                <c:pt idx="12">
                  <c:v>0.98043000000000002</c:v>
                </c:pt>
                <c:pt idx="13">
                  <c:v>0.96728000000000003</c:v>
                </c:pt>
                <c:pt idx="14">
                  <c:v>1.0412999999999999</c:v>
                </c:pt>
                <c:pt idx="15">
                  <c:v>1.0437000000000001</c:v>
                </c:pt>
              </c:numCache>
            </c:numRef>
          </c:xVal>
          <c:yVal>
            <c:numRef>
              <c:f>'PCA results'!$C$417:$C$432</c:f>
              <c:numCache>
                <c:formatCode>0.00</c:formatCode>
                <c:ptCount val="16"/>
                <c:pt idx="0">
                  <c:v>-0.29237999999999997</c:v>
                </c:pt>
                <c:pt idx="1">
                  <c:v>-0.24168999999999999</c:v>
                </c:pt>
                <c:pt idx="2">
                  <c:v>-0.38058999999999998</c:v>
                </c:pt>
                <c:pt idx="3">
                  <c:v>-0.27864</c:v>
                </c:pt>
                <c:pt idx="4">
                  <c:v>-0.28167999999999999</c:v>
                </c:pt>
                <c:pt idx="5">
                  <c:v>-0.39600000000000002</c:v>
                </c:pt>
                <c:pt idx="6">
                  <c:v>-0.40416999999999997</c:v>
                </c:pt>
                <c:pt idx="7">
                  <c:v>-0.21890999999999999</c:v>
                </c:pt>
                <c:pt idx="8">
                  <c:v>-0.30368000000000001</c:v>
                </c:pt>
                <c:pt idx="9">
                  <c:v>-0.37386999999999998</c:v>
                </c:pt>
                <c:pt idx="10">
                  <c:v>-0.31684000000000001</c:v>
                </c:pt>
                <c:pt idx="11">
                  <c:v>-0.38551000000000002</c:v>
                </c:pt>
                <c:pt idx="12">
                  <c:v>-0.23099</c:v>
                </c:pt>
                <c:pt idx="13">
                  <c:v>-0.26857999999999999</c:v>
                </c:pt>
                <c:pt idx="14">
                  <c:v>-0.33062000000000002</c:v>
                </c:pt>
                <c:pt idx="15">
                  <c:v>-0.29298999999999997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3AE-476A-B53A-82F4065329E7}"/>
            </c:ext>
          </c:extLst>
        </c:ser>
        <c:ser>
          <c:idx val="16"/>
          <c:order val="16"/>
          <c:tx>
            <c:strRef>
              <c:f>'PCA results'!$A$433</c:f>
              <c:strCache>
                <c:ptCount val="1"/>
                <c:pt idx="0">
                  <c:v>D. utahensis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results'!$B$433:$B$445</c:f>
              <c:numCache>
                <c:formatCode>0.00</c:formatCode>
                <c:ptCount val="13"/>
                <c:pt idx="0">
                  <c:v>1.3358000000000001</c:v>
                </c:pt>
                <c:pt idx="1">
                  <c:v>1.1541999999999999</c:v>
                </c:pt>
                <c:pt idx="2">
                  <c:v>1.1916</c:v>
                </c:pt>
                <c:pt idx="3">
                  <c:v>1.3407</c:v>
                </c:pt>
                <c:pt idx="4">
                  <c:v>1.2904</c:v>
                </c:pt>
                <c:pt idx="5">
                  <c:v>1.2295</c:v>
                </c:pt>
                <c:pt idx="6">
                  <c:v>1.2075</c:v>
                </c:pt>
                <c:pt idx="7">
                  <c:v>1.3332999999999999</c:v>
                </c:pt>
                <c:pt idx="8">
                  <c:v>1.3389</c:v>
                </c:pt>
                <c:pt idx="9">
                  <c:v>1.3178000000000001</c:v>
                </c:pt>
                <c:pt idx="10">
                  <c:v>1.3241000000000001</c:v>
                </c:pt>
                <c:pt idx="11">
                  <c:v>1.2988</c:v>
                </c:pt>
                <c:pt idx="12">
                  <c:v>1.2493000000000001</c:v>
                </c:pt>
              </c:numCache>
            </c:numRef>
          </c:xVal>
          <c:yVal>
            <c:numRef>
              <c:f>'PCA results'!$C$433:$C$445</c:f>
              <c:numCache>
                <c:formatCode>0.00</c:formatCode>
                <c:ptCount val="13"/>
                <c:pt idx="0">
                  <c:v>-1.3734999999999999</c:v>
                </c:pt>
                <c:pt idx="1">
                  <c:v>-1.3458000000000001</c:v>
                </c:pt>
                <c:pt idx="2">
                  <c:v>-1.2343999999999999</c:v>
                </c:pt>
                <c:pt idx="3">
                  <c:v>-1.2366999999999999</c:v>
                </c:pt>
                <c:pt idx="4">
                  <c:v>-1.3365</c:v>
                </c:pt>
                <c:pt idx="5">
                  <c:v>-1.3323</c:v>
                </c:pt>
                <c:pt idx="6">
                  <c:v>-1.3243</c:v>
                </c:pt>
                <c:pt idx="7">
                  <c:v>-1.3403</c:v>
                </c:pt>
                <c:pt idx="8">
                  <c:v>-1.3517999999999999</c:v>
                </c:pt>
                <c:pt idx="9">
                  <c:v>-1.3628</c:v>
                </c:pt>
                <c:pt idx="10">
                  <c:v>-1.2396</c:v>
                </c:pt>
                <c:pt idx="11">
                  <c:v>-1.2364999999999999</c:v>
                </c:pt>
                <c:pt idx="12">
                  <c:v>-1.2970999999999999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23AE-476A-B53A-82F4065329E7}"/>
            </c:ext>
          </c:extLst>
        </c:ser>
        <c:ser>
          <c:idx val="17"/>
          <c:order val="17"/>
          <c:tx>
            <c:strRef>
              <c:f>'PCA results'!$A$446</c:f>
              <c:strCache>
                <c:ptCount val="1"/>
                <c:pt idx="0">
                  <c:v>D. robinsoni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rgbClr val="FFCC99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results'!$B$446:$B$456</c:f>
              <c:numCache>
                <c:formatCode>0.00</c:formatCode>
                <c:ptCount val="11"/>
                <c:pt idx="0">
                  <c:v>-1.8751</c:v>
                </c:pt>
                <c:pt idx="1">
                  <c:v>-1.7965</c:v>
                </c:pt>
                <c:pt idx="2">
                  <c:v>-1.8481000000000001</c:v>
                </c:pt>
                <c:pt idx="3">
                  <c:v>-1.8656999999999999</c:v>
                </c:pt>
                <c:pt idx="4">
                  <c:v>-1.8143</c:v>
                </c:pt>
                <c:pt idx="5">
                  <c:v>-1.9003000000000001</c:v>
                </c:pt>
                <c:pt idx="6">
                  <c:v>-1.8847</c:v>
                </c:pt>
                <c:pt idx="7">
                  <c:v>-1.8935999999999999</c:v>
                </c:pt>
                <c:pt idx="8">
                  <c:v>-1.8965000000000001</c:v>
                </c:pt>
                <c:pt idx="9">
                  <c:v>-1.8839999999999999</c:v>
                </c:pt>
                <c:pt idx="10">
                  <c:v>-1.8314999999999999</c:v>
                </c:pt>
              </c:numCache>
            </c:numRef>
          </c:xVal>
          <c:yVal>
            <c:numRef>
              <c:f>'PCA results'!$C$446:$C$456</c:f>
              <c:numCache>
                <c:formatCode>0.00</c:formatCode>
                <c:ptCount val="11"/>
                <c:pt idx="0">
                  <c:v>-0.80318999999999996</c:v>
                </c:pt>
                <c:pt idx="1">
                  <c:v>-0.80618999999999996</c:v>
                </c:pt>
                <c:pt idx="2">
                  <c:v>-0.81860999999999995</c:v>
                </c:pt>
                <c:pt idx="3">
                  <c:v>-0.79693999999999998</c:v>
                </c:pt>
                <c:pt idx="4">
                  <c:v>-0.81030999999999997</c:v>
                </c:pt>
                <c:pt idx="5">
                  <c:v>-0.82325000000000004</c:v>
                </c:pt>
                <c:pt idx="6">
                  <c:v>-0.88454999999999995</c:v>
                </c:pt>
                <c:pt idx="7">
                  <c:v>-0.80098000000000003</c:v>
                </c:pt>
                <c:pt idx="8">
                  <c:v>-0.89842999999999995</c:v>
                </c:pt>
                <c:pt idx="9">
                  <c:v>-0.78415999999999997</c:v>
                </c:pt>
                <c:pt idx="10">
                  <c:v>-0.88849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23AE-476A-B53A-82F4065329E7}"/>
            </c:ext>
          </c:extLst>
        </c:ser>
        <c:ser>
          <c:idx val="18"/>
          <c:order val="18"/>
          <c:tx>
            <c:strRef>
              <c:f>'PCA results'!$A$460</c:f>
              <c:strCache>
                <c:ptCount val="1"/>
                <c:pt idx="0">
                  <c:v>ANT VI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results'!$B$460</c:f>
              <c:numCache>
                <c:formatCode>0.0000</c:formatCode>
                <c:ptCount val="1"/>
                <c:pt idx="0">
                  <c:v>-1.2024999999999999E-2</c:v>
                </c:pt>
              </c:numCache>
            </c:numRef>
          </c:xVal>
          <c:yVal>
            <c:numRef>
              <c:f>'PCA results'!$C$460</c:f>
              <c:numCache>
                <c:formatCode>0.0000</c:formatCode>
                <c:ptCount val="1"/>
                <c:pt idx="0">
                  <c:v>0.12673999999999999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B-4E16-A381-7A990688DC82}"/>
            </c:ext>
          </c:extLst>
        </c:ser>
        <c:ser>
          <c:idx val="19"/>
          <c:order val="19"/>
          <c:tx>
            <c:strRef>
              <c:f>'PCA results'!$A$461</c:f>
              <c:strCache>
                <c:ptCount val="1"/>
                <c:pt idx="0">
                  <c:v>ANT VI BASE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results'!$B$461</c:f>
              <c:numCache>
                <c:formatCode>0.0000</c:formatCode>
                <c:ptCount val="1"/>
                <c:pt idx="0">
                  <c:v>3.5035000000000001E-3</c:v>
                </c:pt>
              </c:numCache>
            </c:numRef>
          </c:xVal>
          <c:yVal>
            <c:numRef>
              <c:f>'PCA results'!$C$461</c:f>
              <c:numCache>
                <c:formatCode>0.0000</c:formatCode>
                <c:ptCount val="1"/>
                <c:pt idx="0">
                  <c:v>3.1342000000000002E-3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3B-4E16-A381-7A990688DC82}"/>
            </c:ext>
          </c:extLst>
        </c:ser>
        <c:ser>
          <c:idx val="20"/>
          <c:order val="20"/>
          <c:tx>
            <c:strRef>
              <c:f>'PCA results'!$A$462</c:f>
              <c:strCache>
                <c:ptCount val="1"/>
                <c:pt idx="0">
                  <c:v>ANT V / ANT III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results'!$B$462</c:f>
              <c:numCache>
                <c:formatCode>0.0000</c:formatCode>
                <c:ptCount val="1"/>
                <c:pt idx="0">
                  <c:v>1.6246E-5</c:v>
                </c:pt>
              </c:numCache>
            </c:numRef>
          </c:xVal>
          <c:yVal>
            <c:numRef>
              <c:f>'PCA results'!$C$462</c:f>
              <c:numCache>
                <c:formatCode>0.0000</c:formatCode>
                <c:ptCount val="1"/>
                <c:pt idx="0">
                  <c:v>9.6603000000000001E-3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3B-4E16-A381-7A990688DC82}"/>
            </c:ext>
          </c:extLst>
        </c:ser>
        <c:ser>
          <c:idx val="21"/>
          <c:order val="21"/>
          <c:tx>
            <c:strRef>
              <c:f>'PCA results'!$A$463</c:f>
              <c:strCache>
                <c:ptCount val="1"/>
                <c:pt idx="0">
                  <c:v>ANT IV / ANT III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results'!$B$463</c:f>
              <c:numCache>
                <c:formatCode>0.0000</c:formatCode>
                <c:ptCount val="1"/>
                <c:pt idx="0">
                  <c:v>4.6062999999999998E-3</c:v>
                </c:pt>
              </c:numCache>
            </c:numRef>
          </c:xVal>
          <c:yVal>
            <c:numRef>
              <c:f>'PCA results'!$C$463</c:f>
              <c:numCache>
                <c:formatCode>0.0000</c:formatCode>
                <c:ptCount val="1"/>
                <c:pt idx="0">
                  <c:v>7.8922999999999997E-3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3B-4E16-A381-7A990688DC82}"/>
            </c:ext>
          </c:extLst>
        </c:ser>
        <c:ser>
          <c:idx val="22"/>
          <c:order val="22"/>
          <c:tx>
            <c:strRef>
              <c:f>'PCA results'!$A$464</c:f>
              <c:strCache>
                <c:ptCount val="1"/>
                <c:pt idx="0">
                  <c:v>HW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results'!$B$464</c:f>
              <c:numCache>
                <c:formatCode>0.0000</c:formatCode>
                <c:ptCount val="1"/>
                <c:pt idx="0">
                  <c:v>5.9192000000000003E-3</c:v>
                </c:pt>
              </c:numCache>
            </c:numRef>
          </c:xVal>
          <c:yVal>
            <c:numRef>
              <c:f>'PCA results'!$C$464</c:f>
              <c:numCache>
                <c:formatCode>0.0000</c:formatCode>
                <c:ptCount val="1"/>
                <c:pt idx="0">
                  <c:v>7.3251999999999996E-3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3B-4E16-A381-7A990688DC82}"/>
            </c:ext>
          </c:extLst>
        </c:ser>
        <c:ser>
          <c:idx val="23"/>
          <c:order val="23"/>
          <c:tx>
            <c:strRef>
              <c:f>'PCA results'!$A$465</c:f>
              <c:strCache>
                <c:ptCount val="1"/>
                <c:pt idx="0">
                  <c:v>I FEMUR 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results'!$B$465</c:f>
              <c:numCache>
                <c:formatCode>0.0000</c:formatCode>
                <c:ptCount val="1"/>
                <c:pt idx="0">
                  <c:v>3.2897999999999998E-3</c:v>
                </c:pt>
              </c:numCache>
            </c:numRef>
          </c:xVal>
          <c:yVal>
            <c:numRef>
              <c:f>'PCA results'!$C$465</c:f>
              <c:numCache>
                <c:formatCode>0.0000</c:formatCode>
                <c:ptCount val="1"/>
                <c:pt idx="0">
                  <c:v>2.1405999999999999E-3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E3B-4E16-A381-7A990688DC82}"/>
            </c:ext>
          </c:extLst>
        </c:ser>
        <c:ser>
          <c:idx val="24"/>
          <c:order val="24"/>
          <c:tx>
            <c:strRef>
              <c:f>'PCA results'!$A$466</c:f>
              <c:strCache>
                <c:ptCount val="1"/>
                <c:pt idx="0">
                  <c:v>III FEMUR 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results'!$B$466</c:f>
              <c:numCache>
                <c:formatCode>0.0000</c:formatCode>
                <c:ptCount val="1"/>
                <c:pt idx="0">
                  <c:v>1.5066E-2</c:v>
                </c:pt>
              </c:numCache>
            </c:numRef>
          </c:xVal>
          <c:yVal>
            <c:numRef>
              <c:f>'PCA results'!$C$466</c:f>
              <c:numCache>
                <c:formatCode>0.0000</c:formatCode>
                <c:ptCount val="1"/>
                <c:pt idx="0">
                  <c:v>1.9806000000000001E-2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E3B-4E16-A381-7A990688DC82}"/>
            </c:ext>
          </c:extLst>
        </c:ser>
        <c:ser>
          <c:idx val="25"/>
          <c:order val="25"/>
          <c:tx>
            <c:strRef>
              <c:f>'PCA results'!$A$467</c:f>
              <c:strCache>
                <c:ptCount val="1"/>
                <c:pt idx="0">
                  <c:v>III TIBIA L / BL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results'!$B$467</c:f>
              <c:numCache>
                <c:formatCode>0.0000</c:formatCode>
                <c:ptCount val="1"/>
                <c:pt idx="0">
                  <c:v>-4.3172000000000002E-3</c:v>
                </c:pt>
              </c:numCache>
            </c:numRef>
          </c:xVal>
          <c:yVal>
            <c:numRef>
              <c:f>'PCA results'!$C$467</c:f>
              <c:numCache>
                <c:formatCode>0.0000</c:formatCode>
                <c:ptCount val="1"/>
                <c:pt idx="0">
                  <c:v>2.366E-2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E3B-4E16-A381-7A990688DC82}"/>
            </c:ext>
          </c:extLst>
        </c:ser>
        <c:ser>
          <c:idx val="26"/>
          <c:order val="26"/>
          <c:tx>
            <c:strRef>
              <c:f>'PCA results'!$A$468</c:f>
              <c:strCache>
                <c:ptCount val="1"/>
                <c:pt idx="0">
                  <c:v>HT II 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results'!$B$468</c:f>
              <c:numCache>
                <c:formatCode>0.0000</c:formatCode>
                <c:ptCount val="1"/>
                <c:pt idx="0">
                  <c:v>1.7648E-3</c:v>
                </c:pt>
              </c:numCache>
            </c:numRef>
          </c:xVal>
          <c:yVal>
            <c:numRef>
              <c:f>'PCA results'!$C$468</c:f>
              <c:numCache>
                <c:formatCode>0.0000</c:formatCode>
                <c:ptCount val="1"/>
                <c:pt idx="0">
                  <c:v>1.8287E-6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E3B-4E16-A381-7A990688DC82}"/>
            </c:ext>
          </c:extLst>
        </c:ser>
        <c:ser>
          <c:idx val="27"/>
          <c:order val="27"/>
          <c:tx>
            <c:strRef>
              <c:f>'PCA results'!$A$469</c:f>
              <c:strCache>
                <c:ptCount val="1"/>
                <c:pt idx="0">
                  <c:v>HT II L / ANT III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results'!$B$469</c:f>
              <c:numCache>
                <c:formatCode>0.0000</c:formatCode>
                <c:ptCount val="1"/>
                <c:pt idx="0">
                  <c:v>9.8258999999999998E-4</c:v>
                </c:pt>
              </c:numCache>
            </c:numRef>
          </c:xVal>
          <c:yVal>
            <c:numRef>
              <c:f>'PCA results'!$C$469</c:f>
              <c:numCache>
                <c:formatCode>0.0000</c:formatCode>
                <c:ptCount val="1"/>
                <c:pt idx="0">
                  <c:v>-6.3955000000000001E-3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E3B-4E16-A381-7A990688DC82}"/>
            </c:ext>
          </c:extLst>
        </c:ser>
        <c:ser>
          <c:idx val="28"/>
          <c:order val="28"/>
          <c:tx>
            <c:strRef>
              <c:f>'PCA results'!$A$471</c:f>
              <c:strCache>
                <c:ptCount val="1"/>
                <c:pt idx="0">
                  <c:v>SIPH L / BL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results'!$B$471</c:f>
              <c:numCache>
                <c:formatCode>0.0000</c:formatCode>
                <c:ptCount val="1"/>
                <c:pt idx="0">
                  <c:v>7.8978999999999996E-4</c:v>
                </c:pt>
              </c:numCache>
            </c:numRef>
          </c:xVal>
          <c:yVal>
            <c:numRef>
              <c:f>'PCA results'!$C$471</c:f>
              <c:numCache>
                <c:formatCode>0.0000</c:formatCode>
                <c:ptCount val="1"/>
                <c:pt idx="0">
                  <c:v>8.8940000000000009E-3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E3B-4E16-A381-7A990688DC82}"/>
            </c:ext>
          </c:extLst>
        </c:ser>
        <c:ser>
          <c:idx val="29"/>
          <c:order val="29"/>
          <c:tx>
            <c:strRef>
              <c:f>'PCA results'!$A$472</c:f>
              <c:strCache>
                <c:ptCount val="1"/>
                <c:pt idx="0">
                  <c:v>SIPH L / SIPH middle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results'!$B$472</c:f>
              <c:numCache>
                <c:formatCode>0.0000</c:formatCode>
                <c:ptCount val="1"/>
                <c:pt idx="0">
                  <c:v>0.13769999999999999</c:v>
                </c:pt>
              </c:numCache>
            </c:numRef>
          </c:xVal>
          <c:yVal>
            <c:numRef>
              <c:f>'PCA results'!$C$472</c:f>
              <c:numCache>
                <c:formatCode>0.0000</c:formatCode>
                <c:ptCount val="1"/>
                <c:pt idx="0">
                  <c:v>-2.5614000000000001E-2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E3B-4E16-A381-7A990688DC82}"/>
            </c:ext>
          </c:extLst>
        </c:ser>
        <c:ser>
          <c:idx val="30"/>
          <c:order val="30"/>
          <c:tx>
            <c:strRef>
              <c:f>'PCA results'!$A$473</c:f>
              <c:strCache>
                <c:ptCount val="1"/>
                <c:pt idx="0">
                  <c:v>SIPH L / ANT III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results'!$B$473</c:f>
              <c:numCache>
                <c:formatCode>0.0000</c:formatCode>
                <c:ptCount val="1"/>
                <c:pt idx="0">
                  <c:v>5.6788999999999997E-3</c:v>
                </c:pt>
              </c:numCache>
            </c:numRef>
          </c:xVal>
          <c:yVal>
            <c:numRef>
              <c:f>'PCA results'!$C$473</c:f>
              <c:numCache>
                <c:formatCode>0.0000</c:formatCode>
                <c:ptCount val="1"/>
                <c:pt idx="0">
                  <c:v>9.2641000000000008E-3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E3B-4E16-A381-7A990688DC82}"/>
            </c:ext>
          </c:extLst>
        </c:ser>
        <c:ser>
          <c:idx val="31"/>
          <c:order val="31"/>
          <c:tx>
            <c:strRef>
              <c:f>'PCA results'!$A$474</c:f>
              <c:strCache>
                <c:ptCount val="1"/>
                <c:pt idx="0">
                  <c:v>CAUDA L / CAUDA 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results'!$B$474</c:f>
              <c:numCache>
                <c:formatCode>0.0000</c:formatCode>
                <c:ptCount val="1"/>
                <c:pt idx="0">
                  <c:v>3.3146999999999999E-3</c:v>
                </c:pt>
              </c:numCache>
            </c:numRef>
          </c:xVal>
          <c:yVal>
            <c:numRef>
              <c:f>'PCA results'!$C$474</c:f>
              <c:numCache>
                <c:formatCode>0.0000</c:formatCode>
                <c:ptCount val="1"/>
                <c:pt idx="0">
                  <c:v>-5.3461000000000003E-3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E3B-4E16-A381-7A990688DC82}"/>
            </c:ext>
          </c:extLst>
        </c:ser>
        <c:ser>
          <c:idx val="32"/>
          <c:order val="32"/>
          <c:tx>
            <c:strRef>
              <c:f>'PCA results'!$A$475</c:f>
              <c:strCache>
                <c:ptCount val="1"/>
                <c:pt idx="0">
                  <c:v>SIPH L / CAUDA 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results'!$B$475</c:f>
              <c:numCache>
                <c:formatCode>0.0000</c:formatCode>
                <c:ptCount val="1"/>
                <c:pt idx="0">
                  <c:v>2.7366999999999999E-2</c:v>
                </c:pt>
              </c:numCache>
            </c:numRef>
          </c:xVal>
          <c:yVal>
            <c:numRef>
              <c:f>'PCA results'!$C$475</c:f>
              <c:numCache>
                <c:formatCode>0.0000</c:formatCode>
                <c:ptCount val="1"/>
                <c:pt idx="0">
                  <c:v>0.16841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E3B-4E16-A381-7A990688DC82}"/>
            </c:ext>
          </c:extLst>
        </c:ser>
        <c:ser>
          <c:idx val="33"/>
          <c:order val="33"/>
          <c:tx>
            <c:strRef>
              <c:f>'PCA results'!$A$476</c:f>
              <c:strCache>
                <c:ptCount val="1"/>
                <c:pt idx="0">
                  <c:v>Conspiciosus tubercles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results'!$B$476</c:f>
              <c:numCache>
                <c:formatCode>0.0000</c:formatCode>
                <c:ptCount val="1"/>
                <c:pt idx="0">
                  <c:v>0.95130999999999999</c:v>
                </c:pt>
              </c:numCache>
            </c:numRef>
          </c:xVal>
          <c:yVal>
            <c:numRef>
              <c:f>'PCA results'!$C$476</c:f>
              <c:numCache>
                <c:formatCode>0.0000</c:formatCode>
                <c:ptCount val="1"/>
                <c:pt idx="0">
                  <c:v>-4.1932999999999998E-2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E3B-4E16-A381-7A990688DC82}"/>
            </c:ext>
          </c:extLst>
        </c:ser>
        <c:ser>
          <c:idx val="34"/>
          <c:order val="34"/>
          <c:tx>
            <c:strRef>
              <c:f>'PCA results'!$A$477</c:f>
              <c:strCache>
                <c:ptCount val="1"/>
                <c:pt idx="0">
                  <c:v>Femora colour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results'!$B$477</c:f>
              <c:numCache>
                <c:formatCode>0.0000</c:formatCode>
                <c:ptCount val="1"/>
                <c:pt idx="0">
                  <c:v>0.19578999999999999</c:v>
                </c:pt>
              </c:numCache>
            </c:numRef>
          </c:xVal>
          <c:yVal>
            <c:numRef>
              <c:f>'PCA results'!$C$476</c:f>
              <c:numCache>
                <c:formatCode>0.0000</c:formatCode>
                <c:ptCount val="1"/>
                <c:pt idx="0">
                  <c:v>-4.1932999999999998E-2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E3B-4E16-A381-7A990688DC82}"/>
            </c:ext>
          </c:extLst>
        </c:ser>
        <c:ser>
          <c:idx val="35"/>
          <c:order val="35"/>
          <c:tx>
            <c:strRef>
              <c:f>'PCA results'!$A$478</c:f>
              <c:strCache>
                <c:ptCount val="1"/>
                <c:pt idx="0">
                  <c:v>Siphunculi colour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results'!$B$478</c:f>
              <c:numCache>
                <c:formatCode>0.0000</c:formatCode>
                <c:ptCount val="1"/>
                <c:pt idx="0">
                  <c:v>0.11633</c:v>
                </c:pt>
              </c:numCache>
            </c:numRef>
          </c:xVal>
          <c:yVal>
            <c:numRef>
              <c:f>'PCA results'!$C$478</c:f>
              <c:numCache>
                <c:formatCode>0.0000</c:formatCode>
                <c:ptCount val="1"/>
                <c:pt idx="0">
                  <c:v>-0.44627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E3B-4E16-A381-7A990688DC82}"/>
            </c:ext>
          </c:extLst>
        </c:ser>
        <c:ser>
          <c:idx val="36"/>
          <c:order val="36"/>
          <c:tx>
            <c:strRef>
              <c:f>'PCA results'!$A$479</c:f>
              <c:strCache>
                <c:ptCount val="1"/>
                <c:pt idx="0">
                  <c:v>Number of accessory rhinaria on VI BASE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results'!$B$479</c:f>
              <c:numCache>
                <c:formatCode>0.0000</c:formatCode>
                <c:ptCount val="1"/>
                <c:pt idx="0">
                  <c:v>9.5616999999999994E-2</c:v>
                </c:pt>
              </c:numCache>
            </c:numRef>
          </c:xVal>
          <c:yVal>
            <c:numRef>
              <c:f>'PCA results'!$C$479</c:f>
              <c:numCache>
                <c:formatCode>0.0000</c:formatCode>
                <c:ptCount val="1"/>
                <c:pt idx="0">
                  <c:v>-1.3497E-2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E3B-4E16-A381-7A990688DC82}"/>
            </c:ext>
          </c:extLst>
        </c:ser>
        <c:ser>
          <c:idx val="37"/>
          <c:order val="37"/>
          <c:tx>
            <c:strRef>
              <c:f>'PCA results'!$A$480</c:f>
              <c:strCache>
                <c:ptCount val="1"/>
                <c:pt idx="0">
                  <c:v>Veins bordered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results'!$B$480</c:f>
              <c:numCache>
                <c:formatCode>0.0000</c:formatCode>
                <c:ptCount val="1"/>
                <c:pt idx="0">
                  <c:v>-5.4146E-2</c:v>
                </c:pt>
              </c:numCache>
            </c:numRef>
          </c:xVal>
          <c:yVal>
            <c:numRef>
              <c:f>'PCA results'!$C$480</c:f>
              <c:numCache>
                <c:formatCode>0.0000</c:formatCode>
                <c:ptCount val="1"/>
                <c:pt idx="0">
                  <c:v>0.10448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E3B-4E16-A381-7A990688DC82}"/>
            </c:ext>
          </c:extLst>
        </c:ser>
        <c:ser>
          <c:idx val="38"/>
          <c:order val="38"/>
          <c:tx>
            <c:strRef>
              <c:f>'PCA results'!$A$481</c:f>
              <c:strCache>
                <c:ptCount val="1"/>
                <c:pt idx="0">
                  <c:v>Frontal setae - 2 pairs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results'!$B$481</c:f>
              <c:numCache>
                <c:formatCode>0.0000</c:formatCode>
                <c:ptCount val="1"/>
                <c:pt idx="0">
                  <c:v>7.0283999999999999E-2</c:v>
                </c:pt>
              </c:numCache>
            </c:numRef>
          </c:xVal>
          <c:yVal>
            <c:numRef>
              <c:f>'PCA results'!$C$481</c:f>
              <c:numCache>
                <c:formatCode>0.0000</c:formatCode>
                <c:ptCount val="1"/>
                <c:pt idx="0">
                  <c:v>-0.18401000000000001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E3B-4E16-A381-7A990688DC82}"/>
            </c:ext>
          </c:extLst>
        </c:ser>
        <c:ser>
          <c:idx val="39"/>
          <c:order val="39"/>
          <c:tx>
            <c:strRef>
              <c:f>'PCA results'!$A$482</c:f>
              <c:strCache>
                <c:ptCount val="1"/>
                <c:pt idx="0">
                  <c:v>Hind femora with stripes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results'!$B$482</c:f>
              <c:numCache>
                <c:formatCode>0.0000</c:formatCode>
                <c:ptCount val="1"/>
                <c:pt idx="0">
                  <c:v>4.1638999999999999E-3</c:v>
                </c:pt>
              </c:numCache>
            </c:numRef>
          </c:xVal>
          <c:yVal>
            <c:numRef>
              <c:f>'PCA results'!$C$482</c:f>
              <c:numCache>
                <c:formatCode>0.0000</c:formatCode>
                <c:ptCount val="1"/>
                <c:pt idx="0">
                  <c:v>0.38027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E3B-4E16-A381-7A990688DC82}"/>
            </c:ext>
          </c:extLst>
        </c:ser>
        <c:ser>
          <c:idx val="40"/>
          <c:order val="40"/>
          <c:tx>
            <c:strRef>
              <c:f>'PCA results'!$A$483</c:f>
              <c:strCache>
                <c:ptCount val="1"/>
                <c:pt idx="0">
                  <c:v>Dorsal scleroites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'PCA results'!$B$483</c:f>
              <c:numCache>
                <c:formatCode>0.0000</c:formatCode>
                <c:ptCount val="1"/>
                <c:pt idx="0">
                  <c:v>-7.6411000000000007E-2</c:v>
                </c:pt>
              </c:numCache>
            </c:numRef>
          </c:xVal>
          <c:yVal>
            <c:numRef>
              <c:f>'PCA results'!$C$483</c:f>
              <c:numCache>
                <c:formatCode>0.0000</c:formatCode>
                <c:ptCount val="1"/>
                <c:pt idx="0">
                  <c:v>0.30969000000000002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E3B-4E16-A381-7A990688D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604239"/>
        <c:axId val="666784767"/>
        <c:extLst/>
      </c:scatterChart>
      <c:valAx>
        <c:axId val="873604239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PC1</a:t>
                </a:r>
              </a:p>
            </c:rich>
          </c:tx>
          <c:layout>
            <c:manualLayout>
              <c:xMode val="edge"/>
              <c:yMode val="edge"/>
              <c:x val="0.42242726517040724"/>
              <c:y val="0.9607430298024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784767"/>
        <c:crosses val="autoZero"/>
        <c:crossBetween val="midCat"/>
      </c:valAx>
      <c:valAx>
        <c:axId val="66678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PC2</a:t>
                </a:r>
              </a:p>
            </c:rich>
          </c:tx>
          <c:layout>
            <c:manualLayout>
              <c:xMode val="edge"/>
              <c:yMode val="edge"/>
              <c:x val="6.6500415627597674E-3"/>
              <c:y val="0.46323703720717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604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485</xdr:row>
      <xdr:rowOff>66675</xdr:rowOff>
    </xdr:from>
    <xdr:to>
      <xdr:col>20</xdr:col>
      <xdr:colOff>678996</xdr:colOff>
      <xdr:row>523</xdr:row>
      <xdr:rowOff>125184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82F55A-8F90-44EE-87C1-C9C54A5BB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54428</xdr:colOff>
      <xdr:row>485</xdr:row>
      <xdr:rowOff>81641</xdr:rowOff>
    </xdr:from>
    <xdr:to>
      <xdr:col>40</xdr:col>
      <xdr:colOff>353787</xdr:colOff>
      <xdr:row>523</xdr:row>
      <xdr:rowOff>133969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A2D4152-D007-D7DB-1711-DE7837C90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1142" y="93032034"/>
          <a:ext cx="11647716" cy="72913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557893</xdr:colOff>
      <xdr:row>502</xdr:row>
      <xdr:rowOff>81643</xdr:rowOff>
    </xdr:from>
    <xdr:to>
      <xdr:col>22</xdr:col>
      <xdr:colOff>108857</xdr:colOff>
      <xdr:row>506</xdr:row>
      <xdr:rowOff>27214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0DFED3BE-3C9D-C2B8-959C-2C561F5654B3}"/>
            </a:ext>
          </a:extLst>
        </xdr:cNvPr>
        <xdr:cNvSpPr/>
      </xdr:nvSpPr>
      <xdr:spPr>
        <a:xfrm>
          <a:off x="14192250" y="96270536"/>
          <a:ext cx="993321" cy="707571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5E30E-257C-4DEC-B2D7-03F5566DE90A}">
  <dimension ref="A1:M9"/>
  <sheetViews>
    <sheetView tabSelected="1" workbookViewId="0">
      <selection activeCell="A3" sqref="A3:A7"/>
    </sheetView>
  </sheetViews>
  <sheetFormatPr defaultRowHeight="15" x14ac:dyDescent="0.25"/>
  <cols>
    <col min="1" max="1" width="188.7109375" style="7" customWidth="1"/>
  </cols>
  <sheetData>
    <row r="1" spans="1:13" s="2" customFormat="1" ht="18.75" x14ac:dyDescent="0.25">
      <c r="A1" s="4" t="s">
        <v>92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2" customFormat="1" ht="18.75" x14ac:dyDescent="0.25">
      <c r="A2" s="5"/>
    </row>
    <row r="3" spans="1:13" s="2" customFormat="1" ht="18.75" x14ac:dyDescent="0.25">
      <c r="A3" s="2" t="s">
        <v>363</v>
      </c>
    </row>
    <row r="4" spans="1:13" s="2" customFormat="1" ht="18.75" x14ac:dyDescent="0.25"/>
    <row r="5" spans="1:13" s="2" customFormat="1" ht="18.75" x14ac:dyDescent="0.25">
      <c r="A5" s="2" t="s">
        <v>364</v>
      </c>
    </row>
    <row r="6" spans="1:13" s="2" customFormat="1" ht="18.75" x14ac:dyDescent="0.25"/>
    <row r="7" spans="1:13" s="2" customFormat="1" ht="75" x14ac:dyDescent="0.25">
      <c r="A7" s="274" t="s">
        <v>365</v>
      </c>
    </row>
    <row r="8" spans="1:13" s="1" customFormat="1" ht="18.75" x14ac:dyDescent="0.3">
      <c r="A8" s="6"/>
    </row>
    <row r="9" spans="1:13" ht="18.75" x14ac:dyDescent="0.25">
      <c r="A9" s="4" t="s">
        <v>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959CB-4628-44AB-A40D-68B52E36491A}">
  <dimension ref="A1:HH104"/>
  <sheetViews>
    <sheetView workbookViewId="0"/>
  </sheetViews>
  <sheetFormatPr defaultRowHeight="15" x14ac:dyDescent="0.25"/>
  <cols>
    <col min="1" max="1" width="36.7109375" style="16" customWidth="1"/>
    <col min="2" max="42" width="9.140625" style="16"/>
    <col min="43" max="51" width="12.7109375" style="16" customWidth="1"/>
    <col min="52" max="16384" width="9.140625" style="16"/>
  </cols>
  <sheetData>
    <row r="1" spans="1:216" customFormat="1" x14ac:dyDescent="0.25">
      <c r="B1" s="31" t="s">
        <v>2</v>
      </c>
      <c r="C1" s="31" t="s">
        <v>1</v>
      </c>
      <c r="D1" s="31" t="s">
        <v>0</v>
      </c>
      <c r="E1" s="31" t="s">
        <v>100</v>
      </c>
      <c r="F1" s="31" t="s">
        <v>101</v>
      </c>
      <c r="G1" s="31" t="s">
        <v>102</v>
      </c>
      <c r="H1" s="31" t="s">
        <v>103</v>
      </c>
      <c r="I1" s="31" t="s">
        <v>104</v>
      </c>
      <c r="J1" s="31" t="s">
        <v>105</v>
      </c>
      <c r="K1" s="31" t="s">
        <v>106</v>
      </c>
      <c r="L1" s="31" t="s">
        <v>107</v>
      </c>
      <c r="M1" s="31" t="s">
        <v>108</v>
      </c>
      <c r="N1" s="31" t="s">
        <v>109</v>
      </c>
      <c r="O1" s="31" t="s">
        <v>110</v>
      </c>
      <c r="P1" s="31" t="s">
        <v>111</v>
      </c>
      <c r="Q1" s="31" t="s">
        <v>112</v>
      </c>
      <c r="R1" s="32" t="s">
        <v>82</v>
      </c>
      <c r="S1" s="32" t="s">
        <v>81</v>
      </c>
      <c r="T1" s="32" t="s">
        <v>80</v>
      </c>
      <c r="U1" s="32" t="s">
        <v>113</v>
      </c>
      <c r="V1" s="32" t="s">
        <v>114</v>
      </c>
      <c r="W1" s="32" t="s">
        <v>115</v>
      </c>
      <c r="X1" s="32" t="s">
        <v>116</v>
      </c>
      <c r="Y1" s="32" t="s">
        <v>117</v>
      </c>
      <c r="Z1" s="32" t="s">
        <v>118</v>
      </c>
      <c r="AA1" s="32" t="s">
        <v>119</v>
      </c>
      <c r="AB1" s="32" t="s">
        <v>120</v>
      </c>
      <c r="AC1" s="32" t="s">
        <v>121</v>
      </c>
      <c r="AD1" s="32" t="s">
        <v>122</v>
      </c>
      <c r="AE1" s="32" t="s">
        <v>123</v>
      </c>
      <c r="AF1" s="32" t="s">
        <v>124</v>
      </c>
      <c r="AG1" s="33" t="s">
        <v>125</v>
      </c>
      <c r="AH1" s="33" t="s">
        <v>126</v>
      </c>
      <c r="AI1" s="33" t="s">
        <v>127</v>
      </c>
      <c r="AJ1" s="33" t="s">
        <v>128</v>
      </c>
      <c r="AK1" s="33" t="s">
        <v>129</v>
      </c>
      <c r="AL1" s="33" t="s">
        <v>130</v>
      </c>
      <c r="AM1" s="33" t="s">
        <v>131</v>
      </c>
      <c r="AN1" s="33" t="s">
        <v>132</v>
      </c>
      <c r="AO1" s="34" t="s">
        <v>133</v>
      </c>
      <c r="AP1" s="34" t="s">
        <v>134</v>
      </c>
      <c r="AQ1" s="34" t="s">
        <v>135</v>
      </c>
      <c r="AR1" s="34" t="s">
        <v>136</v>
      </c>
      <c r="AS1" s="34" t="s">
        <v>137</v>
      </c>
      <c r="AT1" s="34" t="s">
        <v>138</v>
      </c>
      <c r="AU1" s="34" t="s">
        <v>139</v>
      </c>
      <c r="AV1" s="34" t="s">
        <v>140</v>
      </c>
      <c r="AW1" s="34" t="s">
        <v>141</v>
      </c>
      <c r="AX1" s="35" t="s">
        <v>142</v>
      </c>
      <c r="AY1" s="35" t="s">
        <v>143</v>
      </c>
      <c r="AZ1" s="35" t="s">
        <v>144</v>
      </c>
      <c r="BA1" s="35" t="s">
        <v>145</v>
      </c>
      <c r="BB1" s="35" t="s">
        <v>146</v>
      </c>
      <c r="BC1" s="35" t="s">
        <v>147</v>
      </c>
      <c r="BD1" s="35" t="s">
        <v>148</v>
      </c>
      <c r="BE1" s="35" t="s">
        <v>149</v>
      </c>
      <c r="BF1" s="35" t="s">
        <v>150</v>
      </c>
      <c r="BG1" s="36" t="s">
        <v>79</v>
      </c>
      <c r="BH1" s="36" t="s">
        <v>78</v>
      </c>
      <c r="BI1" s="36" t="s">
        <v>77</v>
      </c>
      <c r="BJ1" s="36" t="s">
        <v>151</v>
      </c>
      <c r="BK1" s="36" t="s">
        <v>152</v>
      </c>
      <c r="BL1" s="36" t="s">
        <v>153</v>
      </c>
      <c r="BM1" s="36" t="s">
        <v>154</v>
      </c>
      <c r="BN1" s="36" t="s">
        <v>155</v>
      </c>
      <c r="BO1" s="36" t="s">
        <v>156</v>
      </c>
      <c r="BP1" s="36" t="s">
        <v>157</v>
      </c>
      <c r="BQ1" s="36" t="s">
        <v>158</v>
      </c>
      <c r="BR1" s="36" t="s">
        <v>159</v>
      </c>
      <c r="BS1" s="19" t="s">
        <v>76</v>
      </c>
      <c r="BT1" s="19" t="s">
        <v>75</v>
      </c>
      <c r="BU1" s="19" t="s">
        <v>74</v>
      </c>
      <c r="BV1" s="19" t="s">
        <v>90</v>
      </c>
      <c r="BW1" s="19" t="s">
        <v>160</v>
      </c>
      <c r="BX1" s="19" t="s">
        <v>161</v>
      </c>
      <c r="BY1" s="19" t="s">
        <v>162</v>
      </c>
      <c r="BZ1" s="19" t="s">
        <v>163</v>
      </c>
      <c r="CA1" s="19" t="s">
        <v>164</v>
      </c>
      <c r="CB1" s="19" t="s">
        <v>165</v>
      </c>
      <c r="CC1" s="37" t="s">
        <v>89</v>
      </c>
      <c r="CD1" s="37" t="s">
        <v>88</v>
      </c>
      <c r="CE1" s="37" t="s">
        <v>166</v>
      </c>
      <c r="CF1" s="37" t="s">
        <v>167</v>
      </c>
      <c r="CG1" s="37" t="s">
        <v>168</v>
      </c>
      <c r="CH1" s="37" t="s">
        <v>169</v>
      </c>
      <c r="CI1" s="37" t="s">
        <v>170</v>
      </c>
      <c r="CJ1" s="37" t="s">
        <v>171</v>
      </c>
      <c r="CK1" s="37" t="s">
        <v>172</v>
      </c>
      <c r="CL1" s="37" t="s">
        <v>173</v>
      </c>
      <c r="CM1" s="38" t="s">
        <v>73</v>
      </c>
      <c r="CN1" s="38" t="s">
        <v>72</v>
      </c>
      <c r="CO1" s="39" t="s">
        <v>87</v>
      </c>
      <c r="CP1" s="39" t="s">
        <v>86</v>
      </c>
      <c r="CQ1" s="39" t="s">
        <v>174</v>
      </c>
      <c r="CR1" s="39" t="s">
        <v>175</v>
      </c>
      <c r="CS1" s="39" t="s">
        <v>176</v>
      </c>
      <c r="CT1" s="39" t="s">
        <v>177</v>
      </c>
      <c r="CU1" s="39" t="s">
        <v>178</v>
      </c>
      <c r="CV1" s="39" t="s">
        <v>179</v>
      </c>
      <c r="CW1" s="242" t="s">
        <v>180</v>
      </c>
      <c r="CX1" s="242" t="s">
        <v>181</v>
      </c>
      <c r="CY1" s="242" t="s">
        <v>182</v>
      </c>
      <c r="CZ1" s="242" t="s">
        <v>183</v>
      </c>
      <c r="DA1" s="242" t="s">
        <v>184</v>
      </c>
      <c r="DB1" s="242" t="s">
        <v>185</v>
      </c>
      <c r="DC1" s="242" t="s">
        <v>186</v>
      </c>
      <c r="DD1" s="242" t="s">
        <v>187</v>
      </c>
      <c r="DE1" s="242" t="s">
        <v>188</v>
      </c>
      <c r="DF1" s="242" t="s">
        <v>189</v>
      </c>
      <c r="DG1" s="242" t="s">
        <v>190</v>
      </c>
      <c r="DH1" s="242" t="s">
        <v>191</v>
      </c>
      <c r="DI1" s="242" t="s">
        <v>192</v>
      </c>
      <c r="DJ1" s="40" t="s">
        <v>193</v>
      </c>
      <c r="DK1" s="40" t="s">
        <v>194</v>
      </c>
      <c r="DL1" s="40" t="s">
        <v>195</v>
      </c>
      <c r="DM1" s="40" t="s">
        <v>196</v>
      </c>
      <c r="DN1" s="40" t="s">
        <v>197</v>
      </c>
      <c r="DO1" s="40" t="s">
        <v>198</v>
      </c>
      <c r="DP1" s="40" t="s">
        <v>199</v>
      </c>
      <c r="DQ1" s="40" t="s">
        <v>200</v>
      </c>
      <c r="DR1" s="40" t="s">
        <v>201</v>
      </c>
      <c r="DS1" s="40" t="s">
        <v>202</v>
      </c>
      <c r="DT1" s="41" t="s">
        <v>277</v>
      </c>
      <c r="DU1" s="41" t="s">
        <v>278</v>
      </c>
      <c r="DV1" s="41" t="s">
        <v>279</v>
      </c>
      <c r="DW1" s="41" t="s">
        <v>280</v>
      </c>
      <c r="DX1" s="41" t="s">
        <v>281</v>
      </c>
      <c r="DY1" s="41" t="s">
        <v>282</v>
      </c>
      <c r="DZ1" s="41" t="s">
        <v>283</v>
      </c>
      <c r="EA1" s="41" t="s">
        <v>284</v>
      </c>
      <c r="EB1" s="41" t="s">
        <v>285</v>
      </c>
      <c r="EC1" s="41" t="s">
        <v>286</v>
      </c>
      <c r="ED1" s="41" t="s">
        <v>287</v>
      </c>
      <c r="EE1" s="42" t="s">
        <v>203</v>
      </c>
      <c r="EF1" s="42" t="s">
        <v>204</v>
      </c>
      <c r="EG1" s="42" t="s">
        <v>205</v>
      </c>
      <c r="EH1" s="42" t="s">
        <v>206</v>
      </c>
      <c r="EI1" s="42" t="s">
        <v>207</v>
      </c>
      <c r="EJ1" s="42" t="s">
        <v>208</v>
      </c>
      <c r="EK1" s="42" t="s">
        <v>209</v>
      </c>
      <c r="EL1" s="42" t="s">
        <v>210</v>
      </c>
      <c r="EM1" s="42" t="s">
        <v>211</v>
      </c>
      <c r="EN1" s="42" t="s">
        <v>212</v>
      </c>
      <c r="EO1" s="42" t="s">
        <v>213</v>
      </c>
      <c r="EP1" s="42" t="s">
        <v>214</v>
      </c>
      <c r="EQ1" s="42" t="s">
        <v>215</v>
      </c>
      <c r="ER1" s="42" t="s">
        <v>216</v>
      </c>
      <c r="ES1" s="43" t="s">
        <v>217</v>
      </c>
      <c r="ET1" s="43" t="s">
        <v>218</v>
      </c>
      <c r="EU1" s="43" t="s">
        <v>219</v>
      </c>
      <c r="EV1" s="43" t="s">
        <v>220</v>
      </c>
      <c r="EW1" s="43" t="s">
        <v>221</v>
      </c>
      <c r="EX1" s="43" t="s">
        <v>222</v>
      </c>
      <c r="EY1" s="43" t="s">
        <v>223</v>
      </c>
      <c r="EZ1" s="43" t="s">
        <v>224</v>
      </c>
      <c r="FA1" s="43" t="s">
        <v>225</v>
      </c>
      <c r="FB1" s="43" t="s">
        <v>226</v>
      </c>
      <c r="FC1" s="43" t="s">
        <v>227</v>
      </c>
      <c r="FD1" s="43" t="s">
        <v>228</v>
      </c>
      <c r="FE1" s="43" t="s">
        <v>229</v>
      </c>
      <c r="FF1" s="43" t="s">
        <v>230</v>
      </c>
      <c r="FG1" s="44" t="s">
        <v>71</v>
      </c>
      <c r="FH1" s="44" t="s">
        <v>70</v>
      </c>
      <c r="FI1" s="44" t="s">
        <v>69</v>
      </c>
      <c r="FJ1" s="44" t="s">
        <v>231</v>
      </c>
      <c r="FK1" s="44" t="s">
        <v>232</v>
      </c>
      <c r="FL1" s="44" t="s">
        <v>233</v>
      </c>
      <c r="FM1" s="44" t="s">
        <v>234</v>
      </c>
      <c r="FN1" s="44" t="s">
        <v>235</v>
      </c>
      <c r="FO1" s="44" t="s">
        <v>236</v>
      </c>
      <c r="FP1" s="44" t="s">
        <v>237</v>
      </c>
      <c r="FQ1" s="44" t="s">
        <v>238</v>
      </c>
      <c r="FR1" s="45" t="s">
        <v>239</v>
      </c>
      <c r="FS1" s="45" t="s">
        <v>240</v>
      </c>
      <c r="FT1" s="45" t="s">
        <v>241</v>
      </c>
      <c r="FU1" s="45" t="s">
        <v>242</v>
      </c>
      <c r="FV1" s="45" t="s">
        <v>243</v>
      </c>
      <c r="FW1" s="45" t="s">
        <v>244</v>
      </c>
      <c r="FX1" s="45" t="s">
        <v>245</v>
      </c>
      <c r="FY1" s="45" t="s">
        <v>246</v>
      </c>
      <c r="FZ1" s="45" t="s">
        <v>247</v>
      </c>
      <c r="GA1" s="45" t="s">
        <v>248</v>
      </c>
      <c r="GB1" s="45" t="s">
        <v>249</v>
      </c>
      <c r="GC1" s="45" t="s">
        <v>250</v>
      </c>
      <c r="GD1" s="46" t="s">
        <v>251</v>
      </c>
      <c r="GE1" s="46" t="s">
        <v>252</v>
      </c>
      <c r="GF1" s="46" t="s">
        <v>253</v>
      </c>
      <c r="GG1" s="46" t="s">
        <v>254</v>
      </c>
      <c r="GH1" s="46" t="s">
        <v>255</v>
      </c>
      <c r="GI1" s="46" t="s">
        <v>256</v>
      </c>
      <c r="GJ1" s="46" t="s">
        <v>257</v>
      </c>
      <c r="GK1" s="46" t="s">
        <v>258</v>
      </c>
      <c r="GL1" s="46" t="s">
        <v>259</v>
      </c>
      <c r="GM1" s="46" t="s">
        <v>260</v>
      </c>
      <c r="GN1" s="46" t="s">
        <v>261</v>
      </c>
      <c r="GO1" s="46" t="s">
        <v>262</v>
      </c>
      <c r="GP1" s="46" t="s">
        <v>263</v>
      </c>
      <c r="GQ1" s="46" t="s">
        <v>264</v>
      </c>
      <c r="GR1" s="46" t="s">
        <v>265</v>
      </c>
      <c r="GS1" s="46" t="s">
        <v>266</v>
      </c>
      <c r="GT1" s="47" t="s">
        <v>267</v>
      </c>
      <c r="GU1" s="47" t="s">
        <v>68</v>
      </c>
      <c r="GV1" s="47" t="s">
        <v>67</v>
      </c>
      <c r="GW1" s="47" t="s">
        <v>66</v>
      </c>
      <c r="GX1" s="47" t="s">
        <v>268</v>
      </c>
      <c r="GY1" s="47" t="s">
        <v>269</v>
      </c>
      <c r="GZ1" s="47" t="s">
        <v>270</v>
      </c>
      <c r="HA1" s="47" t="s">
        <v>271</v>
      </c>
      <c r="HB1" s="47" t="s">
        <v>272</v>
      </c>
      <c r="HC1" s="47" t="s">
        <v>273</v>
      </c>
      <c r="HD1" s="47" t="s">
        <v>274</v>
      </c>
      <c r="HE1" s="47" t="s">
        <v>275</v>
      </c>
      <c r="HF1" s="47" t="s">
        <v>276</v>
      </c>
      <c r="HG1" s="18"/>
      <c r="HH1" s="18"/>
    </row>
    <row r="2" spans="1:216" customFormat="1" x14ac:dyDescent="0.25">
      <c r="A2" t="s">
        <v>26</v>
      </c>
      <c r="B2" s="48">
        <f>1.354+0.708</f>
        <v>2.0620000000000003</v>
      </c>
      <c r="C2" s="24">
        <f>1.529+1.006</f>
        <v>2.5350000000000001</v>
      </c>
      <c r="D2" s="49">
        <f>1.004+1.205</f>
        <v>2.2090000000000001</v>
      </c>
      <c r="E2" s="50">
        <f>1.093+1.17</f>
        <v>2.2629999999999999</v>
      </c>
      <c r="F2" s="24">
        <f>1.541+0.601</f>
        <v>2.1419999999999999</v>
      </c>
      <c r="G2" s="51">
        <f>1.186+0.475</f>
        <v>1.661</v>
      </c>
      <c r="H2" s="24">
        <f>1.088+0.474</f>
        <v>1.5620000000000001</v>
      </c>
      <c r="I2" s="49">
        <f>0.85+0.874</f>
        <v>1.724</v>
      </c>
      <c r="J2" s="24">
        <f>0.946+0.697</f>
        <v>1.6429999999999998</v>
      </c>
      <c r="K2" s="48">
        <f>1.082+1.417</f>
        <v>2.4990000000000001</v>
      </c>
      <c r="L2" s="24">
        <f>1.15+1.48</f>
        <v>2.63</v>
      </c>
      <c r="M2" s="50">
        <f>1.408+0.585</f>
        <v>1.9929999999999999</v>
      </c>
      <c r="N2" s="24">
        <f>1.231+0.386</f>
        <v>1.617</v>
      </c>
      <c r="O2" s="51">
        <f>1.142+0.435</f>
        <v>1.577</v>
      </c>
      <c r="P2" s="24">
        <f>1.343+0.479</f>
        <v>1.8220000000000001</v>
      </c>
      <c r="Q2" s="24">
        <v>1.554</v>
      </c>
      <c r="R2" s="52">
        <f>1.088+1.33</f>
        <v>2.4180000000000001</v>
      </c>
      <c r="S2" s="53">
        <f>1.305+0.625</f>
        <v>1.93</v>
      </c>
      <c r="T2" s="22">
        <f>1.094+1.406</f>
        <v>2.5</v>
      </c>
      <c r="U2" s="54">
        <f>1.373+0.764</f>
        <v>2.137</v>
      </c>
      <c r="V2" s="22">
        <f>1.37+0.643</f>
        <v>2.0129999999999999</v>
      </c>
      <c r="W2" s="55">
        <f>0.732+1.528</f>
        <v>2.2599999999999998</v>
      </c>
      <c r="X2" s="22">
        <f>1.15+0.52</f>
        <v>1.67</v>
      </c>
      <c r="Y2" s="52">
        <f>1.37+0.89</f>
        <v>2.2600000000000002</v>
      </c>
      <c r="Z2" s="22">
        <f>1.09+1.04</f>
        <v>2.13</v>
      </c>
      <c r="AA2" s="56">
        <f>1.14+0.58</f>
        <v>1.7199999999999998</v>
      </c>
      <c r="AB2" s="22">
        <f>1.11+0.46</f>
        <v>1.57</v>
      </c>
      <c r="AC2" s="22">
        <v>1.3</v>
      </c>
      <c r="AD2" s="22">
        <v>1.47</v>
      </c>
      <c r="AE2" s="22">
        <v>1.78</v>
      </c>
      <c r="AF2" s="22">
        <v>1.5289999999999999</v>
      </c>
      <c r="AG2" s="57">
        <v>1.629</v>
      </c>
      <c r="AH2" s="58">
        <v>1.45</v>
      </c>
      <c r="AI2" s="59">
        <v>1.3049999999999999</v>
      </c>
      <c r="AJ2" s="60">
        <v>1.33</v>
      </c>
      <c r="AK2" s="61">
        <v>1.448</v>
      </c>
      <c r="AL2" s="60">
        <v>1.1539999999999999</v>
      </c>
      <c r="AM2" s="60">
        <v>1.3919999999999999</v>
      </c>
      <c r="AN2" s="60">
        <v>1.371</v>
      </c>
      <c r="AO2" s="62">
        <f>1.309+0.36</f>
        <v>1.669</v>
      </c>
      <c r="AP2" s="63">
        <f>1.56+0.11</f>
        <v>1.6700000000000002</v>
      </c>
      <c r="AQ2" s="64">
        <f>0.96+1.162</f>
        <v>2.1219999999999999</v>
      </c>
      <c r="AR2" s="65">
        <f>0.974+1.035</f>
        <v>2.0089999999999999</v>
      </c>
      <c r="AS2" s="64">
        <f>0.963+1.103</f>
        <v>2.0659999999999998</v>
      </c>
      <c r="AT2" s="66">
        <f>1.014+1.086</f>
        <v>2.1</v>
      </c>
      <c r="AU2" s="64">
        <f>1.002+1.161</f>
        <v>2.1630000000000003</v>
      </c>
      <c r="AV2" s="67">
        <f>1.063+1.147</f>
        <v>2.21</v>
      </c>
      <c r="AW2" s="63">
        <f>0.909+1.005</f>
        <v>1.9139999999999999</v>
      </c>
      <c r="AX2" s="68">
        <v>1.486</v>
      </c>
      <c r="AY2" s="69">
        <v>1.7430000000000001</v>
      </c>
      <c r="AZ2" s="68">
        <v>1.4139999999999999</v>
      </c>
      <c r="BA2" s="70">
        <f>1.325+0.596</f>
        <v>1.9209999999999998</v>
      </c>
      <c r="BB2" s="68">
        <f>1.422+0.765</f>
        <v>2.1869999999999998</v>
      </c>
      <c r="BC2" s="71">
        <f>1.193+0.721</f>
        <v>1.9140000000000001</v>
      </c>
      <c r="BD2" s="68">
        <f>1.419+0.639</f>
        <v>2.0579999999999998</v>
      </c>
      <c r="BE2" s="72">
        <f>1.344+0.441</f>
        <v>1.7850000000000001</v>
      </c>
      <c r="BF2" s="68">
        <f>1.328+0.75</f>
        <v>2.0780000000000003</v>
      </c>
      <c r="BG2" s="73">
        <f>1.298+0.787</f>
        <v>2.085</v>
      </c>
      <c r="BH2" s="74">
        <f>1.375+1.043</f>
        <v>2.4180000000000001</v>
      </c>
      <c r="BI2" s="75">
        <f>1.37+1.46</f>
        <v>2.83</v>
      </c>
      <c r="BJ2" s="41">
        <f>1.06+1.265</f>
        <v>2.3250000000000002</v>
      </c>
      <c r="BK2" s="76">
        <f>1.009+1.293</f>
        <v>2.3019999999999996</v>
      </c>
      <c r="BL2" s="41">
        <f>0.965+1.075</f>
        <v>2.04</v>
      </c>
      <c r="BM2" s="77">
        <f>1.036+1.27</f>
        <v>2.306</v>
      </c>
      <c r="BN2" s="41">
        <v>1.8</v>
      </c>
      <c r="BO2" s="41">
        <v>1.573</v>
      </c>
      <c r="BP2" s="77">
        <v>1.831</v>
      </c>
      <c r="BQ2" s="77">
        <v>1.873</v>
      </c>
      <c r="BR2" s="77">
        <v>2.0060000000000002</v>
      </c>
      <c r="BS2" s="78">
        <f>1.307+1.01</f>
        <v>2.3170000000000002</v>
      </c>
      <c r="BT2" s="79">
        <f>1.29+1.081</f>
        <v>2.371</v>
      </c>
      <c r="BU2" s="80">
        <f>1.049+1.38</f>
        <v>2.4289999999999998</v>
      </c>
      <c r="BV2" s="81">
        <v>1.153</v>
      </c>
      <c r="BW2" s="20">
        <f>1.44+0.97</f>
        <v>2.41</v>
      </c>
      <c r="BX2" s="82">
        <f>1.28+0.41</f>
        <v>1.69</v>
      </c>
      <c r="BY2" s="20">
        <f>1.02+0.44</f>
        <v>1.46</v>
      </c>
      <c r="BZ2" s="83">
        <v>1.45</v>
      </c>
      <c r="CA2" s="20">
        <v>1.49</v>
      </c>
      <c r="CB2" s="20">
        <v>2.1</v>
      </c>
      <c r="CC2" s="84">
        <v>1.573</v>
      </c>
      <c r="CD2" s="85">
        <v>1.98</v>
      </c>
      <c r="CE2" s="84">
        <v>1.98</v>
      </c>
      <c r="CF2" s="37">
        <f>1.06+1.23</f>
        <v>2.29</v>
      </c>
      <c r="CG2" s="84">
        <v>2.15</v>
      </c>
      <c r="CH2" s="84">
        <v>1.9</v>
      </c>
      <c r="CI2" s="84">
        <v>2.46</v>
      </c>
      <c r="CJ2" s="86">
        <v>2.17</v>
      </c>
      <c r="CK2" s="84">
        <v>2.19</v>
      </c>
      <c r="CL2" s="84">
        <v>1.76</v>
      </c>
      <c r="CM2" s="87">
        <f>1.25+0.503</f>
        <v>1.7530000000000001</v>
      </c>
      <c r="CN2" s="88">
        <f>1.01+0.57</f>
        <v>1.58</v>
      </c>
      <c r="CO2" s="89">
        <f>0.625+0.96+0.87</f>
        <v>2.4550000000000001</v>
      </c>
      <c r="CP2" s="88">
        <f>1.073+0.64</f>
        <v>1.7130000000000001</v>
      </c>
      <c r="CQ2" s="90">
        <f>1.1+1.026</f>
        <v>2.1260000000000003</v>
      </c>
      <c r="CR2" s="91">
        <f>0.988+0.893</f>
        <v>1.881</v>
      </c>
      <c r="CS2" s="92">
        <f>1.467+0.18</f>
        <v>1.647</v>
      </c>
      <c r="CT2" s="93">
        <f>1.19+0.69</f>
        <v>1.88</v>
      </c>
      <c r="CU2" s="92">
        <f>1.2+0.59</f>
        <v>1.79</v>
      </c>
      <c r="CV2" s="94">
        <f>1.21+0.64</f>
        <v>1.85</v>
      </c>
      <c r="CW2" s="243">
        <f>1.176+0.442</f>
        <v>1.6179999999999999</v>
      </c>
      <c r="CX2" s="244">
        <v>1.038</v>
      </c>
      <c r="CY2" s="245">
        <f>1.458+0.637</f>
        <v>2.0949999999999998</v>
      </c>
      <c r="CZ2" s="246">
        <f>1.449</f>
        <v>1.4490000000000001</v>
      </c>
      <c r="DA2" s="247">
        <v>1.4570000000000001</v>
      </c>
      <c r="DB2" s="246">
        <v>1.516</v>
      </c>
      <c r="DC2" s="248">
        <f>1.003+0.599</f>
        <v>1.6019999999999999</v>
      </c>
      <c r="DD2" s="249">
        <v>1.74</v>
      </c>
      <c r="DE2" s="249">
        <v>1.7</v>
      </c>
      <c r="DF2" s="249">
        <v>1.57</v>
      </c>
      <c r="DG2" s="249">
        <v>1.77</v>
      </c>
      <c r="DH2" s="249">
        <v>1.48</v>
      </c>
      <c r="DI2" s="249">
        <v>1.65</v>
      </c>
      <c r="DJ2" s="95">
        <v>2.1</v>
      </c>
      <c r="DK2" s="96">
        <v>2.4209999999999998</v>
      </c>
      <c r="DL2" s="97">
        <v>2.5339999999999998</v>
      </c>
      <c r="DM2" s="98">
        <v>2.2889999999999997</v>
      </c>
      <c r="DN2" s="96">
        <v>2.4710000000000001</v>
      </c>
      <c r="DO2" s="99">
        <v>2.2800000000000002</v>
      </c>
      <c r="DP2" s="96">
        <v>1.85</v>
      </c>
      <c r="DQ2" s="96">
        <v>2.536</v>
      </c>
      <c r="DR2" s="96">
        <v>2.6629999999999998</v>
      </c>
      <c r="DS2" s="96">
        <v>2.68</v>
      </c>
      <c r="DT2" s="41">
        <v>1.22</v>
      </c>
      <c r="DU2" s="41">
        <v>1.2430000000000001</v>
      </c>
      <c r="DV2" s="41">
        <v>1.61</v>
      </c>
      <c r="DW2" s="41">
        <v>1.73</v>
      </c>
      <c r="DX2" s="41">
        <v>1.7</v>
      </c>
      <c r="DY2" s="41">
        <v>1.3</v>
      </c>
      <c r="DZ2" s="41">
        <v>1.7</v>
      </c>
      <c r="EA2" s="41">
        <v>1.43</v>
      </c>
      <c r="EB2" s="41">
        <v>1.53</v>
      </c>
      <c r="EC2" s="41">
        <v>1.2889999999999999</v>
      </c>
      <c r="ED2" s="41">
        <v>1.569</v>
      </c>
      <c r="EE2" s="100">
        <v>2.4700000000000002</v>
      </c>
      <c r="EF2" s="101">
        <v>2.7610000000000001</v>
      </c>
      <c r="EG2" s="100">
        <v>1.8919999999999999</v>
      </c>
      <c r="EH2" s="102">
        <v>2.403</v>
      </c>
      <c r="EI2" s="100">
        <v>1.9899999999999998</v>
      </c>
      <c r="EJ2" s="103">
        <v>2.3680000000000003</v>
      </c>
      <c r="EK2" s="100">
        <v>1.7509999999999999</v>
      </c>
      <c r="EL2" s="104">
        <v>2.1520000000000001</v>
      </c>
      <c r="EM2" s="100">
        <v>1.766</v>
      </c>
      <c r="EN2" s="105">
        <v>1.9609999999999999</v>
      </c>
      <c r="EO2" s="100">
        <v>2.137</v>
      </c>
      <c r="EP2" s="100">
        <v>2.121</v>
      </c>
      <c r="EQ2" s="100">
        <v>2.3420000000000001</v>
      </c>
      <c r="ER2" s="100">
        <v>2.468</v>
      </c>
      <c r="ES2" s="106">
        <f>1.455+0.945</f>
        <v>2.4</v>
      </c>
      <c r="ET2" s="107">
        <f>0.939+1.14</f>
        <v>2.0789999999999997</v>
      </c>
      <c r="EU2" s="106">
        <f>0.944+1.117</f>
        <v>2.0609999999999999</v>
      </c>
      <c r="EV2" s="108">
        <f>1.228+0.73</f>
        <v>1.958</v>
      </c>
      <c r="EW2" s="106">
        <f>1.32+0.65</f>
        <v>1.9700000000000002</v>
      </c>
      <c r="EX2" s="109">
        <f>1.304+0.38</f>
        <v>1.6840000000000002</v>
      </c>
      <c r="EY2" s="106">
        <v>1.579</v>
      </c>
      <c r="EZ2" s="110">
        <f>1.4+0.976</f>
        <v>2.3759999999999999</v>
      </c>
      <c r="FA2" s="106">
        <f>1.315+0.994</f>
        <v>2.3090000000000002</v>
      </c>
      <c r="FB2" s="107">
        <f>1.35+0.859</f>
        <v>2.2090000000000001</v>
      </c>
      <c r="FC2" s="106">
        <v>1.796</v>
      </c>
      <c r="FD2" s="106">
        <v>1.9610000000000001</v>
      </c>
      <c r="FE2" s="106">
        <v>2.0499999999999998</v>
      </c>
      <c r="FF2" s="106">
        <v>2.1709999999999998</v>
      </c>
      <c r="FG2" s="111">
        <v>2.1429999999999998</v>
      </c>
      <c r="FH2" s="112">
        <v>2.2650000000000001</v>
      </c>
      <c r="FI2" s="111">
        <f>1.82+0.59</f>
        <v>2.41</v>
      </c>
      <c r="FJ2" s="113">
        <v>2.2200000000000002</v>
      </c>
      <c r="FK2" s="111">
        <v>2.2000000000000002</v>
      </c>
      <c r="FL2" s="114">
        <f>0.965+0.722</f>
        <v>1.6869999999999998</v>
      </c>
      <c r="FM2" s="111">
        <f>1.055+1.168</f>
        <v>2.2229999999999999</v>
      </c>
      <c r="FN2" s="115">
        <f>1.085+1.225</f>
        <v>2.31</v>
      </c>
      <c r="FO2" s="116">
        <v>2.0720000000000001</v>
      </c>
      <c r="FP2" s="117">
        <v>1.901</v>
      </c>
      <c r="FQ2" s="116">
        <v>2.04</v>
      </c>
      <c r="FR2" s="118">
        <f>1.101+1.064+0.34</f>
        <v>2.5049999999999999</v>
      </c>
      <c r="FS2" s="119">
        <f>1.251+1.636</f>
        <v>2.8869999999999996</v>
      </c>
      <c r="FT2" s="118">
        <f>1.279+1.135</f>
        <v>2.4139999999999997</v>
      </c>
      <c r="FU2" s="120">
        <f>1.096+1.208</f>
        <v>2.3040000000000003</v>
      </c>
      <c r="FV2" s="118">
        <f>1.058+1.292</f>
        <v>2.35</v>
      </c>
      <c r="FW2" s="121">
        <f>1.01+1.106</f>
        <v>2.1160000000000001</v>
      </c>
      <c r="FX2" s="118">
        <f>1.256+1.49</f>
        <v>2.746</v>
      </c>
      <c r="FY2" s="122">
        <f>1.1777+1.449</f>
        <v>2.6267</v>
      </c>
      <c r="FZ2" s="118">
        <f>1.153+1.423</f>
        <v>2.5760000000000001</v>
      </c>
      <c r="GA2" s="123">
        <f>1.108+1.144</f>
        <v>2.2519999999999998</v>
      </c>
      <c r="GB2" s="118">
        <f>1.89+1.1</f>
        <v>2.99</v>
      </c>
      <c r="GC2" s="118">
        <f>1.12+1.064</f>
        <v>2.1840000000000002</v>
      </c>
      <c r="GD2" s="124">
        <v>1.3109999999999999</v>
      </c>
      <c r="GE2" s="125">
        <f>1.04+0.76</f>
        <v>1.8</v>
      </c>
      <c r="GF2" s="126">
        <v>1.528</v>
      </c>
      <c r="GG2" s="124">
        <v>1.2589999999999999</v>
      </c>
      <c r="GH2" s="127">
        <v>1.391</v>
      </c>
      <c r="GI2" s="124">
        <v>1.375</v>
      </c>
      <c r="GJ2" s="128">
        <v>1.631</v>
      </c>
      <c r="GK2" s="124">
        <v>1.4</v>
      </c>
      <c r="GL2" s="124">
        <v>1.3900000000000001</v>
      </c>
      <c r="GM2" s="124">
        <v>1.35</v>
      </c>
      <c r="GN2" s="124">
        <v>1.5499999999999998</v>
      </c>
      <c r="GO2" s="124">
        <v>1.3</v>
      </c>
      <c r="GP2" s="124">
        <v>1.46</v>
      </c>
      <c r="GQ2" s="124">
        <v>1.2999999999999998</v>
      </c>
      <c r="GR2" s="129">
        <v>1.26</v>
      </c>
      <c r="GS2" s="129">
        <v>1.5</v>
      </c>
      <c r="GT2" s="92">
        <f>1.148+1.42</f>
        <v>2.5679999999999996</v>
      </c>
      <c r="GU2" s="92">
        <f>1.169+1.22+0.381</f>
        <v>2.7700000000000005</v>
      </c>
      <c r="GV2" s="130">
        <f>1.113+1.413</f>
        <v>2.5259999999999998</v>
      </c>
      <c r="GW2" s="91">
        <f>1.129+1.079</f>
        <v>2.2080000000000002</v>
      </c>
      <c r="GX2" s="94">
        <f>1.17+1.064</f>
        <v>2.234</v>
      </c>
      <c r="GY2" s="92">
        <f>0.9+0.652+0.874</f>
        <v>2.4260000000000002</v>
      </c>
      <c r="GZ2" s="90">
        <f>1.229+1.252+0.32</f>
        <v>2.8009999999999997</v>
      </c>
      <c r="HA2" s="92">
        <f>1.226+1.304</f>
        <v>2.5300000000000002</v>
      </c>
      <c r="HB2" s="91">
        <f>1.108+1.138</f>
        <v>2.246</v>
      </c>
      <c r="HC2" s="93">
        <f>0.959+1.305</f>
        <v>2.2639999999999998</v>
      </c>
      <c r="HD2" s="92">
        <f>1.119+1.282</f>
        <v>2.4009999999999998</v>
      </c>
      <c r="HE2" s="94">
        <f>1.275+1.19</f>
        <v>2.4649999999999999</v>
      </c>
      <c r="HF2" s="92">
        <f>1.104+1.308</f>
        <v>2.4119999999999999</v>
      </c>
      <c r="HG2" s="18"/>
      <c r="HH2" s="18"/>
    </row>
    <row r="3" spans="1:216" customFormat="1" x14ac:dyDescent="0.25">
      <c r="A3" s="131" t="s">
        <v>25</v>
      </c>
      <c r="B3" s="132"/>
      <c r="C3" s="132">
        <f>C5+C6+C7+C8+C9+C10</f>
        <v>4</v>
      </c>
      <c r="D3" s="132">
        <f t="shared" ref="D3:P3" si="0">D5+D6+D7+D8+D9+D10</f>
        <v>4.5350000000000001</v>
      </c>
      <c r="E3" s="132">
        <f t="shared" si="0"/>
        <v>4.01</v>
      </c>
      <c r="F3" s="132">
        <f t="shared" si="0"/>
        <v>3.508</v>
      </c>
      <c r="G3" s="132">
        <f t="shared" si="0"/>
        <v>3.3330000000000002</v>
      </c>
      <c r="H3" s="132"/>
      <c r="I3" s="132">
        <f t="shared" si="0"/>
        <v>3.5070000000000006</v>
      </c>
      <c r="J3" s="132">
        <f t="shared" si="0"/>
        <v>3.4070000000000005</v>
      </c>
      <c r="K3" s="132">
        <f t="shared" si="0"/>
        <v>4.7450000000000001</v>
      </c>
      <c r="L3" s="132"/>
      <c r="M3" s="132">
        <f t="shared" si="0"/>
        <v>3.7709999999999999</v>
      </c>
      <c r="N3" s="132">
        <f t="shared" si="0"/>
        <v>3.4630000000000001</v>
      </c>
      <c r="O3" s="132">
        <f t="shared" si="0"/>
        <v>3.3770000000000002</v>
      </c>
      <c r="P3" s="132">
        <f t="shared" si="0"/>
        <v>3.2550000000000003</v>
      </c>
      <c r="Q3" s="132"/>
      <c r="R3" s="133">
        <f>R5+R6+R7+R8+R9+R10</f>
        <v>3.5880000000000001</v>
      </c>
      <c r="S3" s="133">
        <f t="shared" ref="S3:AB3" si="1">S5+S6+S7+S8+S9+S10</f>
        <v>3.6850000000000001</v>
      </c>
      <c r="T3" s="133"/>
      <c r="U3" s="133">
        <f t="shared" si="1"/>
        <v>3.827</v>
      </c>
      <c r="V3" s="133">
        <f t="shared" si="1"/>
        <v>3.6179999999999999</v>
      </c>
      <c r="W3" s="133"/>
      <c r="X3" s="133">
        <f t="shared" si="1"/>
        <v>3.0840000000000001</v>
      </c>
      <c r="Y3" s="133"/>
      <c r="Z3" s="133">
        <f t="shared" si="1"/>
        <v>3.8</v>
      </c>
      <c r="AA3" s="133">
        <f t="shared" si="1"/>
        <v>3.02</v>
      </c>
      <c r="AB3" s="133">
        <f t="shared" si="1"/>
        <v>3.25</v>
      </c>
      <c r="AC3" s="133"/>
      <c r="AD3" s="133">
        <f t="shared" ref="AD3" si="2">AD5+AD6+AD7+AD8+AD9+AD10</f>
        <v>3.1230000000000002</v>
      </c>
      <c r="AE3" s="133"/>
      <c r="AF3" s="133">
        <f t="shared" ref="AF3" si="3">AF5+AF6+AF7+AF8+AF9+AF10</f>
        <v>2.802</v>
      </c>
      <c r="AG3" s="134">
        <f>AG5+AG6+AG7+AG8+AG9+AG10</f>
        <v>4.0890000000000004</v>
      </c>
      <c r="AH3" s="134">
        <f t="shared" ref="AH3:AN3" si="4">AH5+AH6+AH7+AH8+AH9+AH10</f>
        <v>3.9980000000000002</v>
      </c>
      <c r="AI3" s="134">
        <f t="shared" si="4"/>
        <v>3.4489999999999998</v>
      </c>
      <c r="AJ3" s="134">
        <f t="shared" si="4"/>
        <v>3.274</v>
      </c>
      <c r="AK3" s="134">
        <f t="shared" si="4"/>
        <v>3.7640000000000002</v>
      </c>
      <c r="AL3" s="134">
        <f t="shared" si="4"/>
        <v>3.8140000000000001</v>
      </c>
      <c r="AM3" s="134">
        <f t="shared" si="4"/>
        <v>3.867</v>
      </c>
      <c r="AN3" s="134">
        <f t="shared" si="4"/>
        <v>3.927</v>
      </c>
      <c r="AO3" s="135">
        <f>AO5+AO6+AO7+AO8+AO9+AO10</f>
        <v>2.1760000000000002</v>
      </c>
      <c r="AP3" s="135">
        <f t="shared" ref="AP3:BW3" si="5">AP5+AP6+AP7+AP8+AP9+AP10</f>
        <v>2.327</v>
      </c>
      <c r="AQ3" s="135">
        <f t="shared" si="5"/>
        <v>2.7170000000000001</v>
      </c>
      <c r="AR3" s="135">
        <f t="shared" si="5"/>
        <v>2.944</v>
      </c>
      <c r="AS3" s="135">
        <f t="shared" si="5"/>
        <v>2.6240000000000001</v>
      </c>
      <c r="AT3" s="135">
        <f t="shared" si="5"/>
        <v>2.8279999999999998</v>
      </c>
      <c r="AU3" s="135">
        <f t="shared" si="5"/>
        <v>2.6870000000000003</v>
      </c>
      <c r="AV3" s="135">
        <f t="shared" si="5"/>
        <v>2.891</v>
      </c>
      <c r="AW3" s="135">
        <f t="shared" si="5"/>
        <v>2.4410000000000003</v>
      </c>
      <c r="AX3" s="136">
        <v>3.2349999999999999</v>
      </c>
      <c r="AY3" s="136">
        <f>AY5+AY6+AY7+AY8+AY9+AY10</f>
        <v>3.891</v>
      </c>
      <c r="AZ3" s="136">
        <f t="shared" si="5"/>
        <v>3.5960000000000001</v>
      </c>
      <c r="BA3" s="136">
        <f t="shared" si="5"/>
        <v>3.6909999999999998</v>
      </c>
      <c r="BB3" s="136"/>
      <c r="BC3" s="136">
        <f t="shared" si="5"/>
        <v>3.7280000000000002</v>
      </c>
      <c r="BD3" s="136"/>
      <c r="BE3" s="136">
        <f t="shared" si="5"/>
        <v>3.96</v>
      </c>
      <c r="BF3" s="136">
        <f t="shared" si="5"/>
        <v>4.6780000000000008</v>
      </c>
      <c r="BG3" s="137">
        <f>BG5+BG6+BG7+BG8+BG9+BG10</f>
        <v>4.4049999999999994</v>
      </c>
      <c r="BH3" s="137">
        <f t="shared" si="5"/>
        <v>4.2619999999999996</v>
      </c>
      <c r="BI3" s="137"/>
      <c r="BJ3" s="137">
        <f t="shared" si="5"/>
        <v>4.077</v>
      </c>
      <c r="BK3" s="137">
        <f t="shared" si="5"/>
        <v>3.774</v>
      </c>
      <c r="BL3" s="137">
        <f>BL5+BL6+BL7+BL8+BL9+BL10</f>
        <v>4.2459999999999996</v>
      </c>
      <c r="BM3" s="137"/>
      <c r="BN3" s="138">
        <f>BN5+BN6+BN7+BN8+BN9+BN10</f>
        <v>3.9790000000000001</v>
      </c>
      <c r="BO3" s="138">
        <f>BO5+BO6+BO7+BO8+BO9+BO10</f>
        <v>4.0359999999999996</v>
      </c>
      <c r="BP3" s="138">
        <f>BP5+BP6+BP7+BP8+BP9+BP10</f>
        <v>4.2720000000000002</v>
      </c>
      <c r="BQ3" s="138">
        <f>BQ5+BQ6+BQ7+BQ8+BQ9+BQ10</f>
        <v>4.6050000000000004</v>
      </c>
      <c r="BR3" s="138">
        <f>BR5+BR6+BR7+BR8+BR9+BR10</f>
        <v>4.16</v>
      </c>
      <c r="BS3" s="81">
        <f t="shared" si="5"/>
        <v>4.101</v>
      </c>
      <c r="BT3" s="81">
        <f t="shared" si="5"/>
        <v>4.3849999999999998</v>
      </c>
      <c r="BU3" s="81"/>
      <c r="BV3" s="81">
        <f t="shared" si="5"/>
        <v>3.2830000000000004</v>
      </c>
      <c r="BW3" s="81">
        <f t="shared" si="5"/>
        <v>3.62</v>
      </c>
      <c r="BX3" s="81"/>
      <c r="BY3" s="81">
        <f t="shared" ref="BY3:FB3" si="6">BY5+BY6+BY7+BY8+BY9+BY10</f>
        <v>3.62</v>
      </c>
      <c r="BZ3" s="81"/>
      <c r="CA3" s="81">
        <f t="shared" si="6"/>
        <v>3.2800000000000002</v>
      </c>
      <c r="CB3" s="81">
        <f t="shared" si="6"/>
        <v>4.7530000000000001</v>
      </c>
      <c r="CC3" s="139">
        <f t="shared" si="6"/>
        <v>3.54</v>
      </c>
      <c r="CD3" s="139">
        <f t="shared" si="6"/>
        <v>4.17</v>
      </c>
      <c r="CE3" s="139">
        <f t="shared" si="6"/>
        <v>3.7700000000000005</v>
      </c>
      <c r="CF3" s="139">
        <f t="shared" si="6"/>
        <v>4.49</v>
      </c>
      <c r="CG3" s="139">
        <f t="shared" si="6"/>
        <v>4.8</v>
      </c>
      <c r="CH3" s="139">
        <f t="shared" si="6"/>
        <v>4.4499999999999993</v>
      </c>
      <c r="CI3" s="139">
        <f t="shared" si="6"/>
        <v>4.25</v>
      </c>
      <c r="CJ3" s="139">
        <f t="shared" si="6"/>
        <v>4.5599999999999996</v>
      </c>
      <c r="CK3" s="139">
        <f t="shared" si="6"/>
        <v>4.1199999999999992</v>
      </c>
      <c r="CL3" s="139">
        <f t="shared" si="6"/>
        <v>4.55</v>
      </c>
      <c r="CM3" s="87">
        <f t="shared" si="6"/>
        <v>3.4750000000000001</v>
      </c>
      <c r="CN3" s="87">
        <f t="shared" si="6"/>
        <v>3.3380000000000001</v>
      </c>
      <c r="CO3" s="87">
        <f>CO5+CO6+CO7+CO8+CO9+CO10</f>
        <v>4.7579999999999991</v>
      </c>
      <c r="CP3" s="87"/>
      <c r="CQ3" s="87">
        <f t="shared" si="6"/>
        <v>4.702</v>
      </c>
      <c r="CR3" s="87">
        <f t="shared" si="6"/>
        <v>4.4589999999999996</v>
      </c>
      <c r="CS3" s="87">
        <f t="shared" si="6"/>
        <v>4.5059999999999993</v>
      </c>
      <c r="CT3" s="87">
        <f t="shared" si="6"/>
        <v>4.16</v>
      </c>
      <c r="CU3" s="87">
        <f t="shared" si="6"/>
        <v>4.1199999999999992</v>
      </c>
      <c r="CV3" s="87">
        <f t="shared" si="6"/>
        <v>4.4000000000000004</v>
      </c>
      <c r="CW3" s="250">
        <f t="shared" si="6"/>
        <v>3.99</v>
      </c>
      <c r="CX3" s="250">
        <f t="shared" si="6"/>
        <v>3.5049999999999999</v>
      </c>
      <c r="CY3" s="250">
        <f t="shared" si="6"/>
        <v>4.3039999999999994</v>
      </c>
      <c r="CZ3" s="250">
        <f t="shared" si="6"/>
        <v>4.617</v>
      </c>
      <c r="DA3" s="250">
        <f t="shared" si="6"/>
        <v>3.9420000000000002</v>
      </c>
      <c r="DB3" s="250">
        <f t="shared" si="6"/>
        <v>4.4669999999999996</v>
      </c>
      <c r="DC3" s="250">
        <f t="shared" si="6"/>
        <v>4.3710000000000004</v>
      </c>
      <c r="DD3" s="250">
        <f t="shared" si="6"/>
        <v>4.09</v>
      </c>
      <c r="DE3" s="250">
        <f t="shared" si="6"/>
        <v>4.0229999999999997</v>
      </c>
      <c r="DF3" s="250">
        <f t="shared" si="6"/>
        <v>3.8500000000000005</v>
      </c>
      <c r="DG3" s="250">
        <f t="shared" si="6"/>
        <v>4.1099999999999994</v>
      </c>
      <c r="DH3" s="250">
        <f t="shared" si="6"/>
        <v>3.9210000000000003</v>
      </c>
      <c r="DI3" s="250">
        <f t="shared" si="6"/>
        <v>3.3600000000000003</v>
      </c>
      <c r="DJ3" s="140">
        <f t="shared" si="6"/>
        <v>3.7529999999999997</v>
      </c>
      <c r="DK3" s="140"/>
      <c r="DL3" s="140">
        <f t="shared" si="6"/>
        <v>3.8249999999999997</v>
      </c>
      <c r="DM3" s="140"/>
      <c r="DN3" s="140">
        <f t="shared" si="6"/>
        <v>3.8150000000000004</v>
      </c>
      <c r="DO3" s="140">
        <f t="shared" si="6"/>
        <v>3.89</v>
      </c>
      <c r="DP3" s="140"/>
      <c r="DQ3" s="140">
        <f t="shared" ref="DQ3:ED3" si="7">DQ5+DQ6+DQ7+DQ8+DQ9+DQ10</f>
        <v>4.9089999999999998</v>
      </c>
      <c r="DR3" s="140">
        <f t="shared" si="7"/>
        <v>4.375</v>
      </c>
      <c r="DS3" s="140">
        <f t="shared" si="7"/>
        <v>4.431</v>
      </c>
      <c r="DT3" s="137">
        <f t="shared" si="7"/>
        <v>3.9089999999999998</v>
      </c>
      <c r="DU3" s="137">
        <f t="shared" si="7"/>
        <v>3.8559999999999999</v>
      </c>
      <c r="DV3" s="137"/>
      <c r="DW3" s="137"/>
      <c r="DX3" s="137"/>
      <c r="DY3" s="137"/>
      <c r="DZ3" s="137"/>
      <c r="EA3" s="137"/>
      <c r="EB3" s="137"/>
      <c r="EC3" s="137">
        <f t="shared" si="7"/>
        <v>3.593</v>
      </c>
      <c r="ED3" s="137">
        <f t="shared" si="7"/>
        <v>3.1459999999999999</v>
      </c>
      <c r="EE3" s="141">
        <f t="shared" si="6"/>
        <v>4.4790000000000001</v>
      </c>
      <c r="EF3" s="141">
        <f t="shared" si="6"/>
        <v>5.0039999999999996</v>
      </c>
      <c r="EG3" s="141">
        <f t="shared" si="6"/>
        <v>4.7439999999999998</v>
      </c>
      <c r="EH3" s="141">
        <f t="shared" si="6"/>
        <v>4.8149999999999995</v>
      </c>
      <c r="EI3" s="141">
        <f t="shared" si="6"/>
        <v>3.847</v>
      </c>
      <c r="EJ3" s="141">
        <f t="shared" si="6"/>
        <v>4.3130000000000006</v>
      </c>
      <c r="EK3" s="141">
        <f t="shared" si="6"/>
        <v>3.1989999999999998</v>
      </c>
      <c r="EL3" s="141">
        <f t="shared" si="6"/>
        <v>4.0969999999999995</v>
      </c>
      <c r="EM3" s="141">
        <f t="shared" si="6"/>
        <v>3.722</v>
      </c>
      <c r="EN3" s="141">
        <f t="shared" si="6"/>
        <v>3.7970000000000002</v>
      </c>
      <c r="EO3" s="141">
        <f t="shared" si="6"/>
        <v>4.0719999999999992</v>
      </c>
      <c r="EP3" s="141">
        <f t="shared" si="6"/>
        <v>3.7240000000000002</v>
      </c>
      <c r="EQ3" s="141">
        <f t="shared" si="6"/>
        <v>4.3529999999999998</v>
      </c>
      <c r="ER3" s="141">
        <f t="shared" si="6"/>
        <v>4.0739999999999998</v>
      </c>
      <c r="ES3" s="142">
        <f t="shared" si="6"/>
        <v>3.8689999999999998</v>
      </c>
      <c r="ET3" s="142">
        <f t="shared" si="6"/>
        <v>3.6830000000000003</v>
      </c>
      <c r="EU3" s="142"/>
      <c r="EV3" s="142">
        <f t="shared" si="6"/>
        <v>3.6559999999999997</v>
      </c>
      <c r="EW3" s="142">
        <f t="shared" si="6"/>
        <v>4.0830000000000002</v>
      </c>
      <c r="EX3" s="142">
        <f t="shared" si="6"/>
        <v>3.7839999999999998</v>
      </c>
      <c r="EY3" s="142">
        <f t="shared" si="6"/>
        <v>3.7069999999999999</v>
      </c>
      <c r="EZ3" s="142">
        <f t="shared" si="6"/>
        <v>4.5449999999999999</v>
      </c>
      <c r="FA3" s="142">
        <f t="shared" si="6"/>
        <v>4.51</v>
      </c>
      <c r="FB3" s="142">
        <f t="shared" si="6"/>
        <v>3.9769999999999999</v>
      </c>
      <c r="FC3" s="142">
        <f t="shared" ref="FC3:HF3" si="8">FC5+FC6+FC7+FC8+FC9+FC10</f>
        <v>3.8840000000000003</v>
      </c>
      <c r="FD3" s="142"/>
      <c r="FE3" s="142">
        <f t="shared" si="8"/>
        <v>3.9290000000000003</v>
      </c>
      <c r="FF3" s="142">
        <f t="shared" si="8"/>
        <v>4.17</v>
      </c>
      <c r="FG3" s="143">
        <f t="shared" si="8"/>
        <v>2.782</v>
      </c>
      <c r="FH3" s="143">
        <f t="shared" si="8"/>
        <v>2.9860000000000002</v>
      </c>
      <c r="FI3" s="143">
        <f t="shared" si="8"/>
        <v>2.83</v>
      </c>
      <c r="FJ3" s="143">
        <f t="shared" si="8"/>
        <v>2.944</v>
      </c>
      <c r="FK3" s="143">
        <f t="shared" si="8"/>
        <v>2.9539999999999997</v>
      </c>
      <c r="FL3" s="143">
        <f t="shared" si="8"/>
        <v>2.62</v>
      </c>
      <c r="FM3" s="143">
        <f t="shared" si="8"/>
        <v>2.9319999999999999</v>
      </c>
      <c r="FN3" s="143">
        <f t="shared" si="8"/>
        <v>2.8489999999999998</v>
      </c>
      <c r="FO3" s="143">
        <f t="shared" si="8"/>
        <v>2.8559999999999999</v>
      </c>
      <c r="FP3" s="143">
        <f t="shared" si="8"/>
        <v>3.0680000000000001</v>
      </c>
      <c r="FQ3" s="143">
        <f t="shared" si="8"/>
        <v>2.8310000000000004</v>
      </c>
      <c r="FR3" s="144">
        <f>FR5+FR6+FR7+FR8+FR9+FR10</f>
        <v>5.4559999999999995</v>
      </c>
      <c r="FS3" s="144">
        <f>FS5+FS6+FS7+FS8+FS9+FS10</f>
        <v>5.7649999999999997</v>
      </c>
      <c r="FT3" s="144">
        <f>FT5+FT6+FT7+FT8+FT9+FT10</f>
        <v>5.08</v>
      </c>
      <c r="FU3" s="144">
        <f>FU5+FU6+FU7+FU8+FU9+FU10</f>
        <v>5.1470000000000002</v>
      </c>
      <c r="FV3" s="144"/>
      <c r="FW3" s="144">
        <f>FW5+FW6+FW7+FW8+FW9+FW10</f>
        <v>4.9640000000000004</v>
      </c>
      <c r="FX3" s="144">
        <f>FX5+FX6+FX7+FX8+FX9+FX10</f>
        <v>5.5589999999999993</v>
      </c>
      <c r="FY3" s="144">
        <f>FY5+FY6+FY7+FY8+FY9+FY10</f>
        <v>5.8239999999999998</v>
      </c>
      <c r="FZ3" s="144">
        <f>FZ5+FZ6+FZ7+FZ8+FZ9+FZ10</f>
        <v>5.8629999999999995</v>
      </c>
      <c r="GA3" s="144">
        <f>GA5+GA6+GA7+GA8+GA9+GA10</f>
        <v>5.0779999999999994</v>
      </c>
      <c r="GB3" s="144">
        <f t="shared" ref="GB3:GC3" si="9">GB5+GB6+GB7+GB8+GB9+GB10</f>
        <v>5.29</v>
      </c>
      <c r="GC3" s="144">
        <f t="shared" si="9"/>
        <v>4.7</v>
      </c>
      <c r="GD3" s="145">
        <f t="shared" si="8"/>
        <v>3.4950000000000001</v>
      </c>
      <c r="GE3" s="145">
        <f>GE5+GE6+GE7+GE8+GE9+GE10</f>
        <v>3.81</v>
      </c>
      <c r="GF3" s="145">
        <f t="shared" si="8"/>
        <v>3.6140000000000003</v>
      </c>
      <c r="GG3" s="145">
        <f>GG5+GG6+GG7+GG8+GG9+GG10</f>
        <v>3.9390000000000001</v>
      </c>
      <c r="GH3" s="145">
        <f>GH5+GH6+GH7+GH8+GH9+GH10</f>
        <v>4.1920000000000002</v>
      </c>
      <c r="GI3" s="145">
        <f>GI5+GI6+GI7+GI8+GI9+GI10</f>
        <v>3.6980000000000004</v>
      </c>
      <c r="GJ3" s="145">
        <f>GJ5+GJ6+GJ7+GJ8+GJ9+GJ10</f>
        <v>3.5369999999999999</v>
      </c>
      <c r="GK3" s="145">
        <f t="shared" si="8"/>
        <v>4.18</v>
      </c>
      <c r="GL3" s="145">
        <f t="shared" si="8"/>
        <v>3.66</v>
      </c>
      <c r="GM3" s="145">
        <f t="shared" si="8"/>
        <v>3.4699999999999998</v>
      </c>
      <c r="GN3" s="145">
        <f t="shared" si="8"/>
        <v>3.6399999999999997</v>
      </c>
      <c r="GO3" s="145">
        <f t="shared" si="8"/>
        <v>3.18</v>
      </c>
      <c r="GP3" s="145">
        <f t="shared" si="8"/>
        <v>4.05</v>
      </c>
      <c r="GQ3" s="145">
        <f t="shared" si="8"/>
        <v>3.71</v>
      </c>
      <c r="GR3" s="145">
        <f t="shared" si="8"/>
        <v>3.2099999999999995</v>
      </c>
      <c r="GS3" s="145">
        <f t="shared" si="8"/>
        <v>3.6100000000000003</v>
      </c>
      <c r="GT3" s="87">
        <f t="shared" si="8"/>
        <v>3.7249999999999996</v>
      </c>
      <c r="GU3" s="87">
        <f t="shared" si="8"/>
        <v>3.7010000000000001</v>
      </c>
      <c r="GV3" s="87">
        <f t="shared" si="8"/>
        <v>3.0149999999999997</v>
      </c>
      <c r="GW3" s="87">
        <f t="shared" si="8"/>
        <v>3.2960000000000003</v>
      </c>
      <c r="GX3" s="87">
        <f t="shared" si="8"/>
        <v>3.4509999999999996</v>
      </c>
      <c r="GY3" s="87">
        <f t="shared" si="8"/>
        <v>3.1029999999999998</v>
      </c>
      <c r="GZ3" s="87">
        <f t="shared" si="8"/>
        <v>3.407</v>
      </c>
      <c r="HA3" s="87">
        <f t="shared" si="8"/>
        <v>3.6349999999999998</v>
      </c>
      <c r="HB3" s="87">
        <f t="shared" si="8"/>
        <v>3.4729999999999999</v>
      </c>
      <c r="HC3" s="87">
        <f t="shared" si="8"/>
        <v>3.008</v>
      </c>
      <c r="HD3" s="87">
        <f t="shared" si="8"/>
        <v>3.64</v>
      </c>
      <c r="HE3" s="87">
        <f t="shared" si="8"/>
        <v>4.109</v>
      </c>
      <c r="HF3" s="87">
        <f t="shared" si="8"/>
        <v>3.4719999999999995</v>
      </c>
      <c r="HG3" s="146"/>
      <c r="HH3" s="146"/>
    </row>
    <row r="4" spans="1:216" customFormat="1" x14ac:dyDescent="0.25">
      <c r="A4" t="s">
        <v>360</v>
      </c>
      <c r="B4" s="132"/>
      <c r="C4" s="147">
        <f t="shared" ref="C4:V4" si="10">C3/C2</f>
        <v>1.5779092702169624</v>
      </c>
      <c r="D4" s="148">
        <f t="shared" si="10"/>
        <v>2.052965142598461</v>
      </c>
      <c r="E4" s="149">
        <f t="shared" si="10"/>
        <v>1.7719840919133893</v>
      </c>
      <c r="F4" s="147">
        <f t="shared" si="10"/>
        <v>1.6377217553688144</v>
      </c>
      <c r="G4" s="150">
        <f t="shared" si="10"/>
        <v>2.0066225165562916</v>
      </c>
      <c r="H4" s="147"/>
      <c r="I4" s="148">
        <f t="shared" si="10"/>
        <v>2.0342227378190261</v>
      </c>
      <c r="J4" s="147">
        <f t="shared" si="10"/>
        <v>2.0736457699330497</v>
      </c>
      <c r="K4" s="132">
        <f t="shared" si="10"/>
        <v>1.8987595038015206</v>
      </c>
      <c r="L4" s="147"/>
      <c r="M4" s="149">
        <f t="shared" si="10"/>
        <v>1.8921224284997491</v>
      </c>
      <c r="N4" s="147">
        <f t="shared" si="10"/>
        <v>2.1416202844774275</v>
      </c>
      <c r="O4" s="150">
        <f t="shared" si="10"/>
        <v>2.1414077362079902</v>
      </c>
      <c r="P4" s="147">
        <f t="shared" si="10"/>
        <v>1.7864983534577388</v>
      </c>
      <c r="Q4" s="147"/>
      <c r="R4" s="151">
        <f t="shared" si="10"/>
        <v>1.4838709677419355</v>
      </c>
      <c r="S4" s="152">
        <f t="shared" si="10"/>
        <v>1.9093264248704664</v>
      </c>
      <c r="T4" s="153"/>
      <c r="U4" s="154">
        <f t="shared" si="10"/>
        <v>1.7908282639213851</v>
      </c>
      <c r="V4" s="153">
        <f t="shared" si="10"/>
        <v>1.7973174366616991</v>
      </c>
      <c r="W4" s="155"/>
      <c r="X4" s="153">
        <f t="shared" ref="X4:BC4" si="11">X3/X2</f>
        <v>1.8467065868263475</v>
      </c>
      <c r="Y4" s="151"/>
      <c r="Z4" s="153">
        <f t="shared" si="11"/>
        <v>1.784037558685446</v>
      </c>
      <c r="AA4" s="156">
        <f t="shared" si="11"/>
        <v>1.7558139534883723</v>
      </c>
      <c r="AB4" s="153">
        <f t="shared" si="11"/>
        <v>2.0700636942675157</v>
      </c>
      <c r="AC4" s="153"/>
      <c r="AD4" s="153">
        <f t="shared" ref="AD4" si="12">AD3/AD2</f>
        <v>2.1244897959183677</v>
      </c>
      <c r="AE4" s="153"/>
      <c r="AF4" s="153">
        <f t="shared" ref="AF4" si="13">AF3/AF2</f>
        <v>1.8325703073904513</v>
      </c>
      <c r="AG4" s="157">
        <f t="shared" si="11"/>
        <v>2.5101289134438307</v>
      </c>
      <c r="AH4" s="58">
        <f t="shared" si="11"/>
        <v>2.757241379310345</v>
      </c>
      <c r="AI4" s="158">
        <f t="shared" si="11"/>
        <v>2.6429118773946358</v>
      </c>
      <c r="AJ4" s="58">
        <f t="shared" si="11"/>
        <v>2.4616541353383457</v>
      </c>
      <c r="AK4" s="159">
        <f t="shared" si="11"/>
        <v>2.5994475138121551</v>
      </c>
      <c r="AL4" s="58">
        <f t="shared" si="11"/>
        <v>3.3050259965337956</v>
      </c>
      <c r="AM4" s="58">
        <f t="shared" si="11"/>
        <v>2.7780172413793105</v>
      </c>
      <c r="AN4" s="58">
        <f t="shared" si="11"/>
        <v>2.8643326039387307</v>
      </c>
      <c r="AO4" s="160">
        <f t="shared" si="11"/>
        <v>1.3037747153984423</v>
      </c>
      <c r="AP4" s="161">
        <f t="shared" si="11"/>
        <v>1.3934131736526945</v>
      </c>
      <c r="AQ4" s="162">
        <f t="shared" si="11"/>
        <v>1.2803958529688975</v>
      </c>
      <c r="AR4" s="135">
        <f t="shared" si="11"/>
        <v>1.465405674464908</v>
      </c>
      <c r="AS4" s="162">
        <f t="shared" si="11"/>
        <v>1.2700871248789933</v>
      </c>
      <c r="AT4" s="163">
        <f t="shared" si="11"/>
        <v>1.3466666666666665</v>
      </c>
      <c r="AU4" s="162">
        <f t="shared" si="11"/>
        <v>1.2422561257512714</v>
      </c>
      <c r="AV4" s="164">
        <f t="shared" si="11"/>
        <v>1.3081447963800905</v>
      </c>
      <c r="AW4" s="161">
        <f t="shared" si="11"/>
        <v>1.2753396029258099</v>
      </c>
      <c r="AX4" s="165">
        <v>2.1769851951547778</v>
      </c>
      <c r="AY4" s="166">
        <f t="shared" si="11"/>
        <v>2.2323580034423407</v>
      </c>
      <c r="AZ4" s="165">
        <f t="shared" si="11"/>
        <v>2.5431400282885432</v>
      </c>
      <c r="BA4" s="167">
        <f t="shared" si="11"/>
        <v>1.9213951067152526</v>
      </c>
      <c r="BB4" s="165"/>
      <c r="BC4" s="168">
        <f t="shared" si="11"/>
        <v>1.9477533960292581</v>
      </c>
      <c r="BD4" s="165"/>
      <c r="BE4" s="169">
        <f t="shared" ref="BE4:EK4" si="14">BE3/BE2</f>
        <v>2.2184873949579829</v>
      </c>
      <c r="BF4" s="165">
        <f t="shared" si="14"/>
        <v>2.2512030798845046</v>
      </c>
      <c r="BG4" s="73">
        <f t="shared" si="14"/>
        <v>2.1127098321342923</v>
      </c>
      <c r="BH4" s="74">
        <f t="shared" si="14"/>
        <v>1.7626137303556655</v>
      </c>
      <c r="BI4" s="75"/>
      <c r="BJ4" s="138">
        <f t="shared" si="14"/>
        <v>1.7535483870967741</v>
      </c>
      <c r="BK4" s="137">
        <f t="shared" si="14"/>
        <v>1.6394439617723722</v>
      </c>
      <c r="BL4" s="138">
        <f t="shared" si="14"/>
        <v>2.0813725490196076</v>
      </c>
      <c r="BM4" s="170"/>
      <c r="BN4" s="138">
        <f>BN3/BN2</f>
        <v>2.2105555555555556</v>
      </c>
      <c r="BO4" s="138">
        <f>BO3/BO2</f>
        <v>2.565797838525111</v>
      </c>
      <c r="BP4" s="138">
        <f>BP3/BP2</f>
        <v>2.3331512834516661</v>
      </c>
      <c r="BQ4" s="138">
        <f>BQ3/BQ2</f>
        <v>2.4586225306994129</v>
      </c>
      <c r="BR4" s="138">
        <f>BR3/BR2</f>
        <v>2.0737786640079761</v>
      </c>
      <c r="BS4" s="78">
        <f t="shared" si="14"/>
        <v>1.7699611566681053</v>
      </c>
      <c r="BT4" s="79">
        <f t="shared" si="14"/>
        <v>1.8494306199915647</v>
      </c>
      <c r="BU4" s="80"/>
      <c r="BV4" s="81">
        <f t="shared" si="14"/>
        <v>2.8473547267996535</v>
      </c>
      <c r="BW4" s="79">
        <f t="shared" si="14"/>
        <v>1.5020746887966805</v>
      </c>
      <c r="BX4" s="171"/>
      <c r="BY4" s="79">
        <f t="shared" si="14"/>
        <v>2.4794520547945207</v>
      </c>
      <c r="BZ4" s="172"/>
      <c r="CA4" s="79">
        <f t="shared" si="14"/>
        <v>2.201342281879195</v>
      </c>
      <c r="CB4" s="79">
        <f t="shared" si="14"/>
        <v>2.2633333333333332</v>
      </c>
      <c r="CC4" s="173">
        <f t="shared" si="14"/>
        <v>2.2504767959313416</v>
      </c>
      <c r="CD4" s="174">
        <f t="shared" si="14"/>
        <v>2.106060606060606</v>
      </c>
      <c r="CE4" s="173">
        <f t="shared" si="14"/>
        <v>1.9040404040404042</v>
      </c>
      <c r="CF4" s="175">
        <f t="shared" si="14"/>
        <v>1.9606986899563319</v>
      </c>
      <c r="CG4" s="173">
        <f t="shared" si="14"/>
        <v>2.2325581395348837</v>
      </c>
      <c r="CH4" s="173">
        <f t="shared" si="14"/>
        <v>2.3421052631578947</v>
      </c>
      <c r="CI4" s="173">
        <f t="shared" si="14"/>
        <v>1.7276422764227644</v>
      </c>
      <c r="CJ4" s="176">
        <f t="shared" si="14"/>
        <v>2.1013824884792625</v>
      </c>
      <c r="CK4" s="173">
        <f t="shared" si="14"/>
        <v>1.8812785388127851</v>
      </c>
      <c r="CL4" s="173">
        <f t="shared" si="14"/>
        <v>2.5852272727272725</v>
      </c>
      <c r="CM4" s="89">
        <f t="shared" si="14"/>
        <v>1.9823160296634341</v>
      </c>
      <c r="CN4" s="89">
        <f t="shared" si="14"/>
        <v>2.1126582278481014</v>
      </c>
      <c r="CO4" s="89">
        <f>CO3/CO2</f>
        <v>1.9380855397148673</v>
      </c>
      <c r="CP4" s="88"/>
      <c r="CQ4" s="177">
        <f t="shared" si="14"/>
        <v>2.2116650987770456</v>
      </c>
      <c r="CR4" s="178">
        <f t="shared" si="14"/>
        <v>2.3705475810738967</v>
      </c>
      <c r="CS4" s="88">
        <f t="shared" si="14"/>
        <v>2.7358834244080144</v>
      </c>
      <c r="CT4" s="179">
        <f t="shared" si="14"/>
        <v>2.2127659574468086</v>
      </c>
      <c r="CU4" s="88">
        <f t="shared" si="14"/>
        <v>2.3016759776536309</v>
      </c>
      <c r="CV4" s="87">
        <f t="shared" si="14"/>
        <v>2.3783783783783785</v>
      </c>
      <c r="CW4" s="243">
        <f t="shared" si="14"/>
        <v>2.466007416563659</v>
      </c>
      <c r="CX4" s="244">
        <f t="shared" si="14"/>
        <v>3.3766859344894025</v>
      </c>
      <c r="CY4" s="245">
        <f t="shared" si="14"/>
        <v>2.0544152744630071</v>
      </c>
      <c r="CZ4" s="244">
        <f t="shared" si="14"/>
        <v>3.1863354037267078</v>
      </c>
      <c r="DA4" s="251">
        <f t="shared" si="14"/>
        <v>2.7055593685655457</v>
      </c>
      <c r="DB4" s="244">
        <f t="shared" si="14"/>
        <v>2.9465699208443268</v>
      </c>
      <c r="DC4" s="243">
        <f t="shared" si="14"/>
        <v>2.7284644194756558</v>
      </c>
      <c r="DD4" s="252">
        <f t="shared" si="14"/>
        <v>2.3505747126436782</v>
      </c>
      <c r="DE4" s="252">
        <f t="shared" si="14"/>
        <v>2.3664705882352939</v>
      </c>
      <c r="DF4" s="252">
        <f t="shared" si="14"/>
        <v>2.4522292993630574</v>
      </c>
      <c r="DG4" s="252">
        <f t="shared" si="14"/>
        <v>2.3220338983050843</v>
      </c>
      <c r="DH4" s="252">
        <f t="shared" si="14"/>
        <v>2.6493243243243247</v>
      </c>
      <c r="DI4" s="252">
        <f t="shared" si="14"/>
        <v>2.0363636363636366</v>
      </c>
      <c r="DJ4" s="180">
        <f t="shared" si="14"/>
        <v>1.7871428571428569</v>
      </c>
      <c r="DK4" s="181"/>
      <c r="DL4" s="182">
        <f t="shared" si="14"/>
        <v>1.5094711917916337</v>
      </c>
      <c r="DM4" s="183"/>
      <c r="DN4" s="181">
        <f t="shared" si="14"/>
        <v>1.5439093484419264</v>
      </c>
      <c r="DO4" s="184">
        <f t="shared" si="14"/>
        <v>1.7061403508771928</v>
      </c>
      <c r="DP4" s="184"/>
      <c r="DQ4" s="184">
        <f t="shared" ref="DQ4:ED4" si="15">DQ3/DQ2</f>
        <v>1.935725552050473</v>
      </c>
      <c r="DR4" s="184">
        <f t="shared" si="15"/>
        <v>1.6428839654524974</v>
      </c>
      <c r="DS4" s="184">
        <f t="shared" si="15"/>
        <v>1.6533582089552239</v>
      </c>
      <c r="DT4" s="138">
        <f t="shared" si="15"/>
        <v>3.2040983606557378</v>
      </c>
      <c r="DU4" s="138">
        <f t="shared" si="15"/>
        <v>3.1021721641190663</v>
      </c>
      <c r="DV4" s="138"/>
      <c r="DW4" s="138"/>
      <c r="DX4" s="138"/>
      <c r="DY4" s="138"/>
      <c r="DZ4" s="138"/>
      <c r="EA4" s="138"/>
      <c r="EB4" s="138"/>
      <c r="EC4" s="138">
        <f t="shared" si="15"/>
        <v>2.787432117920869</v>
      </c>
      <c r="ED4" s="138">
        <f t="shared" si="15"/>
        <v>2.0050987890376035</v>
      </c>
      <c r="EE4" s="185">
        <f t="shared" si="14"/>
        <v>1.8133603238866396</v>
      </c>
      <c r="EF4" s="186">
        <f t="shared" si="14"/>
        <v>1.8123868163708798</v>
      </c>
      <c r="EG4" s="185">
        <f t="shared" si="14"/>
        <v>2.507399577167019</v>
      </c>
      <c r="EH4" s="187">
        <f t="shared" si="14"/>
        <v>2.0037453183520597</v>
      </c>
      <c r="EI4" s="185">
        <f t="shared" si="14"/>
        <v>1.9331658291457288</v>
      </c>
      <c r="EJ4" s="188">
        <f t="shared" si="14"/>
        <v>1.8213682432432432</v>
      </c>
      <c r="EK4" s="185">
        <f t="shared" si="14"/>
        <v>1.826956025128498</v>
      </c>
      <c r="EL4" s="189">
        <f t="shared" ref="EL4:HF4" si="16">EL3/EL2</f>
        <v>1.9038104089219328</v>
      </c>
      <c r="EM4" s="185">
        <f t="shared" si="16"/>
        <v>2.1075877689694225</v>
      </c>
      <c r="EN4" s="190">
        <f t="shared" si="16"/>
        <v>1.9362570117287101</v>
      </c>
      <c r="EO4" s="190">
        <f t="shared" si="16"/>
        <v>1.9054749649040708</v>
      </c>
      <c r="EP4" s="190">
        <f t="shared" si="16"/>
        <v>1.7557755775577559</v>
      </c>
      <c r="EQ4" s="190">
        <f t="shared" si="16"/>
        <v>1.8586678052946197</v>
      </c>
      <c r="ER4" s="190">
        <f t="shared" si="16"/>
        <v>1.6507293354943273</v>
      </c>
      <c r="ES4" s="191">
        <f t="shared" si="16"/>
        <v>1.6120833333333333</v>
      </c>
      <c r="ET4" s="192">
        <f t="shared" si="16"/>
        <v>1.7715247715247719</v>
      </c>
      <c r="EU4" s="191"/>
      <c r="EV4" s="193">
        <f t="shared" si="16"/>
        <v>1.8672114402451481</v>
      </c>
      <c r="EW4" s="191">
        <f t="shared" si="16"/>
        <v>2.0725888324873094</v>
      </c>
      <c r="EX4" s="194">
        <f t="shared" si="16"/>
        <v>2.247030878859857</v>
      </c>
      <c r="EY4" s="191">
        <f t="shared" si="16"/>
        <v>2.3476884103863203</v>
      </c>
      <c r="EZ4" s="195">
        <f t="shared" si="16"/>
        <v>1.9128787878787878</v>
      </c>
      <c r="FA4" s="191">
        <f t="shared" si="16"/>
        <v>1.9532265049805109</v>
      </c>
      <c r="FB4" s="192">
        <f t="shared" si="16"/>
        <v>1.8003621548211859</v>
      </c>
      <c r="FC4" s="192">
        <f t="shared" si="16"/>
        <v>2.1625835189309579</v>
      </c>
      <c r="FD4" s="192"/>
      <c r="FE4" s="192">
        <f t="shared" si="16"/>
        <v>1.9165853658536589</v>
      </c>
      <c r="FF4" s="192">
        <f t="shared" si="16"/>
        <v>1.9207738369415017</v>
      </c>
      <c r="FG4" s="111">
        <f t="shared" si="16"/>
        <v>1.2981801213252451</v>
      </c>
      <c r="FH4" s="112">
        <f t="shared" si="16"/>
        <v>1.3183222958057395</v>
      </c>
      <c r="FI4" s="111">
        <f t="shared" si="16"/>
        <v>1.1742738589211619</v>
      </c>
      <c r="FJ4" s="113">
        <f t="shared" si="16"/>
        <v>1.3261261261261259</v>
      </c>
      <c r="FK4" s="111">
        <f t="shared" si="16"/>
        <v>1.3427272727272725</v>
      </c>
      <c r="FL4" s="114">
        <f t="shared" si="16"/>
        <v>1.5530527563722587</v>
      </c>
      <c r="FM4" s="111">
        <f t="shared" si="16"/>
        <v>1.3189383715699505</v>
      </c>
      <c r="FN4" s="112">
        <f t="shared" si="16"/>
        <v>1.2333333333333332</v>
      </c>
      <c r="FO4" s="111">
        <f t="shared" si="16"/>
        <v>1.3783783783783783</v>
      </c>
      <c r="FP4" s="196">
        <f t="shared" si="16"/>
        <v>1.6138874276696475</v>
      </c>
      <c r="FQ4" s="111">
        <f t="shared" si="16"/>
        <v>1.3877450980392159</v>
      </c>
      <c r="FR4" s="197">
        <f>FR3/FR2</f>
        <v>2.1780439121756485</v>
      </c>
      <c r="FS4" s="198">
        <f>FS3/FS2</f>
        <v>1.9968825770696226</v>
      </c>
      <c r="FT4" s="197">
        <f>FT3/FT2</f>
        <v>2.1043910521955262</v>
      </c>
      <c r="FU4" s="199">
        <f>FU3/FU2</f>
        <v>2.2339409722222219</v>
      </c>
      <c r="FV4" s="197"/>
      <c r="FW4" s="200">
        <f>FW3/FW2</f>
        <v>2.3459357277882797</v>
      </c>
      <c r="FX4" s="197">
        <f>FX3/FX2</f>
        <v>2.0243991260014562</v>
      </c>
      <c r="FY4" s="201">
        <f>FY3/FY2</f>
        <v>2.2172307458027181</v>
      </c>
      <c r="FZ4" s="197">
        <f>FZ3/FZ2</f>
        <v>2.2760093167701863</v>
      </c>
      <c r="GA4" s="202">
        <f>GA3/GA2</f>
        <v>2.2548845470692718</v>
      </c>
      <c r="GB4" s="202">
        <f t="shared" ref="GB4:GC4" si="17">GB3/GB2</f>
        <v>1.7692307692307692</v>
      </c>
      <c r="GC4" s="202">
        <f t="shared" si="17"/>
        <v>2.1520146520146519</v>
      </c>
      <c r="GD4" s="125">
        <f t="shared" si="16"/>
        <v>2.6659038901601835</v>
      </c>
      <c r="GE4" s="125">
        <f t="shared" si="16"/>
        <v>2.1166666666666667</v>
      </c>
      <c r="GF4" s="203">
        <f t="shared" si="16"/>
        <v>2.3651832460732987</v>
      </c>
      <c r="GG4" s="204">
        <f t="shared" si="16"/>
        <v>3.1286735504368548</v>
      </c>
      <c r="GH4" s="205">
        <f t="shared" si="16"/>
        <v>3.0136592379583034</v>
      </c>
      <c r="GI4" s="204">
        <f t="shared" si="16"/>
        <v>2.6894545454545455</v>
      </c>
      <c r="GJ4" s="206">
        <f t="shared" si="16"/>
        <v>2.1686082158185163</v>
      </c>
      <c r="GK4" s="206">
        <f t="shared" si="16"/>
        <v>2.9857142857142858</v>
      </c>
      <c r="GL4" s="206">
        <f t="shared" si="16"/>
        <v>2.6330935251798562</v>
      </c>
      <c r="GM4" s="206">
        <f t="shared" si="16"/>
        <v>2.57037037037037</v>
      </c>
      <c r="GN4" s="206">
        <f t="shared" si="16"/>
        <v>2.3483870967741938</v>
      </c>
      <c r="GO4" s="206">
        <f t="shared" si="16"/>
        <v>2.4461538461538463</v>
      </c>
      <c r="GP4" s="206">
        <f t="shared" si="16"/>
        <v>2.7739726027397258</v>
      </c>
      <c r="GQ4" s="206">
        <f t="shared" si="16"/>
        <v>2.8538461538461544</v>
      </c>
      <c r="GR4" s="206">
        <f t="shared" si="16"/>
        <v>2.547619047619047</v>
      </c>
      <c r="GS4" s="206">
        <f t="shared" si="16"/>
        <v>2.4066666666666667</v>
      </c>
      <c r="GT4" s="88">
        <f t="shared" si="16"/>
        <v>1.4505451713395638</v>
      </c>
      <c r="GU4" s="88">
        <f t="shared" si="16"/>
        <v>1.3361010830324909</v>
      </c>
      <c r="GV4" s="207">
        <f t="shared" si="16"/>
        <v>1.193586698337292</v>
      </c>
      <c r="GW4" s="178">
        <f t="shared" si="16"/>
        <v>1.4927536231884058</v>
      </c>
      <c r="GX4" s="87">
        <f t="shared" si="16"/>
        <v>1.5447627573858549</v>
      </c>
      <c r="GY4" s="88">
        <f t="shared" si="16"/>
        <v>1.2790601813685076</v>
      </c>
      <c r="GZ4" s="177">
        <f t="shared" si="16"/>
        <v>1.2163513031060338</v>
      </c>
      <c r="HA4" s="88">
        <f t="shared" si="16"/>
        <v>1.4367588932806321</v>
      </c>
      <c r="HB4" s="178">
        <f t="shared" si="16"/>
        <v>1.5463045414069456</v>
      </c>
      <c r="HC4" s="179">
        <f t="shared" si="16"/>
        <v>1.3286219081272086</v>
      </c>
      <c r="HD4" s="88">
        <f t="shared" si="16"/>
        <v>1.5160349854227406</v>
      </c>
      <c r="HE4" s="87">
        <f t="shared" si="16"/>
        <v>1.6669371196754565</v>
      </c>
      <c r="HF4" s="88">
        <f t="shared" si="16"/>
        <v>1.4394693200663349</v>
      </c>
      <c r="HG4" s="146"/>
      <c r="HH4" s="146"/>
    </row>
    <row r="5" spans="1:216" customFormat="1" x14ac:dyDescent="0.25">
      <c r="A5" t="s">
        <v>24</v>
      </c>
      <c r="B5" s="48">
        <v>0.113</v>
      </c>
      <c r="C5" s="24">
        <v>0.128</v>
      </c>
      <c r="D5" s="49">
        <v>0.11600000000000001</v>
      </c>
      <c r="E5" s="50">
        <v>0.112</v>
      </c>
      <c r="F5" s="24">
        <v>0.10299999999999999</v>
      </c>
      <c r="G5" s="51">
        <v>9.2999999999999999E-2</v>
      </c>
      <c r="H5" s="24">
        <v>8.5999999999999993E-2</v>
      </c>
      <c r="I5" s="49">
        <v>9.8000000000000004E-2</v>
      </c>
      <c r="J5" s="24">
        <v>9.0999999999999998E-2</v>
      </c>
      <c r="K5" s="48">
        <v>0.11899999999999999</v>
      </c>
      <c r="L5" s="24">
        <v>0.123</v>
      </c>
      <c r="M5" s="50">
        <v>0.108</v>
      </c>
      <c r="N5" s="24">
        <v>8.8999999999999996E-2</v>
      </c>
      <c r="O5" s="51">
        <v>9.9000000000000005E-2</v>
      </c>
      <c r="P5" s="24">
        <v>8.3000000000000004E-2</v>
      </c>
      <c r="Q5" s="24">
        <v>9.9000000000000005E-2</v>
      </c>
      <c r="R5" s="52">
        <v>0.1</v>
      </c>
      <c r="S5" s="53">
        <v>0.105</v>
      </c>
      <c r="T5" s="22">
        <v>0.104</v>
      </c>
      <c r="U5" s="54">
        <v>0.107</v>
      </c>
      <c r="V5" s="22">
        <v>9.8000000000000004E-2</v>
      </c>
      <c r="W5" s="55">
        <v>9.7000000000000003E-2</v>
      </c>
      <c r="X5" s="22">
        <v>0.1</v>
      </c>
      <c r="Y5" s="52">
        <v>0.1</v>
      </c>
      <c r="Z5" s="22">
        <v>0.1</v>
      </c>
      <c r="AA5" s="56">
        <v>0.09</v>
      </c>
      <c r="AB5" s="22">
        <v>0.09</v>
      </c>
      <c r="AC5" s="22">
        <v>0.08</v>
      </c>
      <c r="AD5" s="22">
        <v>0.09</v>
      </c>
      <c r="AE5" s="22">
        <v>0.09</v>
      </c>
      <c r="AF5" s="22">
        <v>0.09</v>
      </c>
      <c r="AG5" s="57">
        <v>8.6999999999999994E-2</v>
      </c>
      <c r="AH5" s="58">
        <v>8.3000000000000004E-2</v>
      </c>
      <c r="AI5" s="59">
        <v>8.1000000000000003E-2</v>
      </c>
      <c r="AJ5" s="60">
        <v>0.08</v>
      </c>
      <c r="AK5" s="61">
        <v>8.7999999999999995E-2</v>
      </c>
      <c r="AL5" s="60">
        <v>7.9000000000000001E-2</v>
      </c>
      <c r="AM5" s="60">
        <v>9.6000000000000002E-2</v>
      </c>
      <c r="AN5" s="60">
        <v>7.6999999999999999E-2</v>
      </c>
      <c r="AO5" s="62">
        <v>7.0000000000000007E-2</v>
      </c>
      <c r="AP5" s="63">
        <v>8.3000000000000004E-2</v>
      </c>
      <c r="AQ5" s="64">
        <v>9.5000000000000001E-2</v>
      </c>
      <c r="AR5" s="65">
        <v>9.6000000000000002E-2</v>
      </c>
      <c r="AS5" s="64">
        <v>9.1999999999999998E-2</v>
      </c>
      <c r="AT5" s="66">
        <v>8.1000000000000003E-2</v>
      </c>
      <c r="AU5" s="64">
        <v>9.8000000000000004E-2</v>
      </c>
      <c r="AV5" s="67">
        <v>8.5000000000000006E-2</v>
      </c>
      <c r="AW5" s="63">
        <v>0.08</v>
      </c>
      <c r="AX5" s="68">
        <v>8.6999999999999994E-2</v>
      </c>
      <c r="AY5" s="68">
        <v>0.10100000000000001</v>
      </c>
      <c r="AZ5" s="68">
        <v>0.09</v>
      </c>
      <c r="BA5" s="70">
        <v>8.5999999999999993E-2</v>
      </c>
      <c r="BB5" s="68">
        <v>9.9000000000000005E-2</v>
      </c>
      <c r="BC5" s="71">
        <v>0.11700000000000001</v>
      </c>
      <c r="BD5" s="68">
        <v>0.104</v>
      </c>
      <c r="BE5" s="72">
        <v>0.11799999999999999</v>
      </c>
      <c r="BF5" s="68">
        <v>0.104</v>
      </c>
      <c r="BG5" s="73">
        <v>0.11</v>
      </c>
      <c r="BH5" s="74">
        <v>0.11</v>
      </c>
      <c r="BI5" s="75">
        <v>0.121</v>
      </c>
      <c r="BJ5" s="41">
        <v>0.12</v>
      </c>
      <c r="BK5" s="76">
        <v>0.122</v>
      </c>
      <c r="BL5" s="41">
        <v>0.115</v>
      </c>
      <c r="BM5" s="77">
        <v>0.11899999999999999</v>
      </c>
      <c r="BN5" s="41">
        <v>0.1</v>
      </c>
      <c r="BO5" s="41">
        <v>0.1</v>
      </c>
      <c r="BP5" s="41">
        <v>0.11</v>
      </c>
      <c r="BQ5" s="41">
        <v>0.1</v>
      </c>
      <c r="BR5" s="41">
        <v>0.1</v>
      </c>
      <c r="BS5" s="78">
        <v>0.10299999999999999</v>
      </c>
      <c r="BT5" s="79">
        <v>0.114</v>
      </c>
      <c r="BU5" s="80">
        <v>0.11</v>
      </c>
      <c r="BV5" s="81">
        <v>8.3000000000000004E-2</v>
      </c>
      <c r="BW5" s="20">
        <v>0.09</v>
      </c>
      <c r="BX5" s="82">
        <v>0.08</v>
      </c>
      <c r="BY5" s="20">
        <v>0.08</v>
      </c>
      <c r="BZ5" s="83">
        <v>0.08</v>
      </c>
      <c r="CA5" s="20">
        <v>0.08</v>
      </c>
      <c r="CB5" s="19">
        <v>0.11</v>
      </c>
      <c r="CC5" s="37">
        <v>0.09</v>
      </c>
      <c r="CD5" s="37">
        <v>0.11</v>
      </c>
      <c r="CE5" s="84">
        <v>0.1</v>
      </c>
      <c r="CF5" s="84">
        <v>0.12</v>
      </c>
      <c r="CG5" s="37">
        <v>0.12</v>
      </c>
      <c r="CH5" s="37">
        <v>0.11</v>
      </c>
      <c r="CI5" s="84">
        <v>0.13</v>
      </c>
      <c r="CJ5" s="37">
        <v>0.11</v>
      </c>
      <c r="CK5" s="84">
        <v>0.12</v>
      </c>
      <c r="CL5" s="84">
        <v>0.12</v>
      </c>
      <c r="CM5" s="88">
        <v>0.105</v>
      </c>
      <c r="CN5" s="88">
        <v>9.1999999999999998E-2</v>
      </c>
      <c r="CO5" s="89">
        <v>0.113</v>
      </c>
      <c r="CP5" s="88">
        <v>0.11</v>
      </c>
      <c r="CQ5" s="90">
        <v>0.107</v>
      </c>
      <c r="CR5" s="91">
        <v>9.9000000000000005E-2</v>
      </c>
      <c r="CS5" s="92">
        <v>9.1999999999999998E-2</v>
      </c>
      <c r="CT5" s="93">
        <v>0.12</v>
      </c>
      <c r="CU5" s="92">
        <v>0.1</v>
      </c>
      <c r="CV5" s="94">
        <v>0.1</v>
      </c>
      <c r="CW5" s="244">
        <v>0.10199999999999999</v>
      </c>
      <c r="CX5" s="244">
        <v>9.0999999999999998E-2</v>
      </c>
      <c r="CY5" s="245">
        <v>0.12</v>
      </c>
      <c r="CZ5" s="246">
        <v>0.123</v>
      </c>
      <c r="DA5" s="247">
        <v>0.111</v>
      </c>
      <c r="DB5" s="246">
        <v>0.10100000000000001</v>
      </c>
      <c r="DC5" s="248">
        <v>0.10299999999999999</v>
      </c>
      <c r="DD5" s="253">
        <v>0.11</v>
      </c>
      <c r="DE5" s="253">
        <v>0.11</v>
      </c>
      <c r="DF5" s="246">
        <v>0.1</v>
      </c>
      <c r="DG5" s="253">
        <v>0.11</v>
      </c>
      <c r="DH5" s="246">
        <v>0.1</v>
      </c>
      <c r="DI5" s="246">
        <v>0.1</v>
      </c>
      <c r="DJ5" s="95">
        <v>0.1</v>
      </c>
      <c r="DK5" s="96">
        <v>0.106</v>
      </c>
      <c r="DL5" s="97">
        <v>0.10199999999999999</v>
      </c>
      <c r="DM5" s="98">
        <v>9.7000000000000003E-2</v>
      </c>
      <c r="DN5" s="96">
        <v>0.10299999999999999</v>
      </c>
      <c r="DO5" s="99">
        <v>0.12</v>
      </c>
      <c r="DP5" s="96">
        <v>0.09</v>
      </c>
      <c r="DQ5" s="96">
        <v>0.12</v>
      </c>
      <c r="DR5" s="96">
        <v>0.1</v>
      </c>
      <c r="DS5" s="96">
        <v>0.12</v>
      </c>
      <c r="DT5" s="41">
        <v>7.3999999999999996E-2</v>
      </c>
      <c r="DU5" s="41">
        <v>7.0000000000000007E-2</v>
      </c>
      <c r="DV5" s="41">
        <v>0.08</v>
      </c>
      <c r="DW5" s="41">
        <v>7.5999999999999998E-2</v>
      </c>
      <c r="DX5" s="41">
        <v>7.9000000000000001E-2</v>
      </c>
      <c r="DY5" s="41">
        <v>8.6999999999999994E-2</v>
      </c>
      <c r="DZ5" s="41">
        <v>8.5999999999999993E-2</v>
      </c>
      <c r="EA5" s="41">
        <v>8.4000000000000005E-2</v>
      </c>
      <c r="EB5" s="41">
        <v>7.8E-2</v>
      </c>
      <c r="EC5" s="41">
        <v>9.0999999999999998E-2</v>
      </c>
      <c r="ED5" s="41">
        <v>9.2999999999999999E-2</v>
      </c>
      <c r="EE5" s="100">
        <v>0.127</v>
      </c>
      <c r="EF5" s="101">
        <v>0.14699999999999999</v>
      </c>
      <c r="EG5" s="100">
        <v>0.12</v>
      </c>
      <c r="EH5" s="102">
        <v>0.125</v>
      </c>
      <c r="EI5" s="100">
        <v>0.107</v>
      </c>
      <c r="EJ5" s="103">
        <v>0.12</v>
      </c>
      <c r="EK5" s="100">
        <v>0.12</v>
      </c>
      <c r="EL5" s="104">
        <v>0.122</v>
      </c>
      <c r="EM5" s="100">
        <v>0.11799999999999999</v>
      </c>
      <c r="EN5" s="105">
        <v>0.107</v>
      </c>
      <c r="EO5" s="100">
        <v>0.124</v>
      </c>
      <c r="EP5" s="100">
        <v>0.13</v>
      </c>
      <c r="EQ5" s="100">
        <v>0.12</v>
      </c>
      <c r="ER5" s="100">
        <v>0.113</v>
      </c>
      <c r="ES5" s="106">
        <v>0.108</v>
      </c>
      <c r="ET5" s="107">
        <v>0.105</v>
      </c>
      <c r="EU5" s="106">
        <v>0.112</v>
      </c>
      <c r="EV5" s="108">
        <v>0.105</v>
      </c>
      <c r="EW5" s="106">
        <v>0.105</v>
      </c>
      <c r="EX5" s="109">
        <v>0.106</v>
      </c>
      <c r="EY5" s="106">
        <v>9.4E-2</v>
      </c>
      <c r="EZ5" s="110">
        <v>0.11899999999999999</v>
      </c>
      <c r="FA5" s="106">
        <v>0.128</v>
      </c>
      <c r="FB5" s="107">
        <v>0.108</v>
      </c>
      <c r="FC5" s="106">
        <v>0.09</v>
      </c>
      <c r="FD5" s="106">
        <v>0.08</v>
      </c>
      <c r="FE5" s="106">
        <v>0.1</v>
      </c>
      <c r="FF5" s="106">
        <v>0.11600000000000001</v>
      </c>
      <c r="FG5" s="111">
        <v>9.5000000000000001E-2</v>
      </c>
      <c r="FH5" s="112">
        <v>9.9000000000000005E-2</v>
      </c>
      <c r="FI5" s="111">
        <v>8.8999999999999996E-2</v>
      </c>
      <c r="FJ5" s="113">
        <v>9.7000000000000003E-2</v>
      </c>
      <c r="FK5" s="111">
        <v>0.104</v>
      </c>
      <c r="FL5" s="114">
        <v>0.09</v>
      </c>
      <c r="FM5" s="111">
        <v>9.1999999999999998E-2</v>
      </c>
      <c r="FN5" s="115">
        <v>0.1</v>
      </c>
      <c r="FO5" s="116">
        <v>9.6000000000000002E-2</v>
      </c>
      <c r="FP5" s="117">
        <v>8.5000000000000006E-2</v>
      </c>
      <c r="FQ5" s="116">
        <v>8.8999999999999996E-2</v>
      </c>
      <c r="FR5" s="118">
        <v>0.121</v>
      </c>
      <c r="FS5" s="118">
        <v>0.129</v>
      </c>
      <c r="FT5" s="118">
        <v>0.127</v>
      </c>
      <c r="FU5" s="120">
        <v>0.125</v>
      </c>
      <c r="FV5" s="118">
        <v>0.11899999999999999</v>
      </c>
      <c r="FW5" s="121">
        <v>0.123</v>
      </c>
      <c r="FX5" s="118">
        <v>0.127</v>
      </c>
      <c r="FY5" s="122">
        <v>0.14699999999999999</v>
      </c>
      <c r="FZ5" s="118">
        <v>0.14199999999999999</v>
      </c>
      <c r="GA5" s="123">
        <v>0.13400000000000001</v>
      </c>
      <c r="GB5" s="118">
        <v>0.13</v>
      </c>
      <c r="GC5" s="118">
        <v>0.12</v>
      </c>
      <c r="GD5" s="124">
        <v>9.6000000000000002E-2</v>
      </c>
      <c r="GE5" s="125">
        <v>0.10100000000000001</v>
      </c>
      <c r="GF5" s="126">
        <v>8.5000000000000006E-2</v>
      </c>
      <c r="GG5" s="124">
        <v>0.108</v>
      </c>
      <c r="GH5" s="127">
        <v>0.104</v>
      </c>
      <c r="GI5" s="124">
        <v>9.6000000000000002E-2</v>
      </c>
      <c r="GJ5" s="128">
        <v>0.11</v>
      </c>
      <c r="GK5" s="124">
        <v>0.1</v>
      </c>
      <c r="GL5" s="124">
        <v>0.08</v>
      </c>
      <c r="GM5" s="124">
        <v>0.09</v>
      </c>
      <c r="GN5" s="124">
        <v>0.1</v>
      </c>
      <c r="GO5" s="124">
        <v>0.09</v>
      </c>
      <c r="GP5" s="124">
        <v>0.1</v>
      </c>
      <c r="GQ5" s="124">
        <v>0.1</v>
      </c>
      <c r="GR5" s="124">
        <v>0.1</v>
      </c>
      <c r="GS5" s="124">
        <v>0.09</v>
      </c>
      <c r="GT5" s="92">
        <v>0.107</v>
      </c>
      <c r="GU5" s="92">
        <v>0.11799999999999999</v>
      </c>
      <c r="GV5" s="130">
        <v>0.10100000000000001</v>
      </c>
      <c r="GW5" s="91">
        <v>0.104</v>
      </c>
      <c r="GX5" s="94">
        <v>0.106</v>
      </c>
      <c r="GY5" s="92">
        <v>0.10199999999999999</v>
      </c>
      <c r="GZ5" s="90">
        <v>0.104</v>
      </c>
      <c r="HA5" s="92">
        <v>0.111</v>
      </c>
      <c r="HB5" s="91">
        <v>0.1</v>
      </c>
      <c r="HC5" s="93">
        <v>9.7000000000000003E-2</v>
      </c>
      <c r="HD5" s="92">
        <v>9.5000000000000001E-2</v>
      </c>
      <c r="HE5" s="94">
        <v>0.11</v>
      </c>
      <c r="HF5" s="92">
        <v>0.114</v>
      </c>
      <c r="HG5" s="18"/>
      <c r="HH5" s="18"/>
    </row>
    <row r="6" spans="1:216" customFormat="1" x14ac:dyDescent="0.25">
      <c r="A6" t="s">
        <v>23</v>
      </c>
      <c r="B6" s="48">
        <v>6.0999999999999999E-2</v>
      </c>
      <c r="C6" s="24">
        <v>7.0999999999999994E-2</v>
      </c>
      <c r="D6" s="49">
        <v>5.7000000000000002E-2</v>
      </c>
      <c r="E6" s="50">
        <v>5.7000000000000002E-2</v>
      </c>
      <c r="F6" s="24">
        <v>5.5E-2</v>
      </c>
      <c r="G6" s="51">
        <v>4.2000000000000003E-2</v>
      </c>
      <c r="H6" s="24">
        <v>4.3999999999999997E-2</v>
      </c>
      <c r="I6" s="49">
        <v>0.05</v>
      </c>
      <c r="J6" s="24">
        <v>4.9000000000000002E-2</v>
      </c>
      <c r="K6" s="48">
        <v>5.8999999999999997E-2</v>
      </c>
      <c r="L6" s="24">
        <v>7.0999999999999994E-2</v>
      </c>
      <c r="M6" s="50">
        <v>5.3999999999999999E-2</v>
      </c>
      <c r="N6" s="24">
        <v>4.3999999999999997E-2</v>
      </c>
      <c r="O6" s="51">
        <v>5.3999999999999999E-2</v>
      </c>
      <c r="P6" s="24">
        <v>5.0999999999999997E-2</v>
      </c>
      <c r="Q6" s="24">
        <v>4.7E-2</v>
      </c>
      <c r="R6" s="52">
        <v>5.8000000000000003E-2</v>
      </c>
      <c r="S6" s="53">
        <v>6.4000000000000001E-2</v>
      </c>
      <c r="T6" s="22">
        <v>6.4000000000000001E-2</v>
      </c>
      <c r="U6" s="54">
        <v>0.06</v>
      </c>
      <c r="V6" s="22">
        <v>5.8999999999999997E-2</v>
      </c>
      <c r="W6" s="55">
        <v>5.6000000000000001E-2</v>
      </c>
      <c r="X6" s="22">
        <v>0.05</v>
      </c>
      <c r="Y6" s="52">
        <v>0.06</v>
      </c>
      <c r="Z6" s="22">
        <v>0.05</v>
      </c>
      <c r="AA6" s="56">
        <v>0.05</v>
      </c>
      <c r="AB6" s="22">
        <v>0.09</v>
      </c>
      <c r="AC6" s="22">
        <v>0.04</v>
      </c>
      <c r="AD6" s="22">
        <v>0.05</v>
      </c>
      <c r="AE6" s="22">
        <v>0.05</v>
      </c>
      <c r="AF6" s="22">
        <v>0.05</v>
      </c>
      <c r="AG6" s="57">
        <v>4.7E-2</v>
      </c>
      <c r="AH6" s="58">
        <v>4.4999999999999998E-2</v>
      </c>
      <c r="AI6" s="59">
        <v>4.3999999999999997E-2</v>
      </c>
      <c r="AJ6" s="60">
        <v>0.04</v>
      </c>
      <c r="AK6" s="61">
        <v>4.2000000000000003E-2</v>
      </c>
      <c r="AL6" s="60">
        <v>4.1000000000000002E-2</v>
      </c>
      <c r="AM6" s="60">
        <v>0.04</v>
      </c>
      <c r="AN6" s="60">
        <v>0.04</v>
      </c>
      <c r="AO6" s="62">
        <v>4.8000000000000001E-2</v>
      </c>
      <c r="AP6" s="63">
        <v>4.5999999999999999E-2</v>
      </c>
      <c r="AQ6" s="64">
        <v>5.1999999999999998E-2</v>
      </c>
      <c r="AR6" s="65">
        <v>5.1999999999999998E-2</v>
      </c>
      <c r="AS6" s="64">
        <v>5.3999999999999999E-2</v>
      </c>
      <c r="AT6" s="66">
        <v>5.6000000000000001E-2</v>
      </c>
      <c r="AU6" s="64">
        <v>4.9000000000000002E-2</v>
      </c>
      <c r="AV6" s="67">
        <v>5.7000000000000002E-2</v>
      </c>
      <c r="AW6" s="63">
        <v>5.6000000000000001E-2</v>
      </c>
      <c r="AX6" s="68">
        <v>4.2000000000000003E-2</v>
      </c>
      <c r="AY6" s="68">
        <v>5.5E-2</v>
      </c>
      <c r="AZ6" s="68">
        <v>0.04</v>
      </c>
      <c r="BA6" s="70">
        <v>5.3999999999999999E-2</v>
      </c>
      <c r="BB6" s="68">
        <v>4.3999999999999997E-2</v>
      </c>
      <c r="BC6" s="71">
        <v>5.2999999999999999E-2</v>
      </c>
      <c r="BD6" s="68">
        <v>5.6000000000000001E-2</v>
      </c>
      <c r="BE6" s="72">
        <v>6.3E-2</v>
      </c>
      <c r="BF6" s="68">
        <v>5.0999999999999997E-2</v>
      </c>
      <c r="BG6" s="73">
        <v>5.8999999999999997E-2</v>
      </c>
      <c r="BH6" s="74">
        <v>6.2E-2</v>
      </c>
      <c r="BI6" s="75">
        <v>0.06</v>
      </c>
      <c r="BJ6" s="41">
        <v>5.6000000000000001E-2</v>
      </c>
      <c r="BK6" s="76">
        <v>6.0999999999999999E-2</v>
      </c>
      <c r="BL6" s="41">
        <v>5.7000000000000002E-2</v>
      </c>
      <c r="BM6" s="77">
        <v>0.05</v>
      </c>
      <c r="BN6" s="41">
        <v>0.06</v>
      </c>
      <c r="BO6" s="41">
        <v>0.05</v>
      </c>
      <c r="BP6" s="41">
        <v>0.05</v>
      </c>
      <c r="BQ6" s="41">
        <v>0.05</v>
      </c>
      <c r="BR6" s="41">
        <v>0.05</v>
      </c>
      <c r="BS6" s="78">
        <v>5.2999999999999999E-2</v>
      </c>
      <c r="BT6" s="79">
        <v>5.8999999999999997E-2</v>
      </c>
      <c r="BU6" s="80">
        <v>0.06</v>
      </c>
      <c r="BV6" s="81">
        <v>0.05</v>
      </c>
      <c r="BW6" s="20">
        <v>0.05</v>
      </c>
      <c r="BX6" s="82">
        <v>0.05</v>
      </c>
      <c r="BY6" s="20">
        <v>0.05</v>
      </c>
      <c r="BZ6" s="83">
        <v>0.05</v>
      </c>
      <c r="CA6" s="20">
        <v>0.05</v>
      </c>
      <c r="CB6" s="19">
        <v>0.06</v>
      </c>
      <c r="CC6" s="37">
        <v>0.05</v>
      </c>
      <c r="CD6" s="37">
        <v>0.06</v>
      </c>
      <c r="CE6" s="84">
        <v>0.05</v>
      </c>
      <c r="CF6" s="84">
        <v>0.06</v>
      </c>
      <c r="CG6" s="37">
        <v>0.06</v>
      </c>
      <c r="CH6" s="37">
        <v>0.06</v>
      </c>
      <c r="CI6" s="84">
        <v>0.05</v>
      </c>
      <c r="CJ6" s="37">
        <v>0.05</v>
      </c>
      <c r="CK6" s="84">
        <v>0.05</v>
      </c>
      <c r="CL6" s="84">
        <v>0.05</v>
      </c>
      <c r="CM6" s="88">
        <v>5.8000000000000003E-2</v>
      </c>
      <c r="CN6" s="88">
        <v>0.06</v>
      </c>
      <c r="CO6" s="89">
        <v>6.4000000000000001E-2</v>
      </c>
      <c r="CP6" s="88">
        <v>6.2E-2</v>
      </c>
      <c r="CQ6" s="90">
        <v>5.5E-2</v>
      </c>
      <c r="CR6" s="91">
        <v>0.05</v>
      </c>
      <c r="CS6" s="92">
        <v>6.2E-2</v>
      </c>
      <c r="CT6" s="93">
        <v>0.06</v>
      </c>
      <c r="CU6" s="92">
        <v>0.06</v>
      </c>
      <c r="CV6" s="94">
        <v>0.06</v>
      </c>
      <c r="CW6" s="244">
        <v>6.0999999999999999E-2</v>
      </c>
      <c r="CX6" s="244">
        <v>5.5E-2</v>
      </c>
      <c r="CY6" s="245">
        <v>5.8000000000000003E-2</v>
      </c>
      <c r="CZ6" s="246">
        <v>5.1999999999999998E-2</v>
      </c>
      <c r="DA6" s="247">
        <v>5.2999999999999999E-2</v>
      </c>
      <c r="DB6" s="246">
        <v>5.7000000000000002E-2</v>
      </c>
      <c r="DC6" s="248">
        <v>5.6000000000000001E-2</v>
      </c>
      <c r="DD6" s="253">
        <v>0.05</v>
      </c>
      <c r="DE6" s="253">
        <v>0.05</v>
      </c>
      <c r="DF6" s="246">
        <v>0.05</v>
      </c>
      <c r="DG6" s="253">
        <v>0.05</v>
      </c>
      <c r="DH6" s="246">
        <v>0.05</v>
      </c>
      <c r="DI6" s="246">
        <v>0.05</v>
      </c>
      <c r="DJ6" s="95">
        <v>6.3E-2</v>
      </c>
      <c r="DK6" s="96">
        <v>5.8000000000000003E-2</v>
      </c>
      <c r="DL6" s="97">
        <v>6.3E-2</v>
      </c>
      <c r="DM6" s="98">
        <v>6.4000000000000001E-2</v>
      </c>
      <c r="DN6" s="96">
        <v>0.06</v>
      </c>
      <c r="DO6" s="99">
        <v>0.06</v>
      </c>
      <c r="DP6" s="96">
        <v>0.05</v>
      </c>
      <c r="DQ6" s="96">
        <v>0.06</v>
      </c>
      <c r="DR6" s="96">
        <v>0.06</v>
      </c>
      <c r="DS6" s="96">
        <v>0.06</v>
      </c>
      <c r="DT6" s="41">
        <v>4.4999999999999998E-2</v>
      </c>
      <c r="DU6" s="41">
        <v>4.2999999999999997E-2</v>
      </c>
      <c r="DV6" s="41">
        <v>4.3999999999999997E-2</v>
      </c>
      <c r="DW6" s="41">
        <v>5.2999999999999999E-2</v>
      </c>
      <c r="DX6" s="41">
        <v>4.3999999999999997E-2</v>
      </c>
      <c r="DY6" s="41">
        <v>4.2999999999999997E-2</v>
      </c>
      <c r="DZ6" s="41">
        <v>4.7E-2</v>
      </c>
      <c r="EA6" s="41">
        <v>4.7E-2</v>
      </c>
      <c r="EB6" s="41">
        <v>0.04</v>
      </c>
      <c r="EC6" s="41">
        <v>4.2999999999999997E-2</v>
      </c>
      <c r="ED6" s="41">
        <v>0.04</v>
      </c>
      <c r="EE6" s="100">
        <v>7.0000000000000007E-2</v>
      </c>
      <c r="EF6" s="101">
        <v>6.4000000000000001E-2</v>
      </c>
      <c r="EG6" s="100">
        <v>6.3E-2</v>
      </c>
      <c r="EH6" s="102">
        <v>6.6000000000000003E-2</v>
      </c>
      <c r="EI6" s="100">
        <v>5.3999999999999999E-2</v>
      </c>
      <c r="EJ6" s="103">
        <v>6.5000000000000002E-2</v>
      </c>
      <c r="EK6" s="100">
        <v>5.8000000000000003E-2</v>
      </c>
      <c r="EL6" s="104">
        <v>5.6000000000000001E-2</v>
      </c>
      <c r="EM6" s="100">
        <v>6.2E-2</v>
      </c>
      <c r="EN6" s="105">
        <v>5.5E-2</v>
      </c>
      <c r="EO6" s="100">
        <v>0.06</v>
      </c>
      <c r="EP6" s="100">
        <v>0.06</v>
      </c>
      <c r="EQ6" s="100">
        <v>5.5E-2</v>
      </c>
      <c r="ER6" s="100">
        <v>5.5E-2</v>
      </c>
      <c r="ES6" s="106">
        <v>5.5E-2</v>
      </c>
      <c r="ET6" s="107">
        <v>5.1999999999999998E-2</v>
      </c>
      <c r="EU6" s="106">
        <v>5.5E-2</v>
      </c>
      <c r="EV6" s="108">
        <v>4.8000000000000001E-2</v>
      </c>
      <c r="EW6" s="106">
        <v>5.6000000000000001E-2</v>
      </c>
      <c r="EX6" s="109">
        <v>5.2999999999999999E-2</v>
      </c>
      <c r="EY6" s="106">
        <v>4.5999999999999999E-2</v>
      </c>
      <c r="EZ6" s="110">
        <v>4.7E-2</v>
      </c>
      <c r="FA6" s="106">
        <v>5.8000000000000003E-2</v>
      </c>
      <c r="FB6" s="107">
        <v>5.3999999999999999E-2</v>
      </c>
      <c r="FC6" s="106">
        <v>0.05</v>
      </c>
      <c r="FD6" s="106">
        <v>0.05</v>
      </c>
      <c r="FE6" s="106">
        <v>0.05</v>
      </c>
      <c r="FF6" s="106">
        <v>0.05</v>
      </c>
      <c r="FG6" s="111">
        <v>5.6000000000000001E-2</v>
      </c>
      <c r="FH6" s="112">
        <v>6.2E-2</v>
      </c>
      <c r="FI6" s="111">
        <v>0.06</v>
      </c>
      <c r="FJ6" s="113">
        <v>5.7000000000000002E-2</v>
      </c>
      <c r="FK6" s="111">
        <v>7.0000000000000007E-2</v>
      </c>
      <c r="FL6" s="114">
        <v>5.8000000000000003E-2</v>
      </c>
      <c r="FM6" s="111">
        <v>0.06</v>
      </c>
      <c r="FN6" s="115">
        <v>6.0999999999999999E-2</v>
      </c>
      <c r="FO6" s="116">
        <v>5.5E-2</v>
      </c>
      <c r="FP6" s="117">
        <v>5.0999999999999997E-2</v>
      </c>
      <c r="FQ6" s="116">
        <v>5.2999999999999999E-2</v>
      </c>
      <c r="FR6" s="118">
        <v>6.7000000000000004E-2</v>
      </c>
      <c r="FS6" s="118">
        <v>7.3999999999999996E-2</v>
      </c>
      <c r="FT6" s="118">
        <v>6.6000000000000003E-2</v>
      </c>
      <c r="FU6" s="120">
        <v>5.0999999999999997E-2</v>
      </c>
      <c r="FV6" s="118">
        <v>5.8000000000000003E-2</v>
      </c>
      <c r="FW6" s="121">
        <v>6.4000000000000001E-2</v>
      </c>
      <c r="FX6" s="118">
        <v>6.7000000000000004E-2</v>
      </c>
      <c r="FY6" s="122">
        <v>7.3999999999999996E-2</v>
      </c>
      <c r="FZ6" s="118">
        <v>7.1999999999999995E-2</v>
      </c>
      <c r="GA6" s="123">
        <v>5.8000000000000003E-2</v>
      </c>
      <c r="GB6" s="118">
        <v>0.08</v>
      </c>
      <c r="GC6" s="118">
        <v>0.06</v>
      </c>
      <c r="GD6" s="124">
        <v>4.7E-2</v>
      </c>
      <c r="GE6" s="125">
        <v>5.8999999999999997E-2</v>
      </c>
      <c r="GF6" s="126">
        <v>4.5999999999999999E-2</v>
      </c>
      <c r="GG6" s="124">
        <v>4.8000000000000001E-2</v>
      </c>
      <c r="GH6" s="127">
        <v>5.3999999999999999E-2</v>
      </c>
      <c r="GI6" s="124">
        <v>5.6000000000000001E-2</v>
      </c>
      <c r="GJ6" s="128">
        <v>5.8000000000000003E-2</v>
      </c>
      <c r="GK6" s="124">
        <v>0.06</v>
      </c>
      <c r="GL6" s="124">
        <v>0.05</v>
      </c>
      <c r="GM6" s="124">
        <v>0.05</v>
      </c>
      <c r="GN6" s="124">
        <v>0.05</v>
      </c>
      <c r="GO6" s="124">
        <v>0.05</v>
      </c>
      <c r="GP6" s="124">
        <v>0.05</v>
      </c>
      <c r="GQ6" s="124">
        <v>0.06</v>
      </c>
      <c r="GR6" s="124">
        <v>0.06</v>
      </c>
      <c r="GS6" s="124">
        <v>0.05</v>
      </c>
      <c r="GT6" s="92">
        <v>5.8000000000000003E-2</v>
      </c>
      <c r="GU6" s="92">
        <v>6.3E-2</v>
      </c>
      <c r="GV6" s="130">
        <v>6.6000000000000003E-2</v>
      </c>
      <c r="GW6" s="91">
        <v>5.5E-2</v>
      </c>
      <c r="GX6" s="94">
        <v>6.2E-2</v>
      </c>
      <c r="GY6" s="92">
        <v>6.6000000000000003E-2</v>
      </c>
      <c r="GZ6" s="90">
        <v>5.5E-2</v>
      </c>
      <c r="HA6" s="92">
        <v>6.0999999999999999E-2</v>
      </c>
      <c r="HB6" s="91">
        <v>5.5E-2</v>
      </c>
      <c r="HC6" s="93">
        <v>5.0999999999999997E-2</v>
      </c>
      <c r="HD6" s="92">
        <v>5.7000000000000002E-2</v>
      </c>
      <c r="HE6" s="94">
        <v>4.7E-2</v>
      </c>
      <c r="HF6" s="92">
        <v>4.8000000000000001E-2</v>
      </c>
      <c r="HG6" s="18"/>
      <c r="HH6" s="18"/>
    </row>
    <row r="7" spans="1:216" customFormat="1" x14ac:dyDescent="0.25">
      <c r="A7" t="s">
        <v>41</v>
      </c>
      <c r="B7" s="48">
        <v>0.84899999999999998</v>
      </c>
      <c r="C7" s="24">
        <v>0.95599999999999996</v>
      </c>
      <c r="D7" s="49">
        <v>1.075</v>
      </c>
      <c r="E7" s="50">
        <v>0.93600000000000005</v>
      </c>
      <c r="F7" s="24">
        <v>0.97399999999999998</v>
      </c>
      <c r="G7" s="51">
        <v>0.82599999999999996</v>
      </c>
      <c r="H7" s="24">
        <v>0.76200000000000001</v>
      </c>
      <c r="I7" s="49">
        <v>0.82699999999999996</v>
      </c>
      <c r="J7" s="24">
        <v>0.77900000000000003</v>
      </c>
      <c r="K7" s="48">
        <v>1.0649999999999999</v>
      </c>
      <c r="L7" s="24">
        <v>1.1100000000000001</v>
      </c>
      <c r="M7" s="50">
        <v>0.95899999999999996</v>
      </c>
      <c r="N7" s="24">
        <v>0.80800000000000005</v>
      </c>
      <c r="O7" s="51">
        <v>0.78700000000000003</v>
      </c>
      <c r="P7" s="24">
        <v>0.77900000000000003</v>
      </c>
      <c r="Q7" s="24">
        <v>0.71</v>
      </c>
      <c r="R7" s="52">
        <v>0.96</v>
      </c>
      <c r="S7" s="53">
        <v>0.9</v>
      </c>
      <c r="T7" s="22">
        <v>0.93</v>
      </c>
      <c r="U7" s="54">
        <v>1.008</v>
      </c>
      <c r="V7" s="22">
        <v>0.86699999999999999</v>
      </c>
      <c r="W7" s="55">
        <v>0.92300000000000004</v>
      </c>
      <c r="X7" s="22">
        <v>0.749</v>
      </c>
      <c r="Y7" s="52">
        <v>0.92</v>
      </c>
      <c r="Z7" s="22">
        <v>1.01</v>
      </c>
      <c r="AA7" s="56">
        <v>0.78</v>
      </c>
      <c r="AB7" s="22">
        <v>0.75</v>
      </c>
      <c r="AC7" s="22">
        <v>0.58199999999999996</v>
      </c>
      <c r="AD7" s="22">
        <v>0.69</v>
      </c>
      <c r="AE7" s="22">
        <v>0.77100000000000002</v>
      </c>
      <c r="AF7" s="22">
        <v>0.73</v>
      </c>
      <c r="AG7" s="57">
        <v>0.755</v>
      </c>
      <c r="AH7" s="58">
        <v>0.76</v>
      </c>
      <c r="AI7" s="59">
        <v>0.55700000000000005</v>
      </c>
      <c r="AJ7" s="60">
        <v>0.60099999999999998</v>
      </c>
      <c r="AK7" s="61">
        <v>0.70399999999999996</v>
      </c>
      <c r="AL7" s="60">
        <v>0.67900000000000005</v>
      </c>
      <c r="AM7" s="60">
        <v>0.67500000000000004</v>
      </c>
      <c r="AN7" s="60">
        <v>0.72</v>
      </c>
      <c r="AO7" s="62">
        <v>0.66</v>
      </c>
      <c r="AP7" s="63">
        <v>0.63</v>
      </c>
      <c r="AQ7" s="64">
        <v>0.755</v>
      </c>
      <c r="AR7" s="65">
        <v>0.71499999999999997</v>
      </c>
      <c r="AS7" s="64">
        <v>0.747</v>
      </c>
      <c r="AT7" s="66">
        <v>0.71899999999999997</v>
      </c>
      <c r="AU7" s="64">
        <v>0.68500000000000005</v>
      </c>
      <c r="AV7" s="67">
        <v>0.76100000000000001</v>
      </c>
      <c r="AW7" s="63">
        <v>0.64700000000000002</v>
      </c>
      <c r="AX7" s="68">
        <v>0.86</v>
      </c>
      <c r="AY7" s="68">
        <v>0.9</v>
      </c>
      <c r="AZ7" s="68">
        <v>0.90900000000000003</v>
      </c>
      <c r="BA7" s="70">
        <v>0.85399999999999998</v>
      </c>
      <c r="BB7" s="68">
        <v>1.0329999999999999</v>
      </c>
      <c r="BC7" s="71">
        <v>0.93500000000000005</v>
      </c>
      <c r="BD7" s="68">
        <v>0.95399999999999996</v>
      </c>
      <c r="BE7" s="72">
        <v>0.96299999999999997</v>
      </c>
      <c r="BF7" s="68">
        <v>0.93100000000000005</v>
      </c>
      <c r="BG7" s="73">
        <v>1.17</v>
      </c>
      <c r="BH7" s="74">
        <f>0.66+0.35</f>
        <v>1.01</v>
      </c>
      <c r="BI7" s="75">
        <v>1.1499999999999999</v>
      </c>
      <c r="BJ7" s="41">
        <v>0.97699999999999998</v>
      </c>
      <c r="BK7" s="76">
        <v>0.99199999999999999</v>
      </c>
      <c r="BL7" s="41">
        <v>1.0069999999999999</v>
      </c>
      <c r="BM7" s="77">
        <v>0.97799999999999998</v>
      </c>
      <c r="BN7" s="41">
        <v>0.88700000000000001</v>
      </c>
      <c r="BO7" s="41">
        <v>0.93899999999999995</v>
      </c>
      <c r="BP7" s="41">
        <v>0.97499999999999998</v>
      </c>
      <c r="BQ7" s="41">
        <v>1.0389999999999999</v>
      </c>
      <c r="BR7" s="41">
        <f>0.454+0.526</f>
        <v>0.98</v>
      </c>
      <c r="BS7" s="78">
        <f>0.486+0.572</f>
        <v>1.0579999999999998</v>
      </c>
      <c r="BT7" s="79">
        <v>1.0840000000000001</v>
      </c>
      <c r="BU7" s="80">
        <v>0.95</v>
      </c>
      <c r="BV7" s="81">
        <v>0.81</v>
      </c>
      <c r="BW7" s="20">
        <v>0.89</v>
      </c>
      <c r="BX7" s="82">
        <v>0.86</v>
      </c>
      <c r="BY7" s="20">
        <v>0.77</v>
      </c>
      <c r="BZ7" s="83">
        <v>0.69</v>
      </c>
      <c r="CA7" s="20">
        <v>0.76</v>
      </c>
      <c r="CB7" s="19">
        <v>1.0900000000000001</v>
      </c>
      <c r="CC7" s="37">
        <v>0.79</v>
      </c>
      <c r="CD7" s="37">
        <v>0.87</v>
      </c>
      <c r="CE7" s="84">
        <v>0.91</v>
      </c>
      <c r="CF7" s="84">
        <v>1.1599999999999999</v>
      </c>
      <c r="CG7" s="37">
        <v>1.01</v>
      </c>
      <c r="CH7" s="37">
        <v>0.99</v>
      </c>
      <c r="CI7" s="84">
        <v>1.1000000000000001</v>
      </c>
      <c r="CJ7" s="37">
        <v>1.03</v>
      </c>
      <c r="CK7" s="84">
        <v>1</v>
      </c>
      <c r="CL7" s="84">
        <v>1</v>
      </c>
      <c r="CM7" s="88">
        <v>0.89</v>
      </c>
      <c r="CN7" s="88">
        <v>0.87</v>
      </c>
      <c r="CO7" s="89">
        <f>0.4+0.697</f>
        <v>1.097</v>
      </c>
      <c r="CP7" s="88">
        <v>0.95</v>
      </c>
      <c r="CQ7" s="90">
        <v>0.97399999999999998</v>
      </c>
      <c r="CR7" s="91">
        <v>0.93200000000000005</v>
      </c>
      <c r="CS7" s="92">
        <v>0.91900000000000004</v>
      </c>
      <c r="CT7" s="93">
        <v>0.87</v>
      </c>
      <c r="CU7" s="92">
        <v>0.91</v>
      </c>
      <c r="CV7" s="94">
        <v>0.99</v>
      </c>
      <c r="CW7" s="244">
        <v>0.89</v>
      </c>
      <c r="CX7" s="244">
        <v>0.74</v>
      </c>
      <c r="CY7" s="245">
        <v>1.0429999999999999</v>
      </c>
      <c r="CZ7" s="246">
        <v>1.006</v>
      </c>
      <c r="DA7" s="247">
        <v>0.85899999999999999</v>
      </c>
      <c r="DB7" s="246">
        <v>0.97199999999999998</v>
      </c>
      <c r="DC7" s="248">
        <v>0.91400000000000003</v>
      </c>
      <c r="DD7" s="253">
        <v>0.88</v>
      </c>
      <c r="DE7" s="253">
        <v>0.89</v>
      </c>
      <c r="DF7" s="246">
        <v>0.86</v>
      </c>
      <c r="DG7" s="253">
        <v>0.84</v>
      </c>
      <c r="DH7" s="246">
        <v>0.8</v>
      </c>
      <c r="DI7" s="246">
        <v>0.84</v>
      </c>
      <c r="DJ7" s="95">
        <v>0.94</v>
      </c>
      <c r="DK7" s="96">
        <v>0.95</v>
      </c>
      <c r="DL7" s="97">
        <v>0.95</v>
      </c>
      <c r="DM7" s="98">
        <v>0.96</v>
      </c>
      <c r="DN7" s="96">
        <v>0.94799999999999995</v>
      </c>
      <c r="DO7" s="99">
        <v>1.01</v>
      </c>
      <c r="DP7" s="96">
        <v>0.81</v>
      </c>
      <c r="DQ7" s="96">
        <f>0.617+0.591</f>
        <v>1.208</v>
      </c>
      <c r="DR7" s="96">
        <v>1.0309999999999999</v>
      </c>
      <c r="DS7" s="96">
        <v>1.1759999999999999</v>
      </c>
      <c r="DT7" s="41">
        <v>0.73799999999999999</v>
      </c>
      <c r="DU7" s="41">
        <v>0.84699999999999998</v>
      </c>
      <c r="DV7" s="41">
        <v>0.877</v>
      </c>
      <c r="DW7" s="41">
        <v>0.81</v>
      </c>
      <c r="DX7" s="41">
        <v>0.85199999999999998</v>
      </c>
      <c r="DY7" s="41">
        <v>0.81699999999999995</v>
      </c>
      <c r="DZ7" s="41">
        <v>0.82299999999999995</v>
      </c>
      <c r="EA7" s="41">
        <v>0.82799999999999996</v>
      </c>
      <c r="EB7" s="41">
        <v>0.77700000000000002</v>
      </c>
      <c r="EC7" s="41">
        <v>0.73799999999999999</v>
      </c>
      <c r="ED7" s="41">
        <v>0.74199999999999999</v>
      </c>
      <c r="EE7" s="100">
        <v>1.099</v>
      </c>
      <c r="EF7" s="101">
        <v>1.143</v>
      </c>
      <c r="EG7" s="100">
        <v>0.97399999999999998</v>
      </c>
      <c r="EH7" s="102">
        <v>1.149</v>
      </c>
      <c r="EI7" s="100">
        <v>0.88900000000000001</v>
      </c>
      <c r="EJ7" s="103">
        <v>1.0680000000000001</v>
      </c>
      <c r="EK7" s="100">
        <v>0.76600000000000001</v>
      </c>
      <c r="EL7" s="104">
        <v>1.0049999999999999</v>
      </c>
      <c r="EM7" s="100">
        <v>0.98499999999999999</v>
      </c>
      <c r="EN7" s="105">
        <v>0.92700000000000005</v>
      </c>
      <c r="EO7" s="100">
        <v>0.95</v>
      </c>
      <c r="EP7" s="100">
        <v>0.90700000000000003</v>
      </c>
      <c r="EQ7" s="100">
        <v>0.97899999999999998</v>
      </c>
      <c r="ER7" s="100">
        <v>0.96899999999999997</v>
      </c>
      <c r="ES7" s="106">
        <v>0.96299999999999997</v>
      </c>
      <c r="ET7" s="107">
        <v>0.91900000000000004</v>
      </c>
      <c r="EU7" s="106">
        <v>0.87</v>
      </c>
      <c r="EV7" s="108">
        <v>0.85099999999999998</v>
      </c>
      <c r="EW7" s="106">
        <v>0.91600000000000004</v>
      </c>
      <c r="EX7" s="109">
        <v>0.8</v>
      </c>
      <c r="EY7" s="106">
        <v>0.80500000000000005</v>
      </c>
      <c r="EZ7" s="110">
        <v>1.0609999999999999</v>
      </c>
      <c r="FA7" s="106">
        <v>1.056</v>
      </c>
      <c r="FB7" s="107">
        <f>0.869+0.084</f>
        <v>0.95299999999999996</v>
      </c>
      <c r="FC7" s="106">
        <v>0.91</v>
      </c>
      <c r="FD7" s="106">
        <v>0.82299999999999995</v>
      </c>
      <c r="FE7" s="106">
        <v>0.84899999999999998</v>
      </c>
      <c r="FF7" s="106">
        <v>0.89300000000000002</v>
      </c>
      <c r="FG7" s="111">
        <v>0.747</v>
      </c>
      <c r="FH7" s="112">
        <v>0.85</v>
      </c>
      <c r="FI7" s="111">
        <v>0.76</v>
      </c>
      <c r="FJ7" s="113">
        <v>0.75</v>
      </c>
      <c r="FK7" s="111">
        <v>0.75</v>
      </c>
      <c r="FL7" s="114">
        <v>0.70199999999999996</v>
      </c>
      <c r="FM7" s="111">
        <v>0.72</v>
      </c>
      <c r="FN7" s="115">
        <v>0.72199999999999998</v>
      </c>
      <c r="FO7" s="116">
        <v>0.81</v>
      </c>
      <c r="FP7" s="117">
        <v>0.79800000000000004</v>
      </c>
      <c r="FQ7" s="116">
        <v>0.78300000000000003</v>
      </c>
      <c r="FR7" s="118">
        <v>1.175</v>
      </c>
      <c r="FS7" s="118">
        <v>1.3069999999999999</v>
      </c>
      <c r="FT7" s="118">
        <v>1.1619999999999999</v>
      </c>
      <c r="FU7" s="120">
        <v>1.1240000000000001</v>
      </c>
      <c r="FV7" s="118">
        <v>1.089</v>
      </c>
      <c r="FW7" s="121">
        <v>1.1240000000000001</v>
      </c>
      <c r="FX7" s="118">
        <v>1.143</v>
      </c>
      <c r="FY7" s="122">
        <v>1.3320000000000001</v>
      </c>
      <c r="FZ7" s="118">
        <v>1.2889999999999999</v>
      </c>
      <c r="GA7" s="123">
        <v>1.18</v>
      </c>
      <c r="GB7" s="118">
        <v>1.25</v>
      </c>
      <c r="GC7" s="118">
        <v>1.1000000000000001</v>
      </c>
      <c r="GD7" s="124">
        <v>0.72</v>
      </c>
      <c r="GE7" s="125">
        <v>0.89</v>
      </c>
      <c r="GF7" s="126">
        <v>0.78900000000000003</v>
      </c>
      <c r="GG7" s="124">
        <v>0.81299999999999994</v>
      </c>
      <c r="GH7" s="127">
        <v>0.77500000000000002</v>
      </c>
      <c r="GI7" s="124">
        <v>0.77400000000000002</v>
      </c>
      <c r="GJ7" s="128">
        <v>0.86499999999999999</v>
      </c>
      <c r="GK7" s="124">
        <v>0.79</v>
      </c>
      <c r="GL7" s="124">
        <v>0.74</v>
      </c>
      <c r="GM7" s="124">
        <v>0.8</v>
      </c>
      <c r="GN7" s="124">
        <v>0.75</v>
      </c>
      <c r="GO7" s="124">
        <v>0.71</v>
      </c>
      <c r="GP7" s="124">
        <v>0.79</v>
      </c>
      <c r="GQ7" s="124">
        <v>0.79</v>
      </c>
      <c r="GR7" s="124">
        <v>0.73</v>
      </c>
      <c r="GS7" s="124">
        <v>0.72</v>
      </c>
      <c r="GT7" s="92">
        <v>0.81499999999999995</v>
      </c>
      <c r="GU7" s="92">
        <v>0.80200000000000005</v>
      </c>
      <c r="GV7" s="130">
        <v>0.79100000000000004</v>
      </c>
      <c r="GW7" s="91">
        <v>0.86299999999999999</v>
      </c>
      <c r="GX7" s="94">
        <v>0.88300000000000001</v>
      </c>
      <c r="GY7" s="92">
        <v>0.879</v>
      </c>
      <c r="GZ7" s="90">
        <v>0.89100000000000001</v>
      </c>
      <c r="HA7" s="92">
        <v>0.93799999999999994</v>
      </c>
      <c r="HB7" s="91">
        <v>0.92700000000000005</v>
      </c>
      <c r="HC7" s="93">
        <v>0.76700000000000002</v>
      </c>
      <c r="HD7" s="92">
        <v>0.84399999999999997</v>
      </c>
      <c r="HE7" s="94">
        <v>0.97199999999999998</v>
      </c>
      <c r="HF7" s="92">
        <v>0.88600000000000001</v>
      </c>
      <c r="HG7" s="18"/>
      <c r="HH7" s="18"/>
    </row>
    <row r="8" spans="1:216" customFormat="1" x14ac:dyDescent="0.25">
      <c r="A8" t="s">
        <v>22</v>
      </c>
      <c r="B8" s="48">
        <v>0.60199999999999998</v>
      </c>
      <c r="C8" s="24">
        <v>0.70199999999999996</v>
      </c>
      <c r="D8" s="49">
        <v>0.84899999999999998</v>
      </c>
      <c r="E8" s="50">
        <v>0.77300000000000002</v>
      </c>
      <c r="F8" s="24">
        <v>0.65500000000000003</v>
      </c>
      <c r="G8" s="51">
        <v>0.56299999999999994</v>
      </c>
      <c r="H8" s="24">
        <v>0.52400000000000002</v>
      </c>
      <c r="I8" s="49">
        <v>0.56000000000000005</v>
      </c>
      <c r="J8" s="24">
        <v>0.57499999999999996</v>
      </c>
      <c r="K8" s="48">
        <v>0.90400000000000003</v>
      </c>
      <c r="L8" s="24">
        <v>0.82</v>
      </c>
      <c r="M8" s="50">
        <v>0.72499999999999998</v>
      </c>
      <c r="N8" s="24">
        <v>0.53900000000000003</v>
      </c>
      <c r="O8" s="51">
        <v>0.52200000000000002</v>
      </c>
      <c r="P8" s="24">
        <v>0.51300000000000001</v>
      </c>
      <c r="Q8" s="24">
        <v>0.50600000000000001</v>
      </c>
      <c r="R8" s="52">
        <v>0.72</v>
      </c>
      <c r="S8" s="53">
        <v>0.65</v>
      </c>
      <c r="T8" s="22">
        <v>0.7</v>
      </c>
      <c r="U8" s="54">
        <v>0.66200000000000003</v>
      </c>
      <c r="V8" s="22">
        <v>0.66200000000000003</v>
      </c>
      <c r="W8" s="55">
        <v>0.65800000000000003</v>
      </c>
      <c r="X8" s="22">
        <v>0.54</v>
      </c>
      <c r="Y8" s="52">
        <v>0.65</v>
      </c>
      <c r="Z8" s="22">
        <v>0.65</v>
      </c>
      <c r="AA8" s="56">
        <v>0.56000000000000005</v>
      </c>
      <c r="AB8" s="22">
        <v>0.59</v>
      </c>
      <c r="AC8" s="22">
        <v>0.48</v>
      </c>
      <c r="AD8" s="22">
        <v>0.51900000000000002</v>
      </c>
      <c r="AE8" s="22">
        <v>0.6</v>
      </c>
      <c r="AF8" s="22">
        <v>0.53300000000000003</v>
      </c>
      <c r="AG8" s="57">
        <v>0.55000000000000004</v>
      </c>
      <c r="AH8" s="58">
        <v>0.53</v>
      </c>
      <c r="AI8" s="59">
        <v>0.38400000000000001</v>
      </c>
      <c r="AJ8" s="60">
        <v>0.40500000000000003</v>
      </c>
      <c r="AK8" s="61">
        <v>0.49099999999999999</v>
      </c>
      <c r="AL8" s="60">
        <v>0.44800000000000001</v>
      </c>
      <c r="AM8" s="60">
        <v>0.44600000000000001</v>
      </c>
      <c r="AN8" s="60">
        <v>0.501</v>
      </c>
      <c r="AO8" s="62">
        <v>0.36</v>
      </c>
      <c r="AP8" s="63">
        <v>0.4</v>
      </c>
      <c r="AQ8" s="64">
        <v>0.47699999999999998</v>
      </c>
      <c r="AR8" s="65">
        <v>0.51500000000000001</v>
      </c>
      <c r="AS8" s="64">
        <v>0.48</v>
      </c>
      <c r="AT8" s="66">
        <v>0.47</v>
      </c>
      <c r="AU8" s="64">
        <v>0.45200000000000001</v>
      </c>
      <c r="AV8" s="67">
        <v>0.50900000000000001</v>
      </c>
      <c r="AW8" s="63">
        <v>0.377</v>
      </c>
      <c r="AX8" s="68">
        <v>0.67700000000000005</v>
      </c>
      <c r="AY8" s="68">
        <v>0.64700000000000002</v>
      </c>
      <c r="AZ8" s="68">
        <v>0.69899999999999995</v>
      </c>
      <c r="BA8" s="70">
        <v>0.67200000000000004</v>
      </c>
      <c r="BB8" s="68">
        <v>0.72799999999999998</v>
      </c>
      <c r="BC8" s="71">
        <v>0.72899999999999998</v>
      </c>
      <c r="BD8" s="68">
        <v>0.75800000000000001</v>
      </c>
      <c r="BE8" s="72">
        <v>0.70599999999999996</v>
      </c>
      <c r="BF8" s="68">
        <v>0.79100000000000004</v>
      </c>
      <c r="BG8" s="73">
        <v>0.7</v>
      </c>
      <c r="BH8" s="74">
        <f>0.34+0.37</f>
        <v>0.71</v>
      </c>
      <c r="BI8" s="75">
        <v>0.82499999999999996</v>
      </c>
      <c r="BJ8" s="41">
        <v>0.72</v>
      </c>
      <c r="BK8" s="76">
        <v>0.66700000000000004</v>
      </c>
      <c r="BL8" s="41">
        <v>0.77600000000000002</v>
      </c>
      <c r="BM8" s="77">
        <v>0.76</v>
      </c>
      <c r="BN8" s="41">
        <v>0.58499999999999996</v>
      </c>
      <c r="BO8" s="41">
        <v>0.60899999999999999</v>
      </c>
      <c r="BP8" s="41">
        <v>0.71599999999999997</v>
      </c>
      <c r="BQ8" s="41">
        <v>0.72699999999999998</v>
      </c>
      <c r="BR8" s="41">
        <v>0.7</v>
      </c>
      <c r="BS8" s="78">
        <v>0.62</v>
      </c>
      <c r="BT8" s="79">
        <v>0.72</v>
      </c>
      <c r="BU8" s="80">
        <f>0.41+0.32</f>
        <v>0.73</v>
      </c>
      <c r="BV8" s="81">
        <v>0.54</v>
      </c>
      <c r="BW8" s="20">
        <v>0.59</v>
      </c>
      <c r="BX8" s="82">
        <v>0.53</v>
      </c>
      <c r="BY8" s="20">
        <v>0.54</v>
      </c>
      <c r="BZ8" s="83">
        <v>0.45</v>
      </c>
      <c r="CA8" s="20">
        <v>0.52</v>
      </c>
      <c r="CB8" s="19">
        <v>0.86</v>
      </c>
      <c r="CC8" s="37">
        <v>0.56999999999999995</v>
      </c>
      <c r="CD8" s="37">
        <v>0.69</v>
      </c>
      <c r="CE8" s="84">
        <v>0.62</v>
      </c>
      <c r="CF8" s="84">
        <v>0.77</v>
      </c>
      <c r="CG8" s="37">
        <v>0.74</v>
      </c>
      <c r="CH8" s="37">
        <v>0.69</v>
      </c>
      <c r="CI8" s="84">
        <v>0.8</v>
      </c>
      <c r="CJ8" s="37">
        <v>0.75</v>
      </c>
      <c r="CK8" s="84">
        <v>0.71</v>
      </c>
      <c r="CL8" s="84">
        <v>0.72</v>
      </c>
      <c r="CM8" s="88">
        <v>0.73</v>
      </c>
      <c r="CN8" s="88">
        <v>0.68</v>
      </c>
      <c r="CO8" s="89">
        <v>0.76</v>
      </c>
      <c r="CP8" s="88">
        <v>0.79</v>
      </c>
      <c r="CQ8" s="90">
        <v>0.8</v>
      </c>
      <c r="CR8" s="91">
        <v>0.79400000000000004</v>
      </c>
      <c r="CS8" s="92">
        <v>0.66800000000000004</v>
      </c>
      <c r="CT8" s="93">
        <v>0.77</v>
      </c>
      <c r="CU8" s="92">
        <v>0.78</v>
      </c>
      <c r="CV8" s="94">
        <v>0.73</v>
      </c>
      <c r="CW8" s="244">
        <v>0.64</v>
      </c>
      <c r="CX8" s="244">
        <v>0.52</v>
      </c>
      <c r="CY8" s="245">
        <v>0.70899999999999996</v>
      </c>
      <c r="CZ8" s="246">
        <v>0.72199999999999998</v>
      </c>
      <c r="DA8" s="247">
        <v>0.624</v>
      </c>
      <c r="DB8" s="246">
        <v>0.69199999999999995</v>
      </c>
      <c r="DC8" s="248">
        <v>0.66700000000000004</v>
      </c>
      <c r="DD8" s="253">
        <v>0.57999999999999996</v>
      </c>
      <c r="DE8" s="253">
        <v>0.57999999999999996</v>
      </c>
      <c r="DF8" s="246">
        <v>0.56999999999999995</v>
      </c>
      <c r="DG8" s="253">
        <v>0.59</v>
      </c>
      <c r="DH8" s="246">
        <v>0.6</v>
      </c>
      <c r="DI8" s="246">
        <v>0.59</v>
      </c>
      <c r="DJ8" s="95">
        <v>0.6</v>
      </c>
      <c r="DK8" s="96">
        <v>0.56999999999999995</v>
      </c>
      <c r="DL8" s="97">
        <v>0.6</v>
      </c>
      <c r="DM8" s="98">
        <v>0.6</v>
      </c>
      <c r="DN8" s="96">
        <v>0.65</v>
      </c>
      <c r="DO8" s="99">
        <v>0.6</v>
      </c>
      <c r="DP8" s="96">
        <v>0.62</v>
      </c>
      <c r="DQ8" s="96">
        <v>0.85399999999999998</v>
      </c>
      <c r="DR8" s="96">
        <v>0.79</v>
      </c>
      <c r="DS8" s="96">
        <v>0.81899999999999995</v>
      </c>
      <c r="DT8" s="41">
        <v>0.53600000000000003</v>
      </c>
      <c r="DU8" s="41">
        <v>0.66300000000000003</v>
      </c>
      <c r="DV8" s="41">
        <v>0.61599999999999999</v>
      </c>
      <c r="DW8" s="41">
        <v>0.61199999999999999</v>
      </c>
      <c r="DX8" s="41">
        <v>0.64400000000000002</v>
      </c>
      <c r="DY8" s="41"/>
      <c r="DZ8" s="41">
        <v>0.59</v>
      </c>
      <c r="EA8" s="41">
        <v>0.59699999999999998</v>
      </c>
      <c r="EB8" s="41"/>
      <c r="EC8" s="41">
        <v>0.54900000000000004</v>
      </c>
      <c r="ED8" s="41">
        <v>0.55600000000000005</v>
      </c>
      <c r="EE8" s="100">
        <v>0.85299999999999998</v>
      </c>
      <c r="EF8" s="101">
        <v>0.96199999999999997</v>
      </c>
      <c r="EG8" s="100">
        <v>0.86099999999999999</v>
      </c>
      <c r="EH8" s="102">
        <v>0.98599999999999999</v>
      </c>
      <c r="EI8" s="100">
        <v>0.69099999999999995</v>
      </c>
      <c r="EJ8" s="103">
        <v>0.79700000000000004</v>
      </c>
      <c r="EK8" s="100">
        <v>0.58599999999999997</v>
      </c>
      <c r="EL8" s="104">
        <v>0.70299999999999996</v>
      </c>
      <c r="EM8" s="100">
        <v>0.63800000000000001</v>
      </c>
      <c r="EN8" s="105">
        <v>0.66700000000000004</v>
      </c>
      <c r="EO8" s="100">
        <v>0.73599999999999999</v>
      </c>
      <c r="EP8" s="100">
        <v>0.74099999999999999</v>
      </c>
      <c r="EQ8" s="100">
        <v>0.77100000000000002</v>
      </c>
      <c r="ER8" s="100">
        <v>0.84099999999999997</v>
      </c>
      <c r="ES8" s="106">
        <v>0.71</v>
      </c>
      <c r="ET8" s="107">
        <v>0.69299999999999995</v>
      </c>
      <c r="EU8" s="106">
        <v>0.63700000000000001</v>
      </c>
      <c r="EV8" s="108">
        <v>0.58299999999999996</v>
      </c>
      <c r="EW8" s="106">
        <v>0.72099999999999997</v>
      </c>
      <c r="EX8" s="109">
        <v>0.66200000000000003</v>
      </c>
      <c r="EY8" s="106">
        <v>0.58099999999999996</v>
      </c>
      <c r="EZ8" s="110">
        <v>0.87</v>
      </c>
      <c r="FA8" s="106">
        <v>0.84499999999999997</v>
      </c>
      <c r="FB8" s="107">
        <v>0.70099999999999996</v>
      </c>
      <c r="FC8" s="106">
        <v>0.67400000000000004</v>
      </c>
      <c r="FD8" s="106">
        <v>0.623</v>
      </c>
      <c r="FE8" s="106">
        <v>0.63800000000000001</v>
      </c>
      <c r="FF8" s="106">
        <v>0.72699999999999998</v>
      </c>
      <c r="FG8" s="111">
        <v>0.54400000000000004</v>
      </c>
      <c r="FH8" s="112">
        <v>0.61</v>
      </c>
      <c r="FI8" s="111">
        <v>0.56000000000000005</v>
      </c>
      <c r="FJ8" s="113">
        <v>0.56999999999999995</v>
      </c>
      <c r="FK8" s="111">
        <v>0.56000000000000005</v>
      </c>
      <c r="FL8" s="114">
        <v>0.53</v>
      </c>
      <c r="FM8" s="111">
        <v>0.56999999999999995</v>
      </c>
      <c r="FN8" s="115">
        <v>0.57099999999999995</v>
      </c>
      <c r="FO8" s="116">
        <v>0.54400000000000004</v>
      </c>
      <c r="FP8" s="117">
        <v>0.59799999999999998</v>
      </c>
      <c r="FQ8" s="116">
        <v>0.51300000000000001</v>
      </c>
      <c r="FR8" s="118">
        <v>0.94599999999999995</v>
      </c>
      <c r="FS8" s="118">
        <v>1.0169999999999999</v>
      </c>
      <c r="FT8" s="118">
        <v>0.98099999999999998</v>
      </c>
      <c r="FU8" s="120">
        <v>0.85499999999999998</v>
      </c>
      <c r="FV8" s="118">
        <v>0.878</v>
      </c>
      <c r="FW8" s="121">
        <v>0.85599999999999998</v>
      </c>
      <c r="FX8" s="118">
        <v>0.93899999999999995</v>
      </c>
      <c r="FY8" s="122">
        <v>0.97899999999999998</v>
      </c>
      <c r="FZ8" s="118">
        <v>1.008</v>
      </c>
      <c r="GA8" s="123">
        <v>0.82299999999999995</v>
      </c>
      <c r="GB8" s="118">
        <v>0.93</v>
      </c>
      <c r="GC8" s="118">
        <v>0.78</v>
      </c>
      <c r="GD8" s="124">
        <v>0.499</v>
      </c>
      <c r="GE8" s="125">
        <v>0.61</v>
      </c>
      <c r="GF8" s="126">
        <v>0.50600000000000001</v>
      </c>
      <c r="GG8" s="124">
        <v>0.55700000000000005</v>
      </c>
      <c r="GH8" s="127">
        <v>0.52800000000000002</v>
      </c>
      <c r="GI8" s="124">
        <v>0.504</v>
      </c>
      <c r="GJ8" s="128">
        <v>0.54800000000000004</v>
      </c>
      <c r="GK8" s="124">
        <v>0.53</v>
      </c>
      <c r="GL8" s="124">
        <v>0.51</v>
      </c>
      <c r="GM8" s="124">
        <v>0.56000000000000005</v>
      </c>
      <c r="GN8" s="124">
        <v>0.5</v>
      </c>
      <c r="GO8" s="124">
        <v>0.5</v>
      </c>
      <c r="GP8" s="124">
        <v>0.56000000000000005</v>
      </c>
      <c r="GQ8" s="124">
        <v>0.54</v>
      </c>
      <c r="GR8" s="124">
        <v>0.49</v>
      </c>
      <c r="GS8" s="124">
        <v>0.46</v>
      </c>
      <c r="GT8" s="92">
        <v>0.71799999999999997</v>
      </c>
      <c r="GU8" s="92">
        <v>0.67400000000000004</v>
      </c>
      <c r="GV8" s="130">
        <v>0.53</v>
      </c>
      <c r="GW8" s="91">
        <v>0.59299999999999997</v>
      </c>
      <c r="GX8" s="94">
        <v>0.60799999999999998</v>
      </c>
      <c r="GY8" s="92">
        <v>0.57099999999999995</v>
      </c>
      <c r="GZ8" s="90">
        <v>0.56999999999999995</v>
      </c>
      <c r="HA8" s="92">
        <v>0.64600000000000002</v>
      </c>
      <c r="HB8" s="91">
        <v>0.60599999999999998</v>
      </c>
      <c r="HC8" s="93">
        <v>0.58799999999999997</v>
      </c>
      <c r="HD8" s="92">
        <v>0.64100000000000001</v>
      </c>
      <c r="HE8" s="94">
        <v>0.77900000000000003</v>
      </c>
      <c r="HF8" s="92">
        <v>0.70699999999999996</v>
      </c>
      <c r="HG8" s="18"/>
      <c r="HH8" s="18"/>
    </row>
    <row r="9" spans="1:216" customFormat="1" x14ac:dyDescent="0.25">
      <c r="A9" t="s">
        <v>21</v>
      </c>
      <c r="B9" s="48">
        <v>0.65600000000000003</v>
      </c>
      <c r="C9" s="24">
        <v>0.70199999999999996</v>
      </c>
      <c r="D9" s="49">
        <v>0.82299999999999995</v>
      </c>
      <c r="E9" s="50">
        <v>0.71599999999999997</v>
      </c>
      <c r="F9" s="24">
        <v>0.626</v>
      </c>
      <c r="G9" s="51">
        <v>0.55400000000000005</v>
      </c>
      <c r="H9" s="24">
        <v>0.53600000000000003</v>
      </c>
      <c r="I9" s="49">
        <v>0.58299999999999996</v>
      </c>
      <c r="J9" s="24">
        <v>0.59699999999999998</v>
      </c>
      <c r="K9" s="48">
        <v>0.86299999999999999</v>
      </c>
      <c r="L9" s="24">
        <v>0.79700000000000004</v>
      </c>
      <c r="M9" s="50">
        <v>0.67500000000000004</v>
      </c>
      <c r="N9" s="24">
        <v>0.58099999999999996</v>
      </c>
      <c r="O9" s="51">
        <v>0.59199999999999997</v>
      </c>
      <c r="P9" s="24">
        <v>0.52400000000000002</v>
      </c>
      <c r="Q9" s="24">
        <v>0.52600000000000002</v>
      </c>
      <c r="R9" s="52">
        <v>0.7</v>
      </c>
      <c r="S9" s="53">
        <v>0.64</v>
      </c>
      <c r="T9" s="22">
        <v>0.7</v>
      </c>
      <c r="U9" s="54">
        <v>0.64</v>
      </c>
      <c r="V9" s="22">
        <v>0.63</v>
      </c>
      <c r="W9" s="55">
        <v>0.66500000000000004</v>
      </c>
      <c r="X9" s="22">
        <v>0.56000000000000005</v>
      </c>
      <c r="Y9" s="52">
        <v>0.67</v>
      </c>
      <c r="Z9" s="22">
        <v>0.63</v>
      </c>
      <c r="AA9" s="56">
        <v>0.54</v>
      </c>
      <c r="AB9" s="22">
        <v>0.53</v>
      </c>
      <c r="AC9" s="22">
        <v>0.46</v>
      </c>
      <c r="AD9" s="22">
        <v>0.55000000000000004</v>
      </c>
      <c r="AE9" s="22">
        <v>0.55000000000000004</v>
      </c>
      <c r="AF9" s="22">
        <v>0.48199999999999998</v>
      </c>
      <c r="AG9" s="57">
        <v>0.57299999999999995</v>
      </c>
      <c r="AH9" s="58">
        <v>0.53</v>
      </c>
      <c r="AI9" s="59">
        <v>0.443</v>
      </c>
      <c r="AJ9" s="60">
        <v>0.45500000000000002</v>
      </c>
      <c r="AK9" s="61">
        <v>0.55200000000000005</v>
      </c>
      <c r="AL9" s="60">
        <v>0.499</v>
      </c>
      <c r="AM9" s="60">
        <v>0.51200000000000001</v>
      </c>
      <c r="AN9" s="60">
        <v>0.54500000000000004</v>
      </c>
      <c r="AO9" s="62">
        <v>0.33</v>
      </c>
      <c r="AP9" s="63">
        <v>0.38</v>
      </c>
      <c r="AQ9" s="64">
        <v>0.45300000000000001</v>
      </c>
      <c r="AR9" s="65">
        <v>0.53300000000000003</v>
      </c>
      <c r="AS9" s="64">
        <v>0.42899999999999999</v>
      </c>
      <c r="AT9" s="66">
        <v>0.497</v>
      </c>
      <c r="AU9" s="64">
        <v>0.45100000000000001</v>
      </c>
      <c r="AV9" s="67">
        <v>0.504</v>
      </c>
      <c r="AW9" s="63">
        <v>0.437</v>
      </c>
      <c r="AX9" s="68">
        <v>0.71199999999999997</v>
      </c>
      <c r="AY9" s="68">
        <v>0.61599999999999999</v>
      </c>
      <c r="AZ9" s="68">
        <v>0.64100000000000001</v>
      </c>
      <c r="BA9" s="70">
        <v>0.66600000000000004</v>
      </c>
      <c r="BB9" s="68">
        <v>0.79800000000000004</v>
      </c>
      <c r="BC9" s="71">
        <v>0.749</v>
      </c>
      <c r="BD9" s="68">
        <v>0.79500000000000004</v>
      </c>
      <c r="BE9" s="72">
        <v>0.77500000000000002</v>
      </c>
      <c r="BF9" s="68">
        <v>0.91800000000000004</v>
      </c>
      <c r="BG9" s="73">
        <v>0.70599999999999996</v>
      </c>
      <c r="BH9" s="74">
        <v>0.78</v>
      </c>
      <c r="BI9" s="75">
        <f>0.576+0.295</f>
        <v>0.871</v>
      </c>
      <c r="BJ9" s="41">
        <v>0.67300000000000004</v>
      </c>
      <c r="BK9" s="76">
        <v>0.63</v>
      </c>
      <c r="BL9" s="41">
        <v>0.76100000000000001</v>
      </c>
      <c r="BM9" s="77">
        <v>0.82099999999999995</v>
      </c>
      <c r="BN9" s="41">
        <v>0.61799999999999999</v>
      </c>
      <c r="BO9" s="41">
        <v>0.59899999999999998</v>
      </c>
      <c r="BP9" s="41">
        <v>0.69899999999999995</v>
      </c>
      <c r="BQ9" s="41">
        <v>0.72899999999999998</v>
      </c>
      <c r="BR9" s="41">
        <v>0.71</v>
      </c>
      <c r="BS9" s="78">
        <v>0.64400000000000002</v>
      </c>
      <c r="BT9" s="79">
        <v>0.72</v>
      </c>
      <c r="BU9" s="80">
        <v>0.77</v>
      </c>
      <c r="BV9" s="81">
        <v>0.55000000000000004</v>
      </c>
      <c r="BW9" s="20">
        <v>0.55000000000000004</v>
      </c>
      <c r="BX9" s="82">
        <v>0.57999999999999996</v>
      </c>
      <c r="BY9" s="20">
        <v>0.55000000000000004</v>
      </c>
      <c r="BZ9" s="83">
        <v>0.47</v>
      </c>
      <c r="CA9" s="20">
        <v>0.52</v>
      </c>
      <c r="CB9" s="19">
        <v>0.83</v>
      </c>
      <c r="CC9" s="37">
        <v>0.57999999999999996</v>
      </c>
      <c r="CD9" s="37">
        <v>0.74</v>
      </c>
      <c r="CE9" s="84">
        <v>0.64</v>
      </c>
      <c r="CF9" s="84">
        <v>0.8</v>
      </c>
      <c r="CG9" s="37">
        <v>0.78</v>
      </c>
      <c r="CH9" s="37">
        <v>0.75</v>
      </c>
      <c r="CI9" s="84">
        <v>0.8</v>
      </c>
      <c r="CJ9" s="37">
        <v>0.77</v>
      </c>
      <c r="CK9" s="84">
        <v>0.72</v>
      </c>
      <c r="CL9" s="84">
        <v>0.77</v>
      </c>
      <c r="CM9" s="88">
        <v>0.68</v>
      </c>
      <c r="CN9" s="88">
        <v>0.67</v>
      </c>
      <c r="CO9" s="89">
        <v>0.8</v>
      </c>
      <c r="CP9" s="88">
        <v>0.8</v>
      </c>
      <c r="CQ9" s="90">
        <v>0.751</v>
      </c>
      <c r="CR9" s="91">
        <v>0.71499999999999997</v>
      </c>
      <c r="CS9" s="92">
        <v>0.70799999999999996</v>
      </c>
      <c r="CT9" s="93">
        <v>0.74</v>
      </c>
      <c r="CU9" s="92">
        <v>0.74</v>
      </c>
      <c r="CV9" s="94">
        <v>0.71</v>
      </c>
      <c r="CW9" s="244">
        <v>0.64</v>
      </c>
      <c r="CX9" s="244">
        <v>0.56000000000000005</v>
      </c>
      <c r="CY9" s="245">
        <v>0.72299999999999998</v>
      </c>
      <c r="CZ9" s="246">
        <v>0.74199999999999999</v>
      </c>
      <c r="DA9" s="247">
        <v>0.61599999999999999</v>
      </c>
      <c r="DB9" s="246">
        <v>0.75700000000000001</v>
      </c>
      <c r="DC9" s="248">
        <v>0.68200000000000005</v>
      </c>
      <c r="DD9" s="253">
        <v>0.67</v>
      </c>
      <c r="DE9" s="253">
        <v>0.62</v>
      </c>
      <c r="DF9" s="246">
        <v>0.6</v>
      </c>
      <c r="DG9" s="253">
        <v>0.68</v>
      </c>
      <c r="DH9" s="246">
        <v>0.66</v>
      </c>
      <c r="DI9" s="246">
        <v>0.66</v>
      </c>
      <c r="DJ9" s="95">
        <v>0.59</v>
      </c>
      <c r="DK9" s="96">
        <v>0.59</v>
      </c>
      <c r="DL9" s="97">
        <v>0.59</v>
      </c>
      <c r="DM9" s="98">
        <v>0.6</v>
      </c>
      <c r="DN9" s="96">
        <v>0.6</v>
      </c>
      <c r="DO9" s="99">
        <v>0.62</v>
      </c>
      <c r="DP9" s="96">
        <v>0.66</v>
      </c>
      <c r="DQ9" s="96">
        <v>0.82099999999999995</v>
      </c>
      <c r="DR9" s="96">
        <v>0.71</v>
      </c>
      <c r="DS9" s="96">
        <v>0.61599999999999999</v>
      </c>
      <c r="DT9" s="41">
        <v>0.59299999999999997</v>
      </c>
      <c r="DU9" s="41">
        <v>0.71599999999999997</v>
      </c>
      <c r="DV9" s="41">
        <v>0.67400000000000004</v>
      </c>
      <c r="DW9" s="41">
        <v>0.65400000000000003</v>
      </c>
      <c r="DX9" s="41">
        <v>0.60899999999999999</v>
      </c>
      <c r="DY9" s="41"/>
      <c r="DZ9" s="41">
        <v>0.63</v>
      </c>
      <c r="EA9" s="41"/>
      <c r="EB9" s="41"/>
      <c r="EC9" s="41">
        <v>0.61899999999999999</v>
      </c>
      <c r="ED9" s="41">
        <v>0.57199999999999995</v>
      </c>
      <c r="EE9" s="100">
        <v>0.88900000000000001</v>
      </c>
      <c r="EF9" s="101">
        <v>0.9</v>
      </c>
      <c r="EG9" s="100">
        <v>0.878</v>
      </c>
      <c r="EH9" s="102">
        <v>0.97299999999999998</v>
      </c>
      <c r="EI9" s="100">
        <v>0.63100000000000001</v>
      </c>
      <c r="EJ9" s="103">
        <v>0.77800000000000002</v>
      </c>
      <c r="EK9" s="100">
        <v>0.625</v>
      </c>
      <c r="EL9" s="104">
        <v>0.69099999999999995</v>
      </c>
      <c r="EM9" s="100">
        <v>0.66900000000000004</v>
      </c>
      <c r="EN9" s="105">
        <v>0.63400000000000001</v>
      </c>
      <c r="EO9" s="100">
        <v>0.70599999999999996</v>
      </c>
      <c r="EP9" s="100">
        <v>0.75</v>
      </c>
      <c r="EQ9" s="100">
        <v>0.78700000000000003</v>
      </c>
      <c r="ER9" s="100">
        <v>0.79900000000000004</v>
      </c>
      <c r="ES9" s="106">
        <v>0.71199999999999997</v>
      </c>
      <c r="ET9" s="107">
        <v>0.68500000000000005</v>
      </c>
      <c r="EU9" s="106">
        <v>0.64900000000000002</v>
      </c>
      <c r="EV9" s="108">
        <v>0.6</v>
      </c>
      <c r="EW9" s="106">
        <v>0.68799999999999994</v>
      </c>
      <c r="EX9" s="109">
        <v>0.60099999999999998</v>
      </c>
      <c r="EY9" s="106">
        <v>0.59199999999999997</v>
      </c>
      <c r="EZ9" s="110">
        <v>0.83699999999999997</v>
      </c>
      <c r="FA9" s="106">
        <v>0.80300000000000005</v>
      </c>
      <c r="FB9" s="107">
        <v>0.66400000000000003</v>
      </c>
      <c r="FC9" s="106">
        <v>0.62</v>
      </c>
      <c r="FD9" s="106">
        <v>0.65700000000000003</v>
      </c>
      <c r="FE9" s="106">
        <v>0.69699999999999995</v>
      </c>
      <c r="FF9" s="106">
        <v>0.70899999999999996</v>
      </c>
      <c r="FG9" s="111">
        <v>0.46700000000000003</v>
      </c>
      <c r="FH9" s="112">
        <v>0.51</v>
      </c>
      <c r="FI9" s="111">
        <v>0.48</v>
      </c>
      <c r="FJ9" s="113">
        <v>0.5</v>
      </c>
      <c r="FK9" s="111">
        <v>0.5</v>
      </c>
      <c r="FL9" s="114">
        <v>0.51</v>
      </c>
      <c r="FM9" s="111">
        <v>0.53</v>
      </c>
      <c r="FN9" s="115">
        <v>0.48299999999999998</v>
      </c>
      <c r="FO9" s="116">
        <v>0.47199999999999998</v>
      </c>
      <c r="FP9" s="117">
        <v>0.58399999999999996</v>
      </c>
      <c r="FQ9" s="116">
        <v>0.48</v>
      </c>
      <c r="FR9" s="118">
        <v>0.93300000000000005</v>
      </c>
      <c r="FS9" s="118">
        <v>0.99199999999999999</v>
      </c>
      <c r="FT9" s="118">
        <v>0.94699999999999995</v>
      </c>
      <c r="FU9" s="120">
        <v>0.78400000000000003</v>
      </c>
      <c r="FV9" s="118">
        <v>0.77800000000000002</v>
      </c>
      <c r="FW9" s="121">
        <v>0.81799999999999995</v>
      </c>
      <c r="FX9" s="118">
        <v>0.97299999999999998</v>
      </c>
      <c r="FY9" s="122">
        <v>1.0409999999999999</v>
      </c>
      <c r="FZ9" s="118">
        <v>1.0209999999999999</v>
      </c>
      <c r="GA9" s="123">
        <v>0.78900000000000003</v>
      </c>
      <c r="GB9" s="118">
        <v>0.96</v>
      </c>
      <c r="GC9" s="118">
        <v>0.76</v>
      </c>
      <c r="GD9" s="124">
        <v>0.49199999999999999</v>
      </c>
      <c r="GE9" s="125">
        <v>0.71</v>
      </c>
      <c r="GF9" s="126">
        <v>0.47099999999999997</v>
      </c>
      <c r="GG9" s="124">
        <v>0.55800000000000005</v>
      </c>
      <c r="GH9" s="127">
        <v>0.623</v>
      </c>
      <c r="GI9" s="124">
        <v>0.51400000000000001</v>
      </c>
      <c r="GJ9" s="128">
        <v>0.622</v>
      </c>
      <c r="GK9" s="124">
        <v>0.64</v>
      </c>
      <c r="GL9" s="124">
        <v>0.52</v>
      </c>
      <c r="GM9" s="124">
        <v>0.59</v>
      </c>
      <c r="GN9" s="124">
        <v>0.55000000000000004</v>
      </c>
      <c r="GO9" s="124">
        <v>0.52</v>
      </c>
      <c r="GP9" s="124">
        <v>0.59</v>
      </c>
      <c r="GQ9" s="124">
        <v>0.55000000000000004</v>
      </c>
      <c r="GR9" s="124">
        <v>0.56999999999999995</v>
      </c>
      <c r="GS9" s="124">
        <v>0.51</v>
      </c>
      <c r="GT9" s="92">
        <v>0.69799999999999995</v>
      </c>
      <c r="GU9" s="92">
        <v>0.69699999999999995</v>
      </c>
      <c r="GV9" s="130">
        <v>0.52900000000000003</v>
      </c>
      <c r="GW9" s="91">
        <v>0.56599999999999995</v>
      </c>
      <c r="GX9" s="94">
        <f>0.414+0.215</f>
        <v>0.629</v>
      </c>
      <c r="GY9" s="92">
        <v>0.53300000000000003</v>
      </c>
      <c r="GZ9" s="90">
        <v>0.59599999999999997</v>
      </c>
      <c r="HA9" s="92">
        <v>0.61</v>
      </c>
      <c r="HB9" s="91">
        <v>0.61299999999999999</v>
      </c>
      <c r="HC9" s="93">
        <v>0.55600000000000005</v>
      </c>
      <c r="HD9" s="92">
        <v>0.66900000000000004</v>
      </c>
      <c r="HE9" s="94">
        <v>0.70499999999999996</v>
      </c>
      <c r="HF9" s="92">
        <v>0.71199999999999997</v>
      </c>
      <c r="HG9" s="18"/>
      <c r="HH9" s="18"/>
    </row>
    <row r="10" spans="1:216" customFormat="1" x14ac:dyDescent="0.25">
      <c r="A10" t="s">
        <v>20</v>
      </c>
      <c r="B10" s="48"/>
      <c r="C10" s="48">
        <f t="shared" ref="C10:V10" si="18">C11+C12</f>
        <v>1.4410000000000001</v>
      </c>
      <c r="D10" s="48">
        <f t="shared" si="18"/>
        <v>1.6150000000000002</v>
      </c>
      <c r="E10" s="48">
        <f t="shared" si="18"/>
        <v>1.4159999999999999</v>
      </c>
      <c r="F10" s="48">
        <f t="shared" si="18"/>
        <v>1.095</v>
      </c>
      <c r="G10" s="48">
        <f t="shared" si="18"/>
        <v>1.2549999999999999</v>
      </c>
      <c r="H10" s="48"/>
      <c r="I10" s="48">
        <f t="shared" si="18"/>
        <v>1.3890000000000002</v>
      </c>
      <c r="J10" s="48">
        <f t="shared" si="18"/>
        <v>1.3160000000000003</v>
      </c>
      <c r="K10" s="48">
        <f t="shared" si="18"/>
        <v>1.7350000000000001</v>
      </c>
      <c r="L10" s="48"/>
      <c r="M10" s="48">
        <f t="shared" si="18"/>
        <v>1.25</v>
      </c>
      <c r="N10" s="48">
        <f t="shared" si="18"/>
        <v>1.4020000000000001</v>
      </c>
      <c r="O10" s="48">
        <f t="shared" si="18"/>
        <v>1.323</v>
      </c>
      <c r="P10" s="48">
        <f t="shared" si="18"/>
        <v>1.3050000000000002</v>
      </c>
      <c r="Q10" s="48"/>
      <c r="R10" s="208">
        <f t="shared" si="18"/>
        <v>1.05</v>
      </c>
      <c r="S10" s="208">
        <f t="shared" si="18"/>
        <v>1.3260000000000001</v>
      </c>
      <c r="T10" s="208"/>
      <c r="U10" s="208">
        <f>U11+U12</f>
        <v>1.3499999999999999</v>
      </c>
      <c r="V10" s="208">
        <f t="shared" si="18"/>
        <v>1.302</v>
      </c>
      <c r="W10" s="208"/>
      <c r="X10" s="208">
        <f t="shared" ref="X10:BC10" si="19">X11+X12</f>
        <v>1.085</v>
      </c>
      <c r="Y10" s="208"/>
      <c r="Z10" s="208">
        <f t="shared" si="19"/>
        <v>1.3599999999999999</v>
      </c>
      <c r="AA10" s="208">
        <f t="shared" si="19"/>
        <v>1</v>
      </c>
      <c r="AB10" s="208">
        <f t="shared" si="19"/>
        <v>1.2000000000000002</v>
      </c>
      <c r="AC10" s="208"/>
      <c r="AD10" s="208">
        <f t="shared" ref="AD10" si="20">AD11+AD12</f>
        <v>1.224</v>
      </c>
      <c r="AE10" s="208"/>
      <c r="AF10" s="208">
        <f t="shared" ref="AF10" si="21">AF11+AF12</f>
        <v>0.91700000000000004</v>
      </c>
      <c r="AG10" s="209">
        <f t="shared" si="19"/>
        <v>2.077</v>
      </c>
      <c r="AH10" s="209">
        <f t="shared" si="19"/>
        <v>2.0500000000000003</v>
      </c>
      <c r="AI10" s="209">
        <f t="shared" si="19"/>
        <v>1.94</v>
      </c>
      <c r="AJ10" s="209">
        <f t="shared" si="19"/>
        <v>1.6930000000000001</v>
      </c>
      <c r="AK10" s="209">
        <f t="shared" si="19"/>
        <v>1.887</v>
      </c>
      <c r="AL10" s="209">
        <f t="shared" si="19"/>
        <v>2.0680000000000001</v>
      </c>
      <c r="AM10" s="209">
        <f t="shared" si="19"/>
        <v>2.0979999999999999</v>
      </c>
      <c r="AN10" s="209">
        <f t="shared" si="19"/>
        <v>2.044</v>
      </c>
      <c r="AO10" s="65">
        <f t="shared" si="19"/>
        <v>0.70799999999999996</v>
      </c>
      <c r="AP10" s="65">
        <f t="shared" si="19"/>
        <v>0.78799999999999992</v>
      </c>
      <c r="AQ10" s="65">
        <f t="shared" si="19"/>
        <v>0.88500000000000001</v>
      </c>
      <c r="AR10" s="65">
        <f t="shared" si="19"/>
        <v>1.0329999999999999</v>
      </c>
      <c r="AS10" s="65">
        <f t="shared" si="19"/>
        <v>0.82199999999999995</v>
      </c>
      <c r="AT10" s="65">
        <f t="shared" si="19"/>
        <v>1.0049999999999999</v>
      </c>
      <c r="AU10" s="65">
        <f t="shared" si="19"/>
        <v>0.95199999999999996</v>
      </c>
      <c r="AV10" s="65">
        <f t="shared" si="19"/>
        <v>0.97499999999999998</v>
      </c>
      <c r="AW10" s="65">
        <f t="shared" si="19"/>
        <v>0.84399999999999997</v>
      </c>
      <c r="AX10" s="210">
        <f t="shared" si="19"/>
        <v>0.85699999999999998</v>
      </c>
      <c r="AY10" s="210">
        <f t="shared" si="19"/>
        <v>1.5720000000000001</v>
      </c>
      <c r="AZ10" s="210">
        <f t="shared" si="19"/>
        <v>1.2170000000000001</v>
      </c>
      <c r="BA10" s="210">
        <f t="shared" si="19"/>
        <v>1.359</v>
      </c>
      <c r="BB10" s="210"/>
      <c r="BC10" s="210">
        <f t="shared" si="19"/>
        <v>1.145</v>
      </c>
      <c r="BD10" s="210"/>
      <c r="BE10" s="210">
        <f t="shared" ref="BE10:EK10" si="22">BE11+BE12</f>
        <v>1.335</v>
      </c>
      <c r="BF10" s="210">
        <f t="shared" si="22"/>
        <v>1.883</v>
      </c>
      <c r="BG10" s="76">
        <f t="shared" si="22"/>
        <v>1.66</v>
      </c>
      <c r="BH10" s="76">
        <f t="shared" si="22"/>
        <v>1.59</v>
      </c>
      <c r="BI10" s="76"/>
      <c r="BJ10" s="76">
        <f t="shared" si="22"/>
        <v>1.5309999999999999</v>
      </c>
      <c r="BK10" s="76">
        <f t="shared" si="22"/>
        <v>1.3019999999999998</v>
      </c>
      <c r="BL10" s="76">
        <f>BL11+BL12</f>
        <v>1.53</v>
      </c>
      <c r="BM10" s="76"/>
      <c r="BN10" s="76">
        <f t="shared" ref="BN10:BR10" si="23">BN11+BN12</f>
        <v>1.7289999999999999</v>
      </c>
      <c r="BO10" s="76">
        <f t="shared" si="23"/>
        <v>1.7389999999999999</v>
      </c>
      <c r="BP10" s="76">
        <f t="shared" si="23"/>
        <v>1.722</v>
      </c>
      <c r="BQ10" s="76">
        <f t="shared" si="23"/>
        <v>1.96</v>
      </c>
      <c r="BR10" s="76">
        <f t="shared" si="23"/>
        <v>1.6199999999999999</v>
      </c>
      <c r="BS10" s="211">
        <f t="shared" si="22"/>
        <v>1.623</v>
      </c>
      <c r="BT10" s="211">
        <f t="shared" si="22"/>
        <v>1.6880000000000002</v>
      </c>
      <c r="BU10" s="211"/>
      <c r="BV10" s="211">
        <f t="shared" si="22"/>
        <v>1.2500000000000002</v>
      </c>
      <c r="BW10" s="211">
        <f t="shared" si="22"/>
        <v>1.4500000000000002</v>
      </c>
      <c r="BX10" s="211"/>
      <c r="BY10" s="211">
        <f t="shared" si="22"/>
        <v>1.6300000000000001</v>
      </c>
      <c r="BZ10" s="211"/>
      <c r="CA10" s="211">
        <f t="shared" si="22"/>
        <v>1.35</v>
      </c>
      <c r="CB10" s="211">
        <f t="shared" si="22"/>
        <v>1.8029999999999999</v>
      </c>
      <c r="CC10" s="212">
        <f t="shared" si="22"/>
        <v>1.46</v>
      </c>
      <c r="CD10" s="212">
        <f t="shared" si="22"/>
        <v>1.7</v>
      </c>
      <c r="CE10" s="212">
        <f t="shared" si="22"/>
        <v>1.45</v>
      </c>
      <c r="CF10" s="212">
        <f t="shared" si="22"/>
        <v>1.5799999999999998</v>
      </c>
      <c r="CG10" s="212">
        <f t="shared" si="22"/>
        <v>2.09</v>
      </c>
      <c r="CH10" s="212">
        <f t="shared" si="22"/>
        <v>1.8499999999999999</v>
      </c>
      <c r="CI10" s="212">
        <f t="shared" si="22"/>
        <v>1.3699999999999999</v>
      </c>
      <c r="CJ10" s="212">
        <f t="shared" si="22"/>
        <v>1.8499999999999999</v>
      </c>
      <c r="CK10" s="212">
        <f t="shared" si="22"/>
        <v>1.52</v>
      </c>
      <c r="CL10" s="212">
        <f t="shared" si="22"/>
        <v>1.89</v>
      </c>
      <c r="CM10" s="94">
        <f t="shared" si="22"/>
        <v>1.012</v>
      </c>
      <c r="CN10" s="94">
        <f t="shared" si="22"/>
        <v>0.96599999999999997</v>
      </c>
      <c r="CO10" s="94">
        <f t="shared" si="22"/>
        <v>1.9239999999999999</v>
      </c>
      <c r="CP10" s="94"/>
      <c r="CQ10" s="94">
        <f t="shared" si="22"/>
        <v>2.0149999999999997</v>
      </c>
      <c r="CR10" s="94">
        <f t="shared" si="22"/>
        <v>1.869</v>
      </c>
      <c r="CS10" s="94">
        <f t="shared" si="22"/>
        <v>2.0569999999999995</v>
      </c>
      <c r="CT10" s="94">
        <f t="shared" si="22"/>
        <v>1.5999999999999999</v>
      </c>
      <c r="CU10" s="94">
        <f t="shared" si="22"/>
        <v>1.5299999999999998</v>
      </c>
      <c r="CV10" s="94">
        <f t="shared" si="22"/>
        <v>1.81</v>
      </c>
      <c r="CW10" s="254">
        <f t="shared" si="22"/>
        <v>1.657</v>
      </c>
      <c r="CX10" s="254">
        <f t="shared" si="22"/>
        <v>1.5389999999999999</v>
      </c>
      <c r="CY10" s="254">
        <f t="shared" si="22"/>
        <v>1.651</v>
      </c>
      <c r="CZ10" s="254">
        <f t="shared" si="22"/>
        <v>1.972</v>
      </c>
      <c r="DA10" s="254">
        <f t="shared" si="22"/>
        <v>1.679</v>
      </c>
      <c r="DB10" s="254">
        <v>1.8879999999999999</v>
      </c>
      <c r="DC10" s="254">
        <f t="shared" si="22"/>
        <v>1.9489999999999998</v>
      </c>
      <c r="DD10" s="254">
        <f t="shared" si="22"/>
        <v>1.7999999999999998</v>
      </c>
      <c r="DE10" s="254">
        <f t="shared" si="22"/>
        <v>1.7729999999999999</v>
      </c>
      <c r="DF10" s="254">
        <f t="shared" si="22"/>
        <v>1.6700000000000002</v>
      </c>
      <c r="DG10" s="254">
        <f t="shared" si="22"/>
        <v>1.8399999999999999</v>
      </c>
      <c r="DH10" s="254">
        <f t="shared" si="22"/>
        <v>1.7110000000000001</v>
      </c>
      <c r="DI10" s="254">
        <f t="shared" si="22"/>
        <v>1.1200000000000001</v>
      </c>
      <c r="DJ10" s="213">
        <f t="shared" si="22"/>
        <v>1.46</v>
      </c>
      <c r="DK10" s="213"/>
      <c r="DL10" s="213">
        <f t="shared" si="22"/>
        <v>1.52</v>
      </c>
      <c r="DM10" s="213"/>
      <c r="DN10" s="213">
        <f t="shared" si="22"/>
        <v>1.4540000000000002</v>
      </c>
      <c r="DO10" s="213">
        <f t="shared" si="22"/>
        <v>1.48</v>
      </c>
      <c r="DP10" s="213"/>
      <c r="DQ10" s="213">
        <f t="shared" si="22"/>
        <v>1.8459999999999999</v>
      </c>
      <c r="DR10" s="213">
        <f t="shared" si="22"/>
        <v>1.6839999999999999</v>
      </c>
      <c r="DS10" s="213">
        <f t="shared" si="22"/>
        <v>1.6400000000000001</v>
      </c>
      <c r="DT10" s="76">
        <f>DT11+DT12</f>
        <v>1.923</v>
      </c>
      <c r="DU10" s="76">
        <f t="shared" ref="DU10:ED10" si="24">DU11+DU12</f>
        <v>1.5169999999999999</v>
      </c>
      <c r="DV10" s="76"/>
      <c r="DW10" s="76"/>
      <c r="DX10" s="76"/>
      <c r="DY10" s="76"/>
      <c r="DZ10" s="76"/>
      <c r="EA10" s="76"/>
      <c r="EB10" s="76"/>
      <c r="EC10" s="76">
        <f t="shared" si="24"/>
        <v>1.5529999999999999</v>
      </c>
      <c r="ED10" s="76">
        <f t="shared" si="24"/>
        <v>1.143</v>
      </c>
      <c r="EE10" s="214">
        <f t="shared" si="22"/>
        <v>1.4409999999999998</v>
      </c>
      <c r="EF10" s="214">
        <f t="shared" si="22"/>
        <v>1.788</v>
      </c>
      <c r="EG10" s="214">
        <f t="shared" si="22"/>
        <v>1.8479999999999999</v>
      </c>
      <c r="EH10" s="214">
        <f t="shared" si="22"/>
        <v>1.516</v>
      </c>
      <c r="EI10" s="214">
        <f t="shared" si="22"/>
        <v>1.4750000000000001</v>
      </c>
      <c r="EJ10" s="214">
        <f t="shared" si="22"/>
        <v>1.4849999999999999</v>
      </c>
      <c r="EK10" s="214">
        <f t="shared" si="22"/>
        <v>1.044</v>
      </c>
      <c r="EL10" s="214">
        <f t="shared" ref="EL10:HF10" si="25">EL11+EL12</f>
        <v>1.52</v>
      </c>
      <c r="EM10" s="214">
        <f t="shared" si="25"/>
        <v>1.25</v>
      </c>
      <c r="EN10" s="214">
        <f t="shared" si="25"/>
        <v>1.407</v>
      </c>
      <c r="EO10" s="214">
        <f t="shared" si="25"/>
        <v>1.496</v>
      </c>
      <c r="EP10" s="214">
        <f t="shared" si="25"/>
        <v>1.1359999999999999</v>
      </c>
      <c r="EQ10" s="214">
        <f t="shared" si="25"/>
        <v>1.641</v>
      </c>
      <c r="ER10" s="214">
        <f t="shared" si="25"/>
        <v>1.2969999999999999</v>
      </c>
      <c r="ES10" s="215">
        <f t="shared" si="25"/>
        <v>1.321</v>
      </c>
      <c r="ET10" s="215">
        <f t="shared" si="25"/>
        <v>1.2290000000000001</v>
      </c>
      <c r="EU10" s="215"/>
      <c r="EV10" s="215">
        <f t="shared" si="25"/>
        <v>1.4690000000000001</v>
      </c>
      <c r="EW10" s="215">
        <f t="shared" si="25"/>
        <v>1.597</v>
      </c>
      <c r="EX10" s="215">
        <f t="shared" si="25"/>
        <v>1.5620000000000001</v>
      </c>
      <c r="EY10" s="215">
        <f t="shared" si="25"/>
        <v>1.589</v>
      </c>
      <c r="EZ10" s="215">
        <f t="shared" si="25"/>
        <v>1.6110000000000002</v>
      </c>
      <c r="FA10" s="215">
        <f t="shared" si="25"/>
        <v>1.6199999999999997</v>
      </c>
      <c r="FB10" s="215">
        <f t="shared" si="25"/>
        <v>1.4969999999999999</v>
      </c>
      <c r="FC10" s="215">
        <f t="shared" si="25"/>
        <v>1.54</v>
      </c>
      <c r="FD10" s="215"/>
      <c r="FE10" s="215">
        <f t="shared" si="25"/>
        <v>1.5950000000000002</v>
      </c>
      <c r="FF10" s="215">
        <f t="shared" si="25"/>
        <v>1.6749999999999998</v>
      </c>
      <c r="FG10" s="216">
        <f t="shared" si="25"/>
        <v>0.873</v>
      </c>
      <c r="FH10" s="216">
        <f t="shared" si="25"/>
        <v>0.85499999999999998</v>
      </c>
      <c r="FI10" s="216">
        <f t="shared" si="25"/>
        <v>0.88100000000000001</v>
      </c>
      <c r="FJ10" s="216">
        <f t="shared" si="25"/>
        <v>0.97</v>
      </c>
      <c r="FK10" s="216">
        <f t="shared" si="25"/>
        <v>0.97</v>
      </c>
      <c r="FL10" s="216">
        <f t="shared" si="25"/>
        <v>0.73</v>
      </c>
      <c r="FM10" s="216">
        <f t="shared" si="25"/>
        <v>0.96</v>
      </c>
      <c r="FN10" s="216">
        <f t="shared" si="25"/>
        <v>0.91200000000000003</v>
      </c>
      <c r="FO10" s="216">
        <f t="shared" si="25"/>
        <v>0.879</v>
      </c>
      <c r="FP10" s="216">
        <f t="shared" si="25"/>
        <v>0.95199999999999996</v>
      </c>
      <c r="FQ10" s="216">
        <f t="shared" si="25"/>
        <v>0.91300000000000003</v>
      </c>
      <c r="FR10" s="217">
        <f>FR11+FR12</f>
        <v>2.214</v>
      </c>
      <c r="FS10" s="217">
        <f>FS11+FS12</f>
        <v>2.2459999999999996</v>
      </c>
      <c r="FT10" s="217">
        <f>FT11+FT12</f>
        <v>1.7969999999999999</v>
      </c>
      <c r="FU10" s="217">
        <f>FU11+FU12</f>
        <v>2.2080000000000002</v>
      </c>
      <c r="FV10" s="217"/>
      <c r="FW10" s="217">
        <f>FW11+FW12</f>
        <v>1.9789999999999999</v>
      </c>
      <c r="FX10" s="217">
        <f>FX11+FX12</f>
        <v>2.3099999999999996</v>
      </c>
      <c r="FY10" s="217">
        <f>FY11+FY12</f>
        <v>2.2509999999999999</v>
      </c>
      <c r="FZ10" s="217">
        <f>FZ11+FZ12</f>
        <v>2.331</v>
      </c>
      <c r="GA10" s="217">
        <f>GA11+GA12</f>
        <v>2.0939999999999999</v>
      </c>
      <c r="GB10" s="217">
        <f t="shared" ref="GB10:GC10" si="26">GB11+GB12</f>
        <v>1.94</v>
      </c>
      <c r="GC10" s="217">
        <f t="shared" si="26"/>
        <v>1.88</v>
      </c>
      <c r="GD10" s="124">
        <v>1.641</v>
      </c>
      <c r="GE10" s="218">
        <v>1.44</v>
      </c>
      <c r="GF10" s="218">
        <f>GF11+GF12</f>
        <v>1.7170000000000001</v>
      </c>
      <c r="GG10" s="218">
        <f>GG11+GG12</f>
        <v>1.855</v>
      </c>
      <c r="GH10" s="218">
        <f>GH11+GH12</f>
        <v>2.1080000000000001</v>
      </c>
      <c r="GI10" s="218">
        <f>GI11+GI12</f>
        <v>1.754</v>
      </c>
      <c r="GJ10" s="218">
        <v>1.3340000000000001</v>
      </c>
      <c r="GK10" s="124">
        <v>2.06</v>
      </c>
      <c r="GL10" s="124">
        <v>1.76</v>
      </c>
      <c r="GM10" s="124">
        <v>1.38</v>
      </c>
      <c r="GN10" s="124">
        <v>1.69</v>
      </c>
      <c r="GO10" s="124">
        <v>1.31</v>
      </c>
      <c r="GP10" s="124">
        <v>1.96</v>
      </c>
      <c r="GQ10" s="124">
        <v>1.6700000000000002</v>
      </c>
      <c r="GR10" s="124">
        <v>1.2599999999999998</v>
      </c>
      <c r="GS10" s="124">
        <v>1.78</v>
      </c>
      <c r="GT10" s="94">
        <f t="shared" si="25"/>
        <v>1.329</v>
      </c>
      <c r="GU10" s="94">
        <f t="shared" si="25"/>
        <v>1.347</v>
      </c>
      <c r="GV10" s="94">
        <f t="shared" si="25"/>
        <v>0.998</v>
      </c>
      <c r="GW10" s="94">
        <f t="shared" si="25"/>
        <v>1.115</v>
      </c>
      <c r="GX10" s="94">
        <f t="shared" si="25"/>
        <v>1.163</v>
      </c>
      <c r="GY10" s="94">
        <f t="shared" si="25"/>
        <v>0.95200000000000007</v>
      </c>
      <c r="GZ10" s="94">
        <f t="shared" si="25"/>
        <v>1.1909999999999998</v>
      </c>
      <c r="HA10" s="94">
        <f t="shared" si="25"/>
        <v>1.2689999999999999</v>
      </c>
      <c r="HB10" s="94">
        <f t="shared" si="25"/>
        <v>1.1719999999999999</v>
      </c>
      <c r="HC10" s="94">
        <f t="shared" si="25"/>
        <v>0.94899999999999995</v>
      </c>
      <c r="HD10" s="94">
        <f t="shared" si="25"/>
        <v>1.3340000000000001</v>
      </c>
      <c r="HE10" s="94">
        <f t="shared" si="25"/>
        <v>1.496</v>
      </c>
      <c r="HF10" s="94">
        <f t="shared" si="25"/>
        <v>1.0049999999999999</v>
      </c>
      <c r="HG10" s="18"/>
      <c r="HH10" s="18"/>
    </row>
    <row r="11" spans="1:216" customFormat="1" x14ac:dyDescent="0.25">
      <c r="A11" t="s">
        <v>19</v>
      </c>
      <c r="B11" s="48">
        <v>0.13</v>
      </c>
      <c r="C11" s="24">
        <v>0.14099999999999999</v>
      </c>
      <c r="D11" s="49">
        <v>0.124</v>
      </c>
      <c r="E11" s="50">
        <v>0.14399999999999999</v>
      </c>
      <c r="F11" s="24">
        <v>0.13800000000000001</v>
      </c>
      <c r="G11" s="51">
        <v>0.115</v>
      </c>
      <c r="H11" s="24">
        <v>0.127</v>
      </c>
      <c r="I11" s="49">
        <v>0.128</v>
      </c>
      <c r="J11" s="24">
        <v>0.128</v>
      </c>
      <c r="K11" s="48">
        <v>0.155</v>
      </c>
      <c r="L11" s="24">
        <v>0.14799999999999999</v>
      </c>
      <c r="M11" s="50">
        <v>0.14099999999999999</v>
      </c>
      <c r="N11" s="24">
        <v>0.128</v>
      </c>
      <c r="O11" s="51">
        <v>0.121</v>
      </c>
      <c r="P11" s="24">
        <v>0.11799999999999999</v>
      </c>
      <c r="Q11" s="24">
        <v>0.11899999999999999</v>
      </c>
      <c r="R11" s="52">
        <v>0.15</v>
      </c>
      <c r="S11" s="53">
        <v>0.17299999999999999</v>
      </c>
      <c r="T11" s="22">
        <v>0.156</v>
      </c>
      <c r="U11" s="54">
        <v>0.15</v>
      </c>
      <c r="V11" s="22">
        <v>0.17</v>
      </c>
      <c r="W11" s="55">
        <v>0.14599999999999999</v>
      </c>
      <c r="X11" s="22">
        <v>0.15</v>
      </c>
      <c r="Y11" s="52">
        <v>0.15</v>
      </c>
      <c r="Z11" s="22">
        <v>0.15</v>
      </c>
      <c r="AA11" s="56">
        <v>0.13</v>
      </c>
      <c r="AB11" s="22">
        <v>0.14000000000000001</v>
      </c>
      <c r="AC11" s="22">
        <v>0.13</v>
      </c>
      <c r="AD11" s="22">
        <v>0.15</v>
      </c>
      <c r="AE11" s="22">
        <v>0.14000000000000001</v>
      </c>
      <c r="AF11" s="22">
        <v>0.13</v>
      </c>
      <c r="AG11" s="57">
        <v>0.12</v>
      </c>
      <c r="AH11" s="58">
        <v>0.13</v>
      </c>
      <c r="AI11" s="59">
        <v>0.113</v>
      </c>
      <c r="AJ11" s="60">
        <v>0.123</v>
      </c>
      <c r="AK11" s="61">
        <v>0.14000000000000001</v>
      </c>
      <c r="AL11" s="60">
        <v>0.13300000000000001</v>
      </c>
      <c r="AM11" s="60">
        <v>0.125</v>
      </c>
      <c r="AN11" s="60">
        <v>0.13100000000000001</v>
      </c>
      <c r="AO11" s="62">
        <v>7.8E-2</v>
      </c>
      <c r="AP11" s="63">
        <v>8.7999999999999995E-2</v>
      </c>
      <c r="AQ11" s="64">
        <v>0.122</v>
      </c>
      <c r="AR11" s="65">
        <v>0.13400000000000001</v>
      </c>
      <c r="AS11" s="64">
        <v>0.126</v>
      </c>
      <c r="AT11" s="66">
        <v>0.13500000000000001</v>
      </c>
      <c r="AU11" s="64">
        <v>0.13400000000000001</v>
      </c>
      <c r="AV11" s="67">
        <v>0.13700000000000001</v>
      </c>
      <c r="AW11" s="63">
        <v>0.13700000000000001</v>
      </c>
      <c r="AX11" s="68">
        <v>0.13</v>
      </c>
      <c r="AY11" s="68">
        <v>0.121</v>
      </c>
      <c r="AZ11" s="68">
        <v>0.14099999999999999</v>
      </c>
      <c r="BA11" s="70">
        <v>0.13800000000000001</v>
      </c>
      <c r="BB11" s="68">
        <v>0.13700000000000001</v>
      </c>
      <c r="BC11" s="71">
        <v>0.13600000000000001</v>
      </c>
      <c r="BD11" s="68">
        <v>0.14899999999999999</v>
      </c>
      <c r="BE11" s="72">
        <v>0.13400000000000001</v>
      </c>
      <c r="BF11" s="68">
        <v>0.16500000000000001</v>
      </c>
      <c r="BG11" s="73">
        <v>0.15</v>
      </c>
      <c r="BH11" s="74">
        <v>0.156</v>
      </c>
      <c r="BI11" s="75">
        <v>0.19</v>
      </c>
      <c r="BJ11" s="41">
        <v>0.14899999999999999</v>
      </c>
      <c r="BK11" s="76">
        <v>0.14199999999999999</v>
      </c>
      <c r="BL11" s="41">
        <v>0.16300000000000001</v>
      </c>
      <c r="BM11" s="77">
        <v>0.14699999999999999</v>
      </c>
      <c r="BN11" s="41">
        <v>0.14599999999999999</v>
      </c>
      <c r="BO11" s="41">
        <v>0.13400000000000001</v>
      </c>
      <c r="BP11" s="41">
        <v>0.153</v>
      </c>
      <c r="BQ11" s="41">
        <v>0.16</v>
      </c>
      <c r="BR11" s="41">
        <v>0.16</v>
      </c>
      <c r="BS11" s="78">
        <v>0.14599999999999999</v>
      </c>
      <c r="BT11" s="79">
        <v>0.128</v>
      </c>
      <c r="BU11" s="80">
        <v>0.13</v>
      </c>
      <c r="BV11" s="81">
        <v>0.11</v>
      </c>
      <c r="BW11" s="20">
        <v>0.12</v>
      </c>
      <c r="BX11" s="82">
        <v>0.11</v>
      </c>
      <c r="BY11" s="20">
        <v>0.11</v>
      </c>
      <c r="BZ11" s="83">
        <v>0.1</v>
      </c>
      <c r="CA11" s="20">
        <v>0.12</v>
      </c>
      <c r="CB11" s="20">
        <v>0.14299999999999999</v>
      </c>
      <c r="CC11" s="37">
        <v>0.15</v>
      </c>
      <c r="CD11" s="37">
        <v>0.15</v>
      </c>
      <c r="CE11" s="84">
        <v>0.15</v>
      </c>
      <c r="CF11" s="37">
        <v>0.15</v>
      </c>
      <c r="CG11" s="37">
        <v>0.15</v>
      </c>
      <c r="CH11" s="84">
        <v>0.15</v>
      </c>
      <c r="CI11" s="84">
        <v>0.17</v>
      </c>
      <c r="CJ11" s="84">
        <v>0.15</v>
      </c>
      <c r="CK11" s="37">
        <v>0.14000000000000001</v>
      </c>
      <c r="CL11" s="37">
        <v>0.15</v>
      </c>
      <c r="CM11" s="88">
        <v>0.15</v>
      </c>
      <c r="CN11" s="88">
        <v>0.14000000000000001</v>
      </c>
      <c r="CO11" s="89">
        <v>0.15</v>
      </c>
      <c r="CP11" s="88">
        <v>0.15</v>
      </c>
      <c r="CQ11" s="90">
        <v>0.15</v>
      </c>
      <c r="CR11" s="91">
        <v>0.156</v>
      </c>
      <c r="CS11" s="92">
        <v>0.13800000000000001</v>
      </c>
      <c r="CT11" s="93">
        <v>0.15</v>
      </c>
      <c r="CU11" s="92">
        <v>0.14000000000000001</v>
      </c>
      <c r="CV11" s="94">
        <v>0.14000000000000001</v>
      </c>
      <c r="CW11" s="244">
        <v>0.11700000000000001</v>
      </c>
      <c r="CX11" s="244">
        <v>0.106</v>
      </c>
      <c r="CY11" s="245">
        <v>0.127</v>
      </c>
      <c r="CZ11" s="246">
        <v>0.13600000000000001</v>
      </c>
      <c r="DA11" s="247">
        <v>0.13300000000000001</v>
      </c>
      <c r="DB11" s="246">
        <v>0.14199999999999999</v>
      </c>
      <c r="DC11" s="248">
        <v>0.128</v>
      </c>
      <c r="DD11" s="253">
        <v>0.13</v>
      </c>
      <c r="DE11" s="246">
        <v>0.11</v>
      </c>
      <c r="DF11" s="253">
        <v>0.11</v>
      </c>
      <c r="DG11" s="253">
        <v>0.12</v>
      </c>
      <c r="DH11" s="246">
        <v>0.11</v>
      </c>
      <c r="DI11" s="246">
        <v>0.12</v>
      </c>
      <c r="DJ11" s="95">
        <v>0.13</v>
      </c>
      <c r="DK11" s="96">
        <v>0.13</v>
      </c>
      <c r="DL11" s="97">
        <v>0.14000000000000001</v>
      </c>
      <c r="DM11" s="98">
        <v>0.12</v>
      </c>
      <c r="DN11" s="96">
        <v>0.13</v>
      </c>
      <c r="DO11" s="99">
        <v>0.13</v>
      </c>
      <c r="DP11" s="96">
        <v>0.12</v>
      </c>
      <c r="DQ11" s="96">
        <v>0.15</v>
      </c>
      <c r="DR11" s="96">
        <v>0.15</v>
      </c>
      <c r="DS11" s="96">
        <v>0.14000000000000001</v>
      </c>
      <c r="DT11" s="41">
        <v>0.11700000000000001</v>
      </c>
      <c r="DU11" s="41">
        <v>0.13600000000000001</v>
      </c>
      <c r="DV11" s="41">
        <v>0.114</v>
      </c>
      <c r="DW11" s="41">
        <v>0.11700000000000001</v>
      </c>
      <c r="DX11" s="41">
        <v>0.11</v>
      </c>
      <c r="DY11" s="41"/>
      <c r="DZ11" s="41">
        <v>0.104</v>
      </c>
      <c r="EA11" s="41"/>
      <c r="EB11" s="41"/>
      <c r="EC11" s="41">
        <v>0.124</v>
      </c>
      <c r="ED11" s="41">
        <v>0.11</v>
      </c>
      <c r="EE11" s="100">
        <v>0.19</v>
      </c>
      <c r="EF11" s="101">
        <v>0.185</v>
      </c>
      <c r="EG11" s="100">
        <v>0.186</v>
      </c>
      <c r="EH11" s="102">
        <v>0.18</v>
      </c>
      <c r="EI11" s="100">
        <v>0.14899999999999999</v>
      </c>
      <c r="EJ11" s="103">
        <v>0.154</v>
      </c>
      <c r="EK11" s="100">
        <v>0.14899999999999999</v>
      </c>
      <c r="EL11" s="104">
        <v>0.151</v>
      </c>
      <c r="EM11" s="100">
        <v>0.154</v>
      </c>
      <c r="EN11" s="105">
        <v>0.13200000000000001</v>
      </c>
      <c r="EO11" s="100">
        <v>0.161</v>
      </c>
      <c r="EP11" s="100">
        <v>0.15</v>
      </c>
      <c r="EQ11" s="100">
        <v>0.17</v>
      </c>
      <c r="ER11" s="100">
        <v>0.19</v>
      </c>
      <c r="ES11" s="106">
        <v>0.13500000000000001</v>
      </c>
      <c r="ET11" s="107">
        <v>0.12</v>
      </c>
      <c r="EU11" s="106">
        <v>0.11600000000000001</v>
      </c>
      <c r="EV11" s="108">
        <v>0.113</v>
      </c>
      <c r="EW11" s="106">
        <v>0.122</v>
      </c>
      <c r="EX11" s="109">
        <v>0.107</v>
      </c>
      <c r="EY11" s="106">
        <v>0.11799999999999999</v>
      </c>
      <c r="EZ11" s="110">
        <v>0.13</v>
      </c>
      <c r="FA11" s="106">
        <v>0.128</v>
      </c>
      <c r="FB11" s="107">
        <v>0.109</v>
      </c>
      <c r="FC11" s="106">
        <v>0.11</v>
      </c>
      <c r="FD11" s="106">
        <v>0.11799999999999999</v>
      </c>
      <c r="FE11" s="106">
        <v>0.122</v>
      </c>
      <c r="FF11" s="106">
        <v>0.128</v>
      </c>
      <c r="FG11" s="111">
        <v>0.13300000000000001</v>
      </c>
      <c r="FH11" s="112">
        <v>0.13</v>
      </c>
      <c r="FI11" s="111">
        <v>0.13500000000000001</v>
      </c>
      <c r="FJ11" s="113">
        <v>0.13</v>
      </c>
      <c r="FK11" s="111">
        <v>0.12</v>
      </c>
      <c r="FL11" s="114">
        <v>0.13</v>
      </c>
      <c r="FM11" s="111">
        <v>0.12</v>
      </c>
      <c r="FN11" s="115">
        <v>0.13300000000000001</v>
      </c>
      <c r="FO11" s="116">
        <v>0.13400000000000001</v>
      </c>
      <c r="FP11" s="117">
        <v>0.13500000000000001</v>
      </c>
      <c r="FQ11" s="116">
        <v>0.129</v>
      </c>
      <c r="FR11" s="118">
        <v>0.152</v>
      </c>
      <c r="FS11" s="118">
        <v>0.17499999999999999</v>
      </c>
      <c r="FT11" s="118">
        <v>0.15</v>
      </c>
      <c r="FU11" s="120">
        <v>0.14799999999999999</v>
      </c>
      <c r="FV11" s="118">
        <v>0.161</v>
      </c>
      <c r="FW11" s="121">
        <v>0.13100000000000001</v>
      </c>
      <c r="FX11" s="118">
        <v>0.154</v>
      </c>
      <c r="FY11" s="122">
        <v>0.16400000000000001</v>
      </c>
      <c r="FZ11" s="118">
        <v>0.157</v>
      </c>
      <c r="GA11" s="123">
        <v>0.13400000000000001</v>
      </c>
      <c r="GB11" s="45">
        <v>0.15</v>
      </c>
      <c r="GC11" s="45">
        <v>0.15</v>
      </c>
      <c r="GD11" s="124">
        <v>9.4E-2</v>
      </c>
      <c r="GE11" s="125">
        <v>0.12</v>
      </c>
      <c r="GF11" s="126">
        <v>0.113</v>
      </c>
      <c r="GG11" s="124">
        <v>0.123</v>
      </c>
      <c r="GH11" s="127">
        <v>0.13</v>
      </c>
      <c r="GI11" s="124">
        <v>0.104</v>
      </c>
      <c r="GJ11" s="128">
        <v>0.122</v>
      </c>
      <c r="GK11" s="124">
        <v>0.12</v>
      </c>
      <c r="GL11" s="124">
        <v>0.11</v>
      </c>
      <c r="GM11" s="124">
        <v>0.12</v>
      </c>
      <c r="GN11" s="124">
        <v>0.12</v>
      </c>
      <c r="GO11" s="124">
        <v>0.11</v>
      </c>
      <c r="GP11" s="124">
        <v>0.12</v>
      </c>
      <c r="GQ11" s="124">
        <v>0.1</v>
      </c>
      <c r="GR11" s="124">
        <v>0.12</v>
      </c>
      <c r="GS11" s="124">
        <v>0.1</v>
      </c>
      <c r="GT11" s="92">
        <v>0.16500000000000001</v>
      </c>
      <c r="GU11" s="92">
        <v>0.17199999999999999</v>
      </c>
      <c r="GV11" s="130">
        <v>0.152</v>
      </c>
      <c r="GW11" s="91">
        <v>0.154</v>
      </c>
      <c r="GX11" s="94">
        <v>0.17100000000000001</v>
      </c>
      <c r="GY11" s="92">
        <v>0.14099999999999999</v>
      </c>
      <c r="GZ11" s="90">
        <v>0.15</v>
      </c>
      <c r="HA11" s="92">
        <v>0.154</v>
      </c>
      <c r="HB11" s="91">
        <v>0.16300000000000001</v>
      </c>
      <c r="HC11" s="93">
        <v>0.13500000000000001</v>
      </c>
      <c r="HD11" s="92">
        <v>0.14899999999999999</v>
      </c>
      <c r="HE11" s="94">
        <v>0.17</v>
      </c>
      <c r="HF11" s="92">
        <v>0.16800000000000001</v>
      </c>
      <c r="HG11" s="18"/>
      <c r="HH11" s="18"/>
    </row>
    <row r="12" spans="1:216" customFormat="1" x14ac:dyDescent="0.25">
      <c r="A12" t="s">
        <v>18</v>
      </c>
      <c r="B12" s="48"/>
      <c r="C12" s="24">
        <v>1.3</v>
      </c>
      <c r="D12" s="49">
        <f>0.548+0.943</f>
        <v>1.4910000000000001</v>
      </c>
      <c r="E12" s="50">
        <f>0.626+0.646</f>
        <v>1.272</v>
      </c>
      <c r="F12" s="24">
        <f>0.751+0.206</f>
        <v>0.95699999999999996</v>
      </c>
      <c r="G12" s="51">
        <v>1.1399999999999999</v>
      </c>
      <c r="H12" s="24"/>
      <c r="I12" s="49">
        <f>0.639+0.193+0.429</f>
        <v>1.2610000000000001</v>
      </c>
      <c r="J12" s="24">
        <f>0.33+0.301+0.557</f>
        <v>1.1880000000000002</v>
      </c>
      <c r="K12" s="48">
        <v>1.58</v>
      </c>
      <c r="L12" s="24"/>
      <c r="M12" s="50">
        <v>1.109</v>
      </c>
      <c r="N12" s="24">
        <f>0.761+0.513</f>
        <v>1.274</v>
      </c>
      <c r="O12" s="51">
        <f>0.828+0.374</f>
        <v>1.202</v>
      </c>
      <c r="P12" s="24">
        <v>1.1870000000000001</v>
      </c>
      <c r="Q12" s="24"/>
      <c r="R12" s="52">
        <v>0.9</v>
      </c>
      <c r="S12" s="53">
        <f>0.813+0.34</f>
        <v>1.153</v>
      </c>
      <c r="T12" s="22"/>
      <c r="U12" s="54">
        <v>1.2</v>
      </c>
      <c r="V12" s="22">
        <f>0.992+0.14</f>
        <v>1.1320000000000001</v>
      </c>
      <c r="W12" s="55"/>
      <c r="X12" s="22">
        <v>0.93500000000000005</v>
      </c>
      <c r="Y12" s="52"/>
      <c r="Z12" s="22">
        <f>0.53+0.22+0.46</f>
        <v>1.21</v>
      </c>
      <c r="AA12" s="56">
        <v>0.87</v>
      </c>
      <c r="AB12" s="22">
        <v>1.06</v>
      </c>
      <c r="AC12" s="22"/>
      <c r="AD12" s="22">
        <f>0.55+0.524</f>
        <v>1.0740000000000001</v>
      </c>
      <c r="AE12" s="22"/>
      <c r="AF12" s="22">
        <v>0.78700000000000003</v>
      </c>
      <c r="AG12" s="57">
        <v>1.9569999999999999</v>
      </c>
      <c r="AH12" s="58">
        <f>0.4+0.62+0.58+0.32</f>
        <v>1.9200000000000002</v>
      </c>
      <c r="AI12" s="59">
        <f>0.79+0.693+0.344</f>
        <v>1.827</v>
      </c>
      <c r="AJ12" s="60">
        <f>0.644+0.492+0.434</f>
        <v>1.57</v>
      </c>
      <c r="AK12" s="61">
        <f>0.883+0.864</f>
        <v>1.7469999999999999</v>
      </c>
      <c r="AL12" s="60">
        <v>1.9350000000000001</v>
      </c>
      <c r="AM12" s="60">
        <v>1.9730000000000001</v>
      </c>
      <c r="AN12" s="60">
        <v>1.913</v>
      </c>
      <c r="AO12" s="62">
        <v>0.63</v>
      </c>
      <c r="AP12" s="63">
        <v>0.7</v>
      </c>
      <c r="AQ12" s="64">
        <v>0.76300000000000001</v>
      </c>
      <c r="AR12" s="65">
        <v>0.89900000000000002</v>
      </c>
      <c r="AS12" s="64">
        <v>0.69599999999999995</v>
      </c>
      <c r="AT12" s="66">
        <v>0.87</v>
      </c>
      <c r="AU12" s="64">
        <v>0.81799999999999995</v>
      </c>
      <c r="AV12" s="67">
        <v>0.83799999999999997</v>
      </c>
      <c r="AW12" s="63">
        <v>0.70699999999999996</v>
      </c>
      <c r="AX12" s="68">
        <v>0.72699999999999998</v>
      </c>
      <c r="AY12" s="68">
        <v>1.4510000000000001</v>
      </c>
      <c r="AZ12" s="68">
        <f>0.422+0.34+0.314</f>
        <v>1.0760000000000001</v>
      </c>
      <c r="BA12" s="70">
        <v>1.2210000000000001</v>
      </c>
      <c r="BB12" s="68"/>
      <c r="BC12" s="71">
        <f>0.666+0.125+0.218</f>
        <v>1.0090000000000001</v>
      </c>
      <c r="BD12" s="68"/>
      <c r="BE12" s="72">
        <f>0.402+0.799</f>
        <v>1.2010000000000001</v>
      </c>
      <c r="BF12" s="68">
        <v>1.718</v>
      </c>
      <c r="BG12" s="73">
        <f>0.69+0.468+0.163+0.189</f>
        <v>1.51</v>
      </c>
      <c r="BH12" s="74">
        <f>0.909+0.185+0.2+0.14</f>
        <v>1.4340000000000002</v>
      </c>
      <c r="BI12" s="75"/>
      <c r="BJ12" s="41">
        <v>1.3819999999999999</v>
      </c>
      <c r="BK12" s="76">
        <f>0.458+0.272+0.43</f>
        <v>1.1599999999999999</v>
      </c>
      <c r="BL12" s="41">
        <v>1.367</v>
      </c>
      <c r="BM12" s="77"/>
      <c r="BN12" s="41">
        <v>1.583</v>
      </c>
      <c r="BO12" s="41">
        <v>1.605</v>
      </c>
      <c r="BP12" s="41">
        <v>1.569</v>
      </c>
      <c r="BQ12" s="41">
        <v>1.8</v>
      </c>
      <c r="BR12" s="41">
        <v>1.46</v>
      </c>
      <c r="BS12" s="78">
        <f>0.448+0.537+0.299+0.193</f>
        <v>1.4770000000000001</v>
      </c>
      <c r="BT12" s="79">
        <f>0.67+0.89</f>
        <v>1.56</v>
      </c>
      <c r="BU12" s="80"/>
      <c r="BV12" s="81">
        <f>0.75+0.39</f>
        <v>1.1400000000000001</v>
      </c>
      <c r="BW12" s="20">
        <v>1.33</v>
      </c>
      <c r="BX12" s="82"/>
      <c r="BY12" s="20">
        <v>1.52</v>
      </c>
      <c r="BZ12" s="83"/>
      <c r="CA12" s="20">
        <v>1.23</v>
      </c>
      <c r="CB12" s="20">
        <f>0.776+0.414+0.47</f>
        <v>1.66</v>
      </c>
      <c r="CC12" s="37">
        <v>1.31</v>
      </c>
      <c r="CD12" s="37">
        <v>1.55</v>
      </c>
      <c r="CE12" s="84">
        <v>1.3</v>
      </c>
      <c r="CF12" s="37">
        <v>1.43</v>
      </c>
      <c r="CG12" s="37">
        <v>1.94</v>
      </c>
      <c r="CH12" s="84">
        <f>0.74+0.43+0.53</f>
        <v>1.7</v>
      </c>
      <c r="CI12" s="84">
        <v>1.2</v>
      </c>
      <c r="CJ12" s="84">
        <f>1.14+0.26+0.3</f>
        <v>1.7</v>
      </c>
      <c r="CK12" s="37">
        <v>1.38</v>
      </c>
      <c r="CL12" s="37">
        <v>1.74</v>
      </c>
      <c r="CM12" s="88">
        <f>0.377+0.148+0.077+0.26</f>
        <v>0.86199999999999999</v>
      </c>
      <c r="CN12" s="88">
        <v>0.82599999999999996</v>
      </c>
      <c r="CO12" s="89">
        <f>0.455+0.377+0.272+0.67</f>
        <v>1.774</v>
      </c>
      <c r="CP12" s="88"/>
      <c r="CQ12" s="90">
        <f>0.88+0.235+0.374+0.376</f>
        <v>1.8649999999999998</v>
      </c>
      <c r="CR12" s="91">
        <v>1.7130000000000001</v>
      </c>
      <c r="CS12" s="92">
        <f>0.823+0.315+0.202+0.344+0.235</f>
        <v>1.9189999999999996</v>
      </c>
      <c r="CT12" s="93">
        <v>1.45</v>
      </c>
      <c r="CU12" s="92">
        <v>1.39</v>
      </c>
      <c r="CV12" s="94">
        <f>0.91+0.61+0.15</f>
        <v>1.67</v>
      </c>
      <c r="CW12" s="244">
        <v>1.54</v>
      </c>
      <c r="CX12" s="244">
        <f>0.289+0.472+0.672</f>
        <v>1.4329999999999998</v>
      </c>
      <c r="CY12" s="245">
        <f>0.705+0.338+0.355+0.028+0.098</f>
        <v>1.524</v>
      </c>
      <c r="CZ12" s="246">
        <f>1.247+0.589</f>
        <v>1.8360000000000001</v>
      </c>
      <c r="DA12" s="247">
        <v>1.546</v>
      </c>
      <c r="DB12" s="246">
        <v>1.746</v>
      </c>
      <c r="DC12" s="248">
        <f>1.029+0.792</f>
        <v>1.821</v>
      </c>
      <c r="DD12" s="253">
        <f>0.98+0.69</f>
        <v>1.67</v>
      </c>
      <c r="DE12" s="246">
        <f>0.473+1.19</f>
        <v>1.6629999999999998</v>
      </c>
      <c r="DF12" s="253">
        <f>0.667+0.893</f>
        <v>1.56</v>
      </c>
      <c r="DG12" s="253">
        <f>0.87+0.85</f>
        <v>1.72</v>
      </c>
      <c r="DH12" s="246">
        <f>0.855+0.404+0.342</f>
        <v>1.601</v>
      </c>
      <c r="DI12" s="246">
        <v>1</v>
      </c>
      <c r="DJ12" s="95">
        <f>0.84+0.49</f>
        <v>1.33</v>
      </c>
      <c r="DK12" s="96"/>
      <c r="DL12" s="97">
        <f>0.51+0.87</f>
        <v>1.38</v>
      </c>
      <c r="DM12" s="98"/>
      <c r="DN12" s="96">
        <f>0.644+0.68</f>
        <v>1.3240000000000001</v>
      </c>
      <c r="DO12" s="99">
        <v>1.35</v>
      </c>
      <c r="DP12" s="96"/>
      <c r="DQ12" s="96">
        <v>1.696</v>
      </c>
      <c r="DR12" s="96">
        <f>0.526+1.008</f>
        <v>1.534</v>
      </c>
      <c r="DS12" s="96">
        <v>1.5</v>
      </c>
      <c r="DT12" s="41">
        <v>1.806</v>
      </c>
      <c r="DU12" s="41">
        <v>1.381</v>
      </c>
      <c r="DV12" s="41"/>
      <c r="DW12" s="41"/>
      <c r="DX12" s="41"/>
      <c r="DY12" s="41"/>
      <c r="DZ12" s="41"/>
      <c r="EA12" s="41"/>
      <c r="EB12" s="41"/>
      <c r="EC12" s="41">
        <v>1.429</v>
      </c>
      <c r="ED12" s="41">
        <v>1.0329999999999999</v>
      </c>
      <c r="EE12" s="100">
        <v>1.2509999999999999</v>
      </c>
      <c r="EF12" s="101">
        <v>1.603</v>
      </c>
      <c r="EG12" s="100">
        <v>1.6619999999999999</v>
      </c>
      <c r="EH12" s="102">
        <f>0.325+0.141+0.123+0.153+0.129-0.088+0.553</f>
        <v>1.3360000000000001</v>
      </c>
      <c r="EI12" s="100">
        <f>0.478+0.848</f>
        <v>1.3260000000000001</v>
      </c>
      <c r="EJ12" s="103">
        <f>0.72+0.467+0.144</f>
        <v>1.331</v>
      </c>
      <c r="EK12" s="100">
        <v>0.89500000000000002</v>
      </c>
      <c r="EL12" s="104">
        <v>1.369</v>
      </c>
      <c r="EM12" s="100">
        <v>1.0960000000000001</v>
      </c>
      <c r="EN12" s="105">
        <v>1.2749999999999999</v>
      </c>
      <c r="EO12" s="100">
        <f>0.617+0.718</f>
        <v>1.335</v>
      </c>
      <c r="EP12" s="100">
        <v>0.98599999999999999</v>
      </c>
      <c r="EQ12" s="100">
        <v>1.4710000000000001</v>
      </c>
      <c r="ER12" s="100">
        <f>0.587+0.52</f>
        <v>1.107</v>
      </c>
      <c r="ES12" s="106">
        <v>1.1859999999999999</v>
      </c>
      <c r="ET12" s="107">
        <v>1.109</v>
      </c>
      <c r="EU12" s="106"/>
      <c r="EV12" s="108">
        <f>0.561+0.33+0.465</f>
        <v>1.3560000000000001</v>
      </c>
      <c r="EW12" s="106">
        <v>1.4750000000000001</v>
      </c>
      <c r="EX12" s="109">
        <v>1.4550000000000001</v>
      </c>
      <c r="EY12" s="106">
        <v>1.4710000000000001</v>
      </c>
      <c r="EZ12" s="110">
        <v>1.4810000000000001</v>
      </c>
      <c r="FA12" s="106">
        <f>0.29+0.243+0.236+0.222+0.154+0.347</f>
        <v>1.4919999999999998</v>
      </c>
      <c r="FB12" s="107">
        <v>1.3879999999999999</v>
      </c>
      <c r="FC12" s="106">
        <v>1.43</v>
      </c>
      <c r="FD12" s="107"/>
      <c r="FE12" s="106">
        <f>0.245+0.233+0.533+0.462</f>
        <v>1.4730000000000001</v>
      </c>
      <c r="FF12" s="106">
        <v>1.5469999999999999</v>
      </c>
      <c r="FG12" s="111">
        <f>0.441+0.299</f>
        <v>0.74</v>
      </c>
      <c r="FH12" s="112">
        <v>0.72499999999999998</v>
      </c>
      <c r="FI12" s="111">
        <f>0.366+0.38</f>
        <v>0.746</v>
      </c>
      <c r="FJ12" s="113">
        <v>0.84</v>
      </c>
      <c r="FK12" s="111">
        <v>0.85</v>
      </c>
      <c r="FL12" s="114">
        <f>0.38+0.22</f>
        <v>0.6</v>
      </c>
      <c r="FM12" s="111">
        <v>0.84</v>
      </c>
      <c r="FN12" s="115">
        <v>0.77900000000000003</v>
      </c>
      <c r="FO12" s="116">
        <v>0.745</v>
      </c>
      <c r="FP12" s="117">
        <v>0.81699999999999995</v>
      </c>
      <c r="FQ12" s="116">
        <v>0.78400000000000003</v>
      </c>
      <c r="FR12" s="118">
        <f>1.011+1.051</f>
        <v>2.0619999999999998</v>
      </c>
      <c r="FS12" s="118">
        <f>1.281+0.79</f>
        <v>2.0709999999999997</v>
      </c>
      <c r="FT12" s="118">
        <f>1.07+0.577</f>
        <v>1.647</v>
      </c>
      <c r="FU12" s="120">
        <f>1.286+0.774</f>
        <v>2.06</v>
      </c>
      <c r="FV12" s="118"/>
      <c r="FW12" s="121">
        <f>0.488+0.544+0.816</f>
        <v>1.8479999999999999</v>
      </c>
      <c r="FX12" s="118">
        <f>1.287+0.869</f>
        <v>2.1559999999999997</v>
      </c>
      <c r="FY12" s="122">
        <f>1.074+1.013</f>
        <v>2.0869999999999997</v>
      </c>
      <c r="FZ12" s="118">
        <v>2.1739999999999999</v>
      </c>
      <c r="GA12" s="123">
        <v>1.96</v>
      </c>
      <c r="GB12" s="45">
        <f>0.76+1.03</f>
        <v>1.79</v>
      </c>
      <c r="GC12" s="45">
        <f>1.2+0.53</f>
        <v>1.73</v>
      </c>
      <c r="GD12" s="124">
        <v>1.5469999999999999</v>
      </c>
      <c r="GE12" s="125">
        <v>1.32</v>
      </c>
      <c r="GF12" s="126">
        <f>0.838+0.766</f>
        <v>1.6040000000000001</v>
      </c>
      <c r="GG12" s="124">
        <f>0.448+0.456+0.828</f>
        <v>1.732</v>
      </c>
      <c r="GH12" s="127">
        <v>1.978</v>
      </c>
      <c r="GI12" s="124">
        <v>1.65</v>
      </c>
      <c r="GJ12" s="128">
        <v>1.212</v>
      </c>
      <c r="GK12" s="124">
        <v>1.94</v>
      </c>
      <c r="GL12" s="124">
        <v>1.65</v>
      </c>
      <c r="GM12" s="124">
        <v>1.26</v>
      </c>
      <c r="GN12" s="124">
        <v>1.57</v>
      </c>
      <c r="GO12" s="124">
        <v>1.2</v>
      </c>
      <c r="GP12" s="124">
        <v>1.84</v>
      </c>
      <c r="GQ12" s="124">
        <v>1.57</v>
      </c>
      <c r="GR12" s="124">
        <v>1.1399999999999999</v>
      </c>
      <c r="GS12" s="124">
        <v>1.68</v>
      </c>
      <c r="GT12" s="92">
        <f>0.576+0.312+0.217+0.059</f>
        <v>1.1639999999999999</v>
      </c>
      <c r="GU12" s="92">
        <v>1.175</v>
      </c>
      <c r="GV12" s="130">
        <v>0.84599999999999997</v>
      </c>
      <c r="GW12" s="91">
        <v>0.96099999999999997</v>
      </c>
      <c r="GX12" s="94">
        <f>0.616+0.376</f>
        <v>0.99199999999999999</v>
      </c>
      <c r="GY12" s="92">
        <f>0.25+0.561</f>
        <v>0.81100000000000005</v>
      </c>
      <c r="GZ12" s="90">
        <v>1.0409999999999999</v>
      </c>
      <c r="HA12" s="92">
        <f>0.473+0.642</f>
        <v>1.115</v>
      </c>
      <c r="HB12" s="91">
        <v>1.0089999999999999</v>
      </c>
      <c r="HC12" s="93">
        <v>0.81399999999999995</v>
      </c>
      <c r="HD12" s="92">
        <v>1.1850000000000001</v>
      </c>
      <c r="HE12" s="94">
        <f>0.715+0.611</f>
        <v>1.3260000000000001</v>
      </c>
      <c r="HF12" s="92">
        <v>0.83699999999999997</v>
      </c>
      <c r="HG12" s="18"/>
      <c r="HH12" s="18"/>
    </row>
    <row r="13" spans="1:216" customFormat="1" x14ac:dyDescent="0.25">
      <c r="A13" t="s">
        <v>17</v>
      </c>
      <c r="B13" s="132"/>
      <c r="C13" s="132">
        <f t="shared" ref="C13:V13" si="27">C10/C7</f>
        <v>1.5073221757322177</v>
      </c>
      <c r="D13" s="132">
        <f t="shared" si="27"/>
        <v>1.5023255813953491</v>
      </c>
      <c r="E13" s="132">
        <f t="shared" si="27"/>
        <v>1.5128205128205126</v>
      </c>
      <c r="F13" s="132">
        <f t="shared" si="27"/>
        <v>1.124229979466119</v>
      </c>
      <c r="G13" s="132">
        <f t="shared" si="27"/>
        <v>1.5193704600484261</v>
      </c>
      <c r="H13" s="132"/>
      <c r="I13" s="132">
        <f t="shared" si="27"/>
        <v>1.6795646916565905</v>
      </c>
      <c r="J13" s="132">
        <f t="shared" si="27"/>
        <v>1.6893453145057769</v>
      </c>
      <c r="K13" s="132">
        <f t="shared" si="27"/>
        <v>1.6291079812206575</v>
      </c>
      <c r="L13" s="132"/>
      <c r="M13" s="132">
        <f t="shared" si="27"/>
        <v>1.3034410844629822</v>
      </c>
      <c r="N13" s="132">
        <f t="shared" si="27"/>
        <v>1.7351485148514851</v>
      </c>
      <c r="O13" s="132">
        <f t="shared" si="27"/>
        <v>1.6810673443456161</v>
      </c>
      <c r="P13" s="132">
        <f t="shared" si="27"/>
        <v>1.6752246469833121</v>
      </c>
      <c r="Q13" s="132"/>
      <c r="R13" s="133">
        <f t="shared" si="27"/>
        <v>1.09375</v>
      </c>
      <c r="S13" s="133">
        <f t="shared" si="27"/>
        <v>1.4733333333333334</v>
      </c>
      <c r="T13" s="133"/>
      <c r="U13" s="133">
        <f t="shared" si="27"/>
        <v>1.3392857142857142</v>
      </c>
      <c r="V13" s="133">
        <f t="shared" si="27"/>
        <v>1.5017301038062285</v>
      </c>
      <c r="W13" s="133"/>
      <c r="X13" s="133">
        <f t="shared" ref="X13:BC13" si="28">X10/X7</f>
        <v>1.4485981308411215</v>
      </c>
      <c r="Y13" s="133"/>
      <c r="Z13" s="133">
        <f t="shared" si="28"/>
        <v>1.3465346534653464</v>
      </c>
      <c r="AA13" s="133">
        <f t="shared" si="28"/>
        <v>1.2820512820512819</v>
      </c>
      <c r="AB13" s="133">
        <f t="shared" si="28"/>
        <v>1.6000000000000003</v>
      </c>
      <c r="AC13" s="133"/>
      <c r="AD13" s="133">
        <f t="shared" ref="AD13" si="29">AD10/AD7</f>
        <v>1.7739130434782611</v>
      </c>
      <c r="AE13" s="133"/>
      <c r="AF13" s="133">
        <f t="shared" ref="AF13" si="30">AF10/AF7</f>
        <v>1.2561643835616438</v>
      </c>
      <c r="AG13" s="134">
        <f t="shared" si="28"/>
        <v>2.7509933774834439</v>
      </c>
      <c r="AH13" s="134">
        <f t="shared" si="28"/>
        <v>2.6973684210526319</v>
      </c>
      <c r="AI13" s="134">
        <f t="shared" si="28"/>
        <v>3.4829443447037698</v>
      </c>
      <c r="AJ13" s="134">
        <f t="shared" si="28"/>
        <v>2.8169717138103163</v>
      </c>
      <c r="AK13" s="134">
        <f t="shared" si="28"/>
        <v>2.6803977272727275</v>
      </c>
      <c r="AL13" s="134">
        <f t="shared" si="28"/>
        <v>3.0456553755522826</v>
      </c>
      <c r="AM13" s="134">
        <f t="shared" si="28"/>
        <v>3.1081481481481479</v>
      </c>
      <c r="AN13" s="134">
        <f t="shared" si="28"/>
        <v>2.838888888888889</v>
      </c>
      <c r="AO13" s="135">
        <f t="shared" si="28"/>
        <v>1.0727272727272725</v>
      </c>
      <c r="AP13" s="135">
        <f t="shared" si="28"/>
        <v>1.2507936507936506</v>
      </c>
      <c r="AQ13" s="135">
        <f t="shared" si="28"/>
        <v>1.1721854304635762</v>
      </c>
      <c r="AR13" s="135">
        <f t="shared" si="28"/>
        <v>1.4447552447552447</v>
      </c>
      <c r="AS13" s="135">
        <f t="shared" si="28"/>
        <v>1.1004016064257027</v>
      </c>
      <c r="AT13" s="135">
        <f t="shared" si="28"/>
        <v>1.3977746870653684</v>
      </c>
      <c r="AU13" s="135">
        <f t="shared" si="28"/>
        <v>1.3897810218978099</v>
      </c>
      <c r="AV13" s="135">
        <f t="shared" si="28"/>
        <v>1.2812089356110381</v>
      </c>
      <c r="AW13" s="135">
        <f t="shared" si="28"/>
        <v>1.3044822256568778</v>
      </c>
      <c r="AX13" s="136">
        <v>0.99651162790697678</v>
      </c>
      <c r="AY13" s="136">
        <f t="shared" si="28"/>
        <v>1.7466666666666666</v>
      </c>
      <c r="AZ13" s="136">
        <f t="shared" si="28"/>
        <v>1.3388338833883389</v>
      </c>
      <c r="BA13" s="136">
        <f t="shared" si="28"/>
        <v>1.5913348946135832</v>
      </c>
      <c r="BB13" s="136"/>
      <c r="BC13" s="136">
        <f t="shared" si="28"/>
        <v>1.2245989304812834</v>
      </c>
      <c r="BD13" s="136"/>
      <c r="BE13" s="136">
        <f t="shared" ref="BE13:EK13" si="31">BE10/BE7</f>
        <v>1.3862928348909658</v>
      </c>
      <c r="BF13" s="136">
        <f t="shared" si="31"/>
        <v>2.0225563909774436</v>
      </c>
      <c r="BG13" s="137">
        <f t="shared" si="31"/>
        <v>1.4188034188034189</v>
      </c>
      <c r="BH13" s="137">
        <f t="shared" si="31"/>
        <v>1.5742574257425743</v>
      </c>
      <c r="BI13" s="137"/>
      <c r="BJ13" s="137">
        <f t="shared" si="31"/>
        <v>1.5670419651995906</v>
      </c>
      <c r="BK13" s="137">
        <f t="shared" si="31"/>
        <v>1.3124999999999998</v>
      </c>
      <c r="BL13" s="137">
        <f t="shared" si="31"/>
        <v>1.5193644488579943</v>
      </c>
      <c r="BM13" s="137"/>
      <c r="BN13" s="137">
        <f t="shared" si="31"/>
        <v>1.9492671927846672</v>
      </c>
      <c r="BO13" s="137">
        <f t="shared" si="31"/>
        <v>1.8519701810436635</v>
      </c>
      <c r="BP13" s="137">
        <f t="shared" si="31"/>
        <v>1.7661538461538462</v>
      </c>
      <c r="BQ13" s="137">
        <f t="shared" si="31"/>
        <v>1.8864292589027913</v>
      </c>
      <c r="BR13" s="137">
        <f t="shared" si="31"/>
        <v>1.6530612244897958</v>
      </c>
      <c r="BS13" s="81">
        <f t="shared" si="31"/>
        <v>1.5340264650283557</v>
      </c>
      <c r="BT13" s="81">
        <f t="shared" si="31"/>
        <v>1.5571955719557196</v>
      </c>
      <c r="BU13" s="81"/>
      <c r="BV13" s="81">
        <f t="shared" si="31"/>
        <v>1.5432098765432101</v>
      </c>
      <c r="BW13" s="81">
        <f t="shared" si="31"/>
        <v>1.6292134831460676</v>
      </c>
      <c r="BX13" s="81"/>
      <c r="BY13" s="81">
        <f t="shared" si="31"/>
        <v>2.116883116883117</v>
      </c>
      <c r="BZ13" s="81"/>
      <c r="CA13" s="81">
        <f t="shared" si="31"/>
        <v>1.7763157894736843</v>
      </c>
      <c r="CB13" s="81">
        <f t="shared" si="31"/>
        <v>1.6541284403669723</v>
      </c>
      <c r="CC13" s="139">
        <f t="shared" si="31"/>
        <v>1.8481012658227847</v>
      </c>
      <c r="CD13" s="139">
        <f t="shared" si="31"/>
        <v>1.9540229885057472</v>
      </c>
      <c r="CE13" s="139">
        <f t="shared" si="31"/>
        <v>1.5934065934065933</v>
      </c>
      <c r="CF13" s="139">
        <f t="shared" si="31"/>
        <v>1.3620689655172413</v>
      </c>
      <c r="CG13" s="139">
        <f t="shared" si="31"/>
        <v>2.0693069306930694</v>
      </c>
      <c r="CH13" s="139">
        <f t="shared" si="31"/>
        <v>1.8686868686868685</v>
      </c>
      <c r="CI13" s="139">
        <f t="shared" si="31"/>
        <v>1.2454545454545451</v>
      </c>
      <c r="CJ13" s="139">
        <f t="shared" si="31"/>
        <v>1.7961165048543688</v>
      </c>
      <c r="CK13" s="139">
        <f t="shared" si="31"/>
        <v>1.52</v>
      </c>
      <c r="CL13" s="139">
        <f t="shared" si="31"/>
        <v>1.89</v>
      </c>
      <c r="CM13" s="87">
        <f t="shared" si="31"/>
        <v>1.1370786516853932</v>
      </c>
      <c r="CN13" s="87">
        <f t="shared" si="31"/>
        <v>1.1103448275862069</v>
      </c>
      <c r="CO13" s="87">
        <f t="shared" si="31"/>
        <v>1.7538742023701002</v>
      </c>
      <c r="CP13" s="87"/>
      <c r="CQ13" s="87">
        <f t="shared" si="31"/>
        <v>2.068788501026694</v>
      </c>
      <c r="CR13" s="87">
        <f t="shared" si="31"/>
        <v>2.0053648068669525</v>
      </c>
      <c r="CS13" s="87">
        <f t="shared" si="31"/>
        <v>2.2383025027203476</v>
      </c>
      <c r="CT13" s="87">
        <f t="shared" si="31"/>
        <v>1.8390804597701147</v>
      </c>
      <c r="CU13" s="87">
        <f t="shared" si="31"/>
        <v>1.6813186813186811</v>
      </c>
      <c r="CV13" s="87">
        <f t="shared" si="31"/>
        <v>1.8282828282828283</v>
      </c>
      <c r="CW13" s="250">
        <f t="shared" si="31"/>
        <v>1.8617977528089888</v>
      </c>
      <c r="CX13" s="250">
        <f t="shared" si="31"/>
        <v>2.0797297297297295</v>
      </c>
      <c r="CY13" s="250">
        <f t="shared" si="31"/>
        <v>1.5829338446788113</v>
      </c>
      <c r="CZ13" s="250">
        <f t="shared" si="31"/>
        <v>1.9602385685884691</v>
      </c>
      <c r="DA13" s="250">
        <f t="shared" si="31"/>
        <v>1.9545983701979046</v>
      </c>
      <c r="DB13" s="250">
        <f t="shared" si="31"/>
        <v>1.9423868312757202</v>
      </c>
      <c r="DC13" s="250">
        <f t="shared" si="31"/>
        <v>2.1323851203501092</v>
      </c>
      <c r="DD13" s="250">
        <f t="shared" si="31"/>
        <v>2.0454545454545454</v>
      </c>
      <c r="DE13" s="250">
        <f t="shared" si="31"/>
        <v>1.9921348314606739</v>
      </c>
      <c r="DF13" s="250">
        <f t="shared" si="31"/>
        <v>1.9418604651162792</v>
      </c>
      <c r="DG13" s="250">
        <f t="shared" si="31"/>
        <v>2.1904761904761902</v>
      </c>
      <c r="DH13" s="250">
        <f t="shared" si="31"/>
        <v>2.1387499999999999</v>
      </c>
      <c r="DI13" s="250">
        <f t="shared" si="31"/>
        <v>1.3333333333333335</v>
      </c>
      <c r="DJ13" s="140">
        <f t="shared" si="31"/>
        <v>1.5531914893617023</v>
      </c>
      <c r="DK13" s="140"/>
      <c r="DL13" s="140">
        <f t="shared" si="31"/>
        <v>1.6</v>
      </c>
      <c r="DM13" s="140"/>
      <c r="DN13" s="140">
        <f t="shared" si="31"/>
        <v>1.5337552742616036</v>
      </c>
      <c r="DO13" s="140">
        <f t="shared" si="31"/>
        <v>1.4653465346534653</v>
      </c>
      <c r="DP13" s="140"/>
      <c r="DQ13" s="140">
        <f t="shared" si="31"/>
        <v>1.5281456953642383</v>
      </c>
      <c r="DR13" s="140">
        <f t="shared" si="31"/>
        <v>1.6333656644034917</v>
      </c>
      <c r="DS13" s="140">
        <f t="shared" si="31"/>
        <v>1.3945578231292519</v>
      </c>
      <c r="DT13" s="137">
        <f t="shared" si="31"/>
        <v>2.6056910569105693</v>
      </c>
      <c r="DU13" s="137">
        <f t="shared" si="31"/>
        <v>1.7910271546635181</v>
      </c>
      <c r="DV13" s="137"/>
      <c r="DW13" s="137"/>
      <c r="DX13" s="137"/>
      <c r="DY13" s="137"/>
      <c r="DZ13" s="137"/>
      <c r="EA13" s="137"/>
      <c r="EB13" s="137"/>
      <c r="EC13" s="137">
        <f t="shared" si="31"/>
        <v>2.1043360433604335</v>
      </c>
      <c r="ED13" s="137">
        <f t="shared" si="31"/>
        <v>1.5404312668463611</v>
      </c>
      <c r="EE13" s="141">
        <f t="shared" si="31"/>
        <v>1.311191992720655</v>
      </c>
      <c r="EF13" s="141">
        <f t="shared" si="31"/>
        <v>1.5643044619422573</v>
      </c>
      <c r="EG13" s="141">
        <f t="shared" si="31"/>
        <v>1.8973305954825461</v>
      </c>
      <c r="EH13" s="141">
        <f t="shared" si="31"/>
        <v>1.31940818102698</v>
      </c>
      <c r="EI13" s="141">
        <f t="shared" si="31"/>
        <v>1.6591676040494938</v>
      </c>
      <c r="EJ13" s="141">
        <f t="shared" si="31"/>
        <v>1.390449438202247</v>
      </c>
      <c r="EK13" s="141">
        <f t="shared" si="31"/>
        <v>1.3629242819843341</v>
      </c>
      <c r="EL13" s="141">
        <f t="shared" ref="EL13:HF13" si="32">EL10/EL7</f>
        <v>1.5124378109452739</v>
      </c>
      <c r="EM13" s="141">
        <f t="shared" si="32"/>
        <v>1.2690355329949239</v>
      </c>
      <c r="EN13" s="141">
        <f t="shared" si="32"/>
        <v>1.5177993527508091</v>
      </c>
      <c r="EO13" s="141">
        <f t="shared" si="32"/>
        <v>1.5747368421052632</v>
      </c>
      <c r="EP13" s="141">
        <f t="shared" si="32"/>
        <v>1.2524807056229326</v>
      </c>
      <c r="EQ13" s="141">
        <f t="shared" si="32"/>
        <v>1.6762002042900919</v>
      </c>
      <c r="ER13" s="141">
        <f t="shared" si="32"/>
        <v>1.3384932920536636</v>
      </c>
      <c r="ES13" s="142">
        <f t="shared" si="32"/>
        <v>1.3717549325025959</v>
      </c>
      <c r="ET13" s="142">
        <f t="shared" si="32"/>
        <v>1.3373231773667029</v>
      </c>
      <c r="EU13" s="142"/>
      <c r="EV13" s="142">
        <f t="shared" si="32"/>
        <v>1.7262044653349002</v>
      </c>
      <c r="EW13" s="142">
        <f t="shared" si="32"/>
        <v>1.7434497816593886</v>
      </c>
      <c r="EX13" s="142">
        <f t="shared" si="32"/>
        <v>1.9524999999999999</v>
      </c>
      <c r="EY13" s="142">
        <f t="shared" si="32"/>
        <v>1.9739130434782608</v>
      </c>
      <c r="EZ13" s="142">
        <f t="shared" si="32"/>
        <v>1.5183788878416591</v>
      </c>
      <c r="FA13" s="142">
        <f t="shared" si="32"/>
        <v>1.5340909090909087</v>
      </c>
      <c r="FB13" s="142">
        <f t="shared" si="32"/>
        <v>1.570828961175236</v>
      </c>
      <c r="FC13" s="142">
        <f t="shared" si="32"/>
        <v>1.6923076923076923</v>
      </c>
      <c r="FD13" s="142"/>
      <c r="FE13" s="142">
        <f t="shared" si="32"/>
        <v>1.8786808009422853</v>
      </c>
      <c r="FF13" s="142">
        <f t="shared" si="32"/>
        <v>1.875699888017917</v>
      </c>
      <c r="FG13" s="143">
        <f t="shared" si="32"/>
        <v>1.1686746987951808</v>
      </c>
      <c r="FH13" s="143">
        <f t="shared" si="32"/>
        <v>1.0058823529411764</v>
      </c>
      <c r="FI13" s="143">
        <f t="shared" si="32"/>
        <v>1.1592105263157895</v>
      </c>
      <c r="FJ13" s="143">
        <f t="shared" si="32"/>
        <v>1.2933333333333332</v>
      </c>
      <c r="FK13" s="143">
        <f t="shared" si="32"/>
        <v>1.2933333333333332</v>
      </c>
      <c r="FL13" s="143">
        <f t="shared" si="32"/>
        <v>1.0398860398860399</v>
      </c>
      <c r="FM13" s="143">
        <f t="shared" si="32"/>
        <v>1.3333333333333333</v>
      </c>
      <c r="FN13" s="143">
        <f t="shared" si="32"/>
        <v>1.2631578947368423</v>
      </c>
      <c r="FO13" s="143">
        <f t="shared" si="32"/>
        <v>1.085185185185185</v>
      </c>
      <c r="FP13" s="143">
        <f t="shared" si="32"/>
        <v>1.1929824561403508</v>
      </c>
      <c r="FQ13" s="143">
        <f t="shared" si="32"/>
        <v>1.1660280970625798</v>
      </c>
      <c r="FR13" s="144">
        <f>FR10/FR7</f>
        <v>1.8842553191489362</v>
      </c>
      <c r="FS13" s="144">
        <f>FS10/FS7</f>
        <v>1.7184391736801834</v>
      </c>
      <c r="FT13" s="144">
        <f>FT10/FT7</f>
        <v>1.5464716006884682</v>
      </c>
      <c r="FU13" s="144">
        <f>FU10/FU7</f>
        <v>1.9644128113879002</v>
      </c>
      <c r="FV13" s="144"/>
      <c r="FW13" s="144">
        <f>FW10/FW7</f>
        <v>1.7606761565836295</v>
      </c>
      <c r="FX13" s="144">
        <f>FX10/FX7</f>
        <v>2.0209973753280837</v>
      </c>
      <c r="FY13" s="144">
        <f>FY10/FY7</f>
        <v>1.6899399399399397</v>
      </c>
      <c r="FZ13" s="144">
        <f>FZ10/FZ7</f>
        <v>1.8083785880527541</v>
      </c>
      <c r="GA13" s="144">
        <f>GA10/GA7</f>
        <v>1.7745762711864406</v>
      </c>
      <c r="GB13" s="144">
        <f t="shared" ref="GB13:GC13" si="33">GB10/GB7</f>
        <v>1.552</v>
      </c>
      <c r="GC13" s="144">
        <f t="shared" si="33"/>
        <v>1.7090909090909088</v>
      </c>
      <c r="GD13" s="145">
        <f t="shared" si="32"/>
        <v>2.2791666666666668</v>
      </c>
      <c r="GE13" s="145">
        <f t="shared" si="32"/>
        <v>1.6179775280898876</v>
      </c>
      <c r="GF13" s="145">
        <f t="shared" si="32"/>
        <v>2.1761723700887199</v>
      </c>
      <c r="GG13" s="145">
        <f t="shared" si="32"/>
        <v>2.2816728167281672</v>
      </c>
      <c r="GH13" s="145">
        <f t="shared" si="32"/>
        <v>2.72</v>
      </c>
      <c r="GI13" s="145">
        <f t="shared" si="32"/>
        <v>2.2661498708010335</v>
      </c>
      <c r="GJ13" s="145">
        <f t="shared" si="32"/>
        <v>1.5421965317919075</v>
      </c>
      <c r="GK13" s="145">
        <f t="shared" si="32"/>
        <v>2.6075949367088609</v>
      </c>
      <c r="GL13" s="145">
        <f t="shared" si="32"/>
        <v>2.3783783783783785</v>
      </c>
      <c r="GM13" s="145">
        <f t="shared" si="32"/>
        <v>1.7249999999999999</v>
      </c>
      <c r="GN13" s="145">
        <f t="shared" si="32"/>
        <v>2.2533333333333334</v>
      </c>
      <c r="GO13" s="145">
        <f t="shared" si="32"/>
        <v>1.8450704225352115</v>
      </c>
      <c r="GP13" s="145">
        <f t="shared" si="32"/>
        <v>2.481012658227848</v>
      </c>
      <c r="GQ13" s="145">
        <f t="shared" si="32"/>
        <v>2.1139240506329116</v>
      </c>
      <c r="GR13" s="145">
        <f t="shared" si="32"/>
        <v>1.7260273972602738</v>
      </c>
      <c r="GS13" s="145">
        <f t="shared" si="32"/>
        <v>2.4722222222222223</v>
      </c>
      <c r="GT13" s="87">
        <f t="shared" si="32"/>
        <v>1.630674846625767</v>
      </c>
      <c r="GU13" s="87">
        <f t="shared" si="32"/>
        <v>1.6795511221945136</v>
      </c>
      <c r="GV13" s="87">
        <f t="shared" si="32"/>
        <v>1.2616940581542351</v>
      </c>
      <c r="GW13" s="87">
        <f t="shared" si="32"/>
        <v>1.2920046349942063</v>
      </c>
      <c r="GX13" s="87">
        <f t="shared" si="32"/>
        <v>1.317100792751982</v>
      </c>
      <c r="GY13" s="87">
        <f t="shared" si="32"/>
        <v>1.0830489192263937</v>
      </c>
      <c r="GZ13" s="87">
        <f t="shared" si="32"/>
        <v>1.3367003367003365</v>
      </c>
      <c r="HA13" s="87">
        <f t="shared" si="32"/>
        <v>1.3528784648187633</v>
      </c>
      <c r="HB13" s="87">
        <f t="shared" si="32"/>
        <v>1.2642934196332254</v>
      </c>
      <c r="HC13" s="87">
        <f t="shared" si="32"/>
        <v>1.2372881355932202</v>
      </c>
      <c r="HD13" s="87">
        <f t="shared" si="32"/>
        <v>1.580568720379147</v>
      </c>
      <c r="HE13" s="87">
        <f t="shared" si="32"/>
        <v>1.5390946502057614</v>
      </c>
      <c r="HF13" s="87">
        <f t="shared" si="32"/>
        <v>1.1343115124153498</v>
      </c>
      <c r="HG13" s="146"/>
      <c r="HH13" s="146"/>
    </row>
    <row r="14" spans="1:216" customFormat="1" x14ac:dyDescent="0.25">
      <c r="A14" t="s">
        <v>40</v>
      </c>
      <c r="B14" s="132">
        <f>B9/B7</f>
        <v>0.7726737338044759</v>
      </c>
      <c r="C14" s="132">
        <f t="shared" ref="C14:BW14" si="34">C9/C7</f>
        <v>0.73430962343096229</v>
      </c>
      <c r="D14" s="132">
        <f t="shared" si="34"/>
        <v>0.76558139534883718</v>
      </c>
      <c r="E14" s="132">
        <f t="shared" si="34"/>
        <v>0.7649572649572649</v>
      </c>
      <c r="F14" s="132">
        <f t="shared" si="34"/>
        <v>0.64271047227926081</v>
      </c>
      <c r="G14" s="132">
        <f t="shared" si="34"/>
        <v>0.67070217917675556</v>
      </c>
      <c r="H14" s="132">
        <f t="shared" si="34"/>
        <v>0.70341207349081369</v>
      </c>
      <c r="I14" s="132">
        <f t="shared" si="34"/>
        <v>0.70495767835550183</v>
      </c>
      <c r="J14" s="132">
        <f t="shared" si="34"/>
        <v>0.76636713735558404</v>
      </c>
      <c r="K14" s="132">
        <f t="shared" si="34"/>
        <v>0.81032863849765258</v>
      </c>
      <c r="L14" s="132">
        <f t="shared" si="34"/>
        <v>0.71801801801801801</v>
      </c>
      <c r="M14" s="132">
        <f t="shared" si="34"/>
        <v>0.70385818561001046</v>
      </c>
      <c r="N14" s="132">
        <f t="shared" si="34"/>
        <v>0.71905940594059392</v>
      </c>
      <c r="O14" s="132">
        <f t="shared" si="34"/>
        <v>0.75222363405336712</v>
      </c>
      <c r="P14" s="132">
        <f t="shared" si="34"/>
        <v>0.67265725288831835</v>
      </c>
      <c r="Q14" s="132">
        <f t="shared" si="34"/>
        <v>0.74084507042253533</v>
      </c>
      <c r="R14" s="133">
        <f t="shared" si="34"/>
        <v>0.72916666666666663</v>
      </c>
      <c r="S14" s="133">
        <f t="shared" si="34"/>
        <v>0.71111111111111114</v>
      </c>
      <c r="T14" s="133">
        <f t="shared" si="34"/>
        <v>0.75268817204301064</v>
      </c>
      <c r="U14" s="133">
        <f t="shared" si="34"/>
        <v>0.63492063492063489</v>
      </c>
      <c r="V14" s="133">
        <f t="shared" si="34"/>
        <v>0.72664359861591699</v>
      </c>
      <c r="W14" s="133">
        <f t="shared" si="34"/>
        <v>0.72047670639219941</v>
      </c>
      <c r="X14" s="133">
        <f t="shared" si="34"/>
        <v>0.74766355140186924</v>
      </c>
      <c r="Y14" s="133">
        <f t="shared" si="34"/>
        <v>0.72826086956521741</v>
      </c>
      <c r="Z14" s="133">
        <f t="shared" si="34"/>
        <v>0.62376237623762376</v>
      </c>
      <c r="AA14" s="133">
        <f t="shared" si="34"/>
        <v>0.69230769230769229</v>
      </c>
      <c r="AB14" s="133">
        <f t="shared" si="34"/>
        <v>0.70666666666666667</v>
      </c>
      <c r="AC14" s="133">
        <f t="shared" si="34"/>
        <v>0.79037800687285231</v>
      </c>
      <c r="AD14" s="133">
        <f t="shared" si="34"/>
        <v>0.79710144927536242</v>
      </c>
      <c r="AE14" s="133">
        <f t="shared" si="34"/>
        <v>0.71335927367055774</v>
      </c>
      <c r="AF14" s="133">
        <f t="shared" si="34"/>
        <v>0.66027397260273968</v>
      </c>
      <c r="AG14" s="134">
        <f t="shared" si="34"/>
        <v>0.75894039735099328</v>
      </c>
      <c r="AH14" s="134">
        <f t="shared" si="34"/>
        <v>0.69736842105263164</v>
      </c>
      <c r="AI14" s="134">
        <f t="shared" si="34"/>
        <v>0.79533213644524225</v>
      </c>
      <c r="AJ14" s="134">
        <f t="shared" si="34"/>
        <v>0.75707154742096516</v>
      </c>
      <c r="AK14" s="134">
        <f t="shared" si="34"/>
        <v>0.78409090909090917</v>
      </c>
      <c r="AL14" s="134">
        <f t="shared" si="34"/>
        <v>0.73490427098674516</v>
      </c>
      <c r="AM14" s="134">
        <f t="shared" si="34"/>
        <v>0.75851851851851848</v>
      </c>
      <c r="AN14" s="134">
        <f t="shared" si="34"/>
        <v>0.75694444444444453</v>
      </c>
      <c r="AO14" s="135">
        <f t="shared" si="34"/>
        <v>0.5</v>
      </c>
      <c r="AP14" s="135">
        <f t="shared" si="34"/>
        <v>0.60317460317460314</v>
      </c>
      <c r="AQ14" s="135">
        <f t="shared" si="34"/>
        <v>0.6</v>
      </c>
      <c r="AR14" s="135">
        <f t="shared" si="34"/>
        <v>0.74545454545454548</v>
      </c>
      <c r="AS14" s="135">
        <f t="shared" si="34"/>
        <v>0.57429718875502012</v>
      </c>
      <c r="AT14" s="135">
        <f t="shared" si="34"/>
        <v>0.69123783031988872</v>
      </c>
      <c r="AU14" s="135">
        <f t="shared" si="34"/>
        <v>0.65839416058394162</v>
      </c>
      <c r="AV14" s="135">
        <f t="shared" si="34"/>
        <v>0.6622864651773982</v>
      </c>
      <c r="AW14" s="135">
        <f t="shared" si="34"/>
        <v>0.67542503863987635</v>
      </c>
      <c r="AX14" s="136">
        <v>0.82790697674418601</v>
      </c>
      <c r="AY14" s="136">
        <f t="shared" si="34"/>
        <v>0.68444444444444441</v>
      </c>
      <c r="AZ14" s="136">
        <f t="shared" si="34"/>
        <v>0.70517051705170519</v>
      </c>
      <c r="BA14" s="136">
        <f t="shared" si="34"/>
        <v>0.77985948477751765</v>
      </c>
      <c r="BB14" s="136">
        <f t="shared" si="34"/>
        <v>0.77250726040658291</v>
      </c>
      <c r="BC14" s="136">
        <f t="shared" si="34"/>
        <v>0.8010695187165775</v>
      </c>
      <c r="BD14" s="136">
        <f t="shared" si="34"/>
        <v>0.83333333333333337</v>
      </c>
      <c r="BE14" s="136">
        <f t="shared" si="34"/>
        <v>0.80477673935617866</v>
      </c>
      <c r="BF14" s="136">
        <f t="shared" si="34"/>
        <v>0.9860365198711063</v>
      </c>
      <c r="BG14" s="137">
        <f t="shared" si="34"/>
        <v>0.60341880341880338</v>
      </c>
      <c r="BH14" s="137">
        <f t="shared" si="34"/>
        <v>0.7722772277227723</v>
      </c>
      <c r="BI14" s="137">
        <f t="shared" si="34"/>
        <v>0.75739130434782609</v>
      </c>
      <c r="BJ14" s="137">
        <f t="shared" si="34"/>
        <v>0.68884339815762541</v>
      </c>
      <c r="BK14" s="137">
        <f t="shared" si="34"/>
        <v>0.63508064516129037</v>
      </c>
      <c r="BL14" s="137">
        <f t="shared" si="34"/>
        <v>0.75571002979145985</v>
      </c>
      <c r="BM14" s="137">
        <f t="shared" si="34"/>
        <v>0.83946830265848671</v>
      </c>
      <c r="BN14" s="137">
        <f t="shared" si="34"/>
        <v>0.69673055242390081</v>
      </c>
      <c r="BO14" s="137">
        <f t="shared" si="34"/>
        <v>0.63791267305644306</v>
      </c>
      <c r="BP14" s="137">
        <f t="shared" si="34"/>
        <v>0.71692307692307689</v>
      </c>
      <c r="BQ14" s="137">
        <f t="shared" si="34"/>
        <v>0.70163618864292587</v>
      </c>
      <c r="BR14" s="137">
        <f t="shared" si="34"/>
        <v>0.72448979591836737</v>
      </c>
      <c r="BS14" s="81">
        <f t="shared" si="34"/>
        <v>0.60869565217391319</v>
      </c>
      <c r="BT14" s="81">
        <f t="shared" si="34"/>
        <v>0.66420664206642055</v>
      </c>
      <c r="BU14" s="81">
        <f t="shared" si="34"/>
        <v>0.81052631578947376</v>
      </c>
      <c r="BV14" s="81">
        <f t="shared" si="34"/>
        <v>0.67901234567901236</v>
      </c>
      <c r="BW14" s="81">
        <f t="shared" si="34"/>
        <v>0.61797752808988771</v>
      </c>
      <c r="BX14" s="81">
        <f t="shared" ref="BX14:FB14" si="35">BX9/BX7</f>
        <v>0.67441860465116277</v>
      </c>
      <c r="BY14" s="81">
        <f t="shared" si="35"/>
        <v>0.7142857142857143</v>
      </c>
      <c r="BZ14" s="81">
        <f t="shared" si="35"/>
        <v>0.6811594202898551</v>
      </c>
      <c r="CA14" s="81">
        <f t="shared" si="35"/>
        <v>0.68421052631578949</v>
      </c>
      <c r="CB14" s="81">
        <f t="shared" si="35"/>
        <v>0.76146788990825676</v>
      </c>
      <c r="CC14" s="139">
        <f t="shared" si="35"/>
        <v>0.73417721518987333</v>
      </c>
      <c r="CD14" s="139">
        <f t="shared" si="35"/>
        <v>0.85057471264367812</v>
      </c>
      <c r="CE14" s="139">
        <f t="shared" si="35"/>
        <v>0.70329670329670324</v>
      </c>
      <c r="CF14" s="139">
        <f t="shared" si="35"/>
        <v>0.68965517241379315</v>
      </c>
      <c r="CG14" s="139">
        <f t="shared" si="35"/>
        <v>0.7722772277227723</v>
      </c>
      <c r="CH14" s="139">
        <f t="shared" si="35"/>
        <v>0.75757575757575757</v>
      </c>
      <c r="CI14" s="139">
        <f t="shared" si="35"/>
        <v>0.72727272727272729</v>
      </c>
      <c r="CJ14" s="139">
        <f t="shared" si="35"/>
        <v>0.74757281553398058</v>
      </c>
      <c r="CK14" s="139">
        <f t="shared" si="35"/>
        <v>0.72</v>
      </c>
      <c r="CL14" s="139">
        <f t="shared" si="35"/>
        <v>0.77</v>
      </c>
      <c r="CM14" s="87">
        <f t="shared" si="35"/>
        <v>0.76404494382022481</v>
      </c>
      <c r="CN14" s="87">
        <f t="shared" si="35"/>
        <v>0.77011494252873569</v>
      </c>
      <c r="CO14" s="87">
        <f t="shared" si="35"/>
        <v>0.72926162260711036</v>
      </c>
      <c r="CP14" s="87">
        <f t="shared" si="35"/>
        <v>0.8421052631578948</v>
      </c>
      <c r="CQ14" s="87">
        <f t="shared" si="35"/>
        <v>0.77104722792607805</v>
      </c>
      <c r="CR14" s="87">
        <f t="shared" si="35"/>
        <v>0.76716738197424883</v>
      </c>
      <c r="CS14" s="87">
        <f t="shared" si="35"/>
        <v>0.77040261153427636</v>
      </c>
      <c r="CT14" s="87">
        <f t="shared" si="35"/>
        <v>0.85057471264367812</v>
      </c>
      <c r="CU14" s="87">
        <f t="shared" si="35"/>
        <v>0.81318681318681318</v>
      </c>
      <c r="CV14" s="87">
        <f t="shared" si="35"/>
        <v>0.71717171717171713</v>
      </c>
      <c r="CW14" s="250">
        <f t="shared" si="35"/>
        <v>0.7191011235955056</v>
      </c>
      <c r="CX14" s="250">
        <f t="shared" si="35"/>
        <v>0.7567567567567568</v>
      </c>
      <c r="CY14" s="250">
        <f t="shared" si="35"/>
        <v>0.69319271332694155</v>
      </c>
      <c r="CZ14" s="250">
        <f t="shared" si="35"/>
        <v>0.7375745526838966</v>
      </c>
      <c r="DA14" s="250">
        <f t="shared" si="35"/>
        <v>0.71711292200232835</v>
      </c>
      <c r="DB14" s="250">
        <f t="shared" si="35"/>
        <v>0.7788065843621399</v>
      </c>
      <c r="DC14" s="250">
        <f t="shared" si="35"/>
        <v>0.74617067833698036</v>
      </c>
      <c r="DD14" s="250">
        <f t="shared" si="35"/>
        <v>0.76136363636363635</v>
      </c>
      <c r="DE14" s="250">
        <f t="shared" si="35"/>
        <v>0.6966292134831461</v>
      </c>
      <c r="DF14" s="250">
        <f t="shared" si="35"/>
        <v>0.69767441860465118</v>
      </c>
      <c r="DG14" s="250">
        <f t="shared" si="35"/>
        <v>0.80952380952380965</v>
      </c>
      <c r="DH14" s="250">
        <f t="shared" si="35"/>
        <v>0.82499999999999996</v>
      </c>
      <c r="DI14" s="250">
        <f t="shared" si="35"/>
        <v>0.78571428571428581</v>
      </c>
      <c r="DJ14" s="140">
        <f t="shared" si="35"/>
        <v>0.62765957446808507</v>
      </c>
      <c r="DK14" s="140">
        <f t="shared" si="35"/>
        <v>0.62105263157894741</v>
      </c>
      <c r="DL14" s="140">
        <f t="shared" si="35"/>
        <v>0.62105263157894741</v>
      </c>
      <c r="DM14" s="140">
        <f t="shared" si="35"/>
        <v>0.625</v>
      </c>
      <c r="DN14" s="140">
        <f t="shared" si="35"/>
        <v>0.63291139240506333</v>
      </c>
      <c r="DO14" s="140">
        <f t="shared" si="35"/>
        <v>0.61386138613861385</v>
      </c>
      <c r="DP14" s="140">
        <f t="shared" si="35"/>
        <v>0.81481481481481477</v>
      </c>
      <c r="DQ14" s="140">
        <f t="shared" si="35"/>
        <v>0.67963576158940397</v>
      </c>
      <c r="DR14" s="140">
        <f t="shared" si="35"/>
        <v>0.68865179437439383</v>
      </c>
      <c r="DS14" s="140">
        <f t="shared" si="35"/>
        <v>0.52380952380952384</v>
      </c>
      <c r="DT14" s="137">
        <f t="shared" si="35"/>
        <v>0.80352303523035229</v>
      </c>
      <c r="DU14" s="137">
        <f t="shared" si="35"/>
        <v>0.8453364817001181</v>
      </c>
      <c r="DV14" s="137">
        <f t="shared" si="35"/>
        <v>0.76852907639680734</v>
      </c>
      <c r="DW14" s="137">
        <f t="shared" si="35"/>
        <v>0.80740740740740735</v>
      </c>
      <c r="DX14" s="137">
        <f t="shared" si="35"/>
        <v>0.71478873239436624</v>
      </c>
      <c r="DY14" s="137"/>
      <c r="DZ14" s="137">
        <f t="shared" si="35"/>
        <v>0.76549210206561369</v>
      </c>
      <c r="EA14" s="137"/>
      <c r="EB14" s="137"/>
      <c r="EC14" s="137">
        <f t="shared" si="35"/>
        <v>0.83875338753387529</v>
      </c>
      <c r="ED14" s="137">
        <f t="shared" si="35"/>
        <v>0.77088948787061984</v>
      </c>
      <c r="EE14" s="141">
        <f t="shared" si="35"/>
        <v>0.80891719745222934</v>
      </c>
      <c r="EF14" s="141">
        <f t="shared" si="35"/>
        <v>0.78740157480314965</v>
      </c>
      <c r="EG14" s="141">
        <f t="shared" si="35"/>
        <v>0.90143737166324434</v>
      </c>
      <c r="EH14" s="141">
        <f t="shared" si="35"/>
        <v>0.84682332463011312</v>
      </c>
      <c r="EI14" s="141">
        <f t="shared" si="35"/>
        <v>0.70978627671541061</v>
      </c>
      <c r="EJ14" s="141">
        <f t="shared" si="35"/>
        <v>0.72846441947565543</v>
      </c>
      <c r="EK14" s="141">
        <f t="shared" si="35"/>
        <v>0.81592689295039167</v>
      </c>
      <c r="EL14" s="141">
        <f t="shared" si="35"/>
        <v>0.68756218905472644</v>
      </c>
      <c r="EM14" s="141">
        <f t="shared" si="35"/>
        <v>0.67918781725888333</v>
      </c>
      <c r="EN14" s="141">
        <f t="shared" si="35"/>
        <v>0.68392664509169365</v>
      </c>
      <c r="EO14" s="141">
        <f t="shared" si="35"/>
        <v>0.74315789473684213</v>
      </c>
      <c r="EP14" s="141">
        <f t="shared" si="35"/>
        <v>0.82690187431091511</v>
      </c>
      <c r="EQ14" s="141">
        <f t="shared" si="35"/>
        <v>0.80388151174668032</v>
      </c>
      <c r="ER14" s="141">
        <f t="shared" si="35"/>
        <v>0.82456140350877205</v>
      </c>
      <c r="ES14" s="142">
        <f t="shared" si="35"/>
        <v>0.7393561786085151</v>
      </c>
      <c r="ET14" s="142">
        <f t="shared" si="35"/>
        <v>0.74537540805223068</v>
      </c>
      <c r="EU14" s="142">
        <f t="shared" si="35"/>
        <v>0.74597701149425288</v>
      </c>
      <c r="EV14" s="142">
        <f t="shared" si="35"/>
        <v>0.70505287896592239</v>
      </c>
      <c r="EW14" s="142">
        <f t="shared" si="35"/>
        <v>0.75109170305676842</v>
      </c>
      <c r="EX14" s="142">
        <f t="shared" si="35"/>
        <v>0.75124999999999997</v>
      </c>
      <c r="EY14" s="142">
        <f t="shared" si="35"/>
        <v>0.73540372670807441</v>
      </c>
      <c r="EZ14" s="142">
        <f t="shared" si="35"/>
        <v>0.78887841658812441</v>
      </c>
      <c r="FA14" s="142">
        <f t="shared" si="35"/>
        <v>0.76041666666666663</v>
      </c>
      <c r="FB14" s="142">
        <f t="shared" si="35"/>
        <v>0.69674711437565584</v>
      </c>
      <c r="FC14" s="142">
        <f t="shared" ref="FC14:HF14" si="36">FC9/FC7</f>
        <v>0.68131868131868134</v>
      </c>
      <c r="FD14" s="142">
        <f t="shared" si="36"/>
        <v>0.79829890643985424</v>
      </c>
      <c r="FE14" s="142">
        <f t="shared" si="36"/>
        <v>0.82096584216725554</v>
      </c>
      <c r="FF14" s="142">
        <f t="shared" si="36"/>
        <v>0.79395296752519595</v>
      </c>
      <c r="FG14" s="143">
        <f t="shared" si="36"/>
        <v>0.62516733601070951</v>
      </c>
      <c r="FH14" s="143">
        <f t="shared" si="36"/>
        <v>0.6</v>
      </c>
      <c r="FI14" s="143">
        <f t="shared" si="36"/>
        <v>0.63157894736842102</v>
      </c>
      <c r="FJ14" s="143">
        <f t="shared" si="36"/>
        <v>0.66666666666666663</v>
      </c>
      <c r="FK14" s="143">
        <f t="shared" si="36"/>
        <v>0.66666666666666663</v>
      </c>
      <c r="FL14" s="143">
        <f t="shared" si="36"/>
        <v>0.72649572649572658</v>
      </c>
      <c r="FM14" s="143">
        <f t="shared" si="36"/>
        <v>0.73611111111111116</v>
      </c>
      <c r="FN14" s="143">
        <f t="shared" si="36"/>
        <v>0.66897506925207761</v>
      </c>
      <c r="FO14" s="143">
        <f t="shared" si="36"/>
        <v>0.58271604938271593</v>
      </c>
      <c r="FP14" s="143">
        <f t="shared" si="36"/>
        <v>0.73182957393483705</v>
      </c>
      <c r="FQ14" s="143">
        <f t="shared" si="36"/>
        <v>0.6130268199233716</v>
      </c>
      <c r="FR14" s="144">
        <f t="shared" si="36"/>
        <v>0.79404255319148942</v>
      </c>
      <c r="FS14" s="144">
        <f t="shared" si="36"/>
        <v>0.75899005355776594</v>
      </c>
      <c r="FT14" s="144">
        <f t="shared" si="36"/>
        <v>0.81497418244406195</v>
      </c>
      <c r="FU14" s="144">
        <f t="shared" si="36"/>
        <v>0.697508896797153</v>
      </c>
      <c r="FV14" s="144">
        <f t="shared" si="36"/>
        <v>0.71441689623507809</v>
      </c>
      <c r="FW14" s="144">
        <f t="shared" si="36"/>
        <v>0.72775800711743766</v>
      </c>
      <c r="FX14" s="144">
        <f t="shared" si="36"/>
        <v>0.8512685914260717</v>
      </c>
      <c r="FY14" s="144">
        <f t="shared" si="36"/>
        <v>0.78153153153153143</v>
      </c>
      <c r="FZ14" s="144">
        <f t="shared" si="36"/>
        <v>0.79208688906128777</v>
      </c>
      <c r="GA14" s="144">
        <f t="shared" si="36"/>
        <v>0.66864406779661023</v>
      </c>
      <c r="GB14" s="144">
        <f t="shared" si="36"/>
        <v>0.76800000000000002</v>
      </c>
      <c r="GC14" s="144">
        <f t="shared" si="36"/>
        <v>0.69090909090909081</v>
      </c>
      <c r="GD14" s="145">
        <f t="shared" si="36"/>
        <v>0.68333333333333335</v>
      </c>
      <c r="GE14" s="145">
        <f t="shared" si="36"/>
        <v>0.797752808988764</v>
      </c>
      <c r="GF14" s="145">
        <f t="shared" si="36"/>
        <v>0.59695817490494296</v>
      </c>
      <c r="GG14" s="145">
        <f t="shared" si="36"/>
        <v>0.68634686346863483</v>
      </c>
      <c r="GH14" s="145">
        <f t="shared" si="36"/>
        <v>0.80387096774193545</v>
      </c>
      <c r="GI14" s="145">
        <f t="shared" si="36"/>
        <v>0.66408268733850129</v>
      </c>
      <c r="GJ14" s="145">
        <f t="shared" si="36"/>
        <v>0.71907514450867049</v>
      </c>
      <c r="GK14" s="145">
        <f t="shared" si="36"/>
        <v>0.810126582278481</v>
      </c>
      <c r="GL14" s="145">
        <f t="shared" si="36"/>
        <v>0.70270270270270274</v>
      </c>
      <c r="GM14" s="145">
        <f t="shared" si="36"/>
        <v>0.73749999999999993</v>
      </c>
      <c r="GN14" s="145">
        <f t="shared" si="36"/>
        <v>0.73333333333333339</v>
      </c>
      <c r="GO14" s="145">
        <f t="shared" si="36"/>
        <v>0.73239436619718312</v>
      </c>
      <c r="GP14" s="145">
        <f t="shared" si="36"/>
        <v>0.74683544303797456</v>
      </c>
      <c r="GQ14" s="145">
        <f t="shared" si="36"/>
        <v>0.69620253164556967</v>
      </c>
      <c r="GR14" s="145">
        <f t="shared" si="36"/>
        <v>0.78082191780821908</v>
      </c>
      <c r="GS14" s="145">
        <f t="shared" si="36"/>
        <v>0.70833333333333337</v>
      </c>
      <c r="GT14" s="87">
        <f t="shared" si="36"/>
        <v>0.85644171779141109</v>
      </c>
      <c r="GU14" s="87">
        <f t="shared" si="36"/>
        <v>0.86907730673316697</v>
      </c>
      <c r="GV14" s="87">
        <f t="shared" si="36"/>
        <v>0.66877370417193427</v>
      </c>
      <c r="GW14" s="87">
        <f t="shared" si="36"/>
        <v>0.65585168018539974</v>
      </c>
      <c r="GX14" s="87">
        <f t="shared" si="36"/>
        <v>0.71234428086070212</v>
      </c>
      <c r="GY14" s="87">
        <f t="shared" si="36"/>
        <v>0.60637087599544937</v>
      </c>
      <c r="GZ14" s="87">
        <f t="shared" si="36"/>
        <v>0.6689113355780022</v>
      </c>
      <c r="HA14" s="87">
        <f t="shared" si="36"/>
        <v>0.65031982942430711</v>
      </c>
      <c r="HB14" s="87">
        <f t="shared" si="36"/>
        <v>0.66127292340884569</v>
      </c>
      <c r="HC14" s="87">
        <f t="shared" si="36"/>
        <v>0.72490221642764019</v>
      </c>
      <c r="HD14" s="87">
        <f t="shared" si="36"/>
        <v>0.79265402843601906</v>
      </c>
      <c r="HE14" s="87">
        <f t="shared" si="36"/>
        <v>0.72530864197530864</v>
      </c>
      <c r="HF14" s="87">
        <f t="shared" si="36"/>
        <v>0.80361173814898412</v>
      </c>
      <c r="HG14" s="146"/>
      <c r="HH14" s="146"/>
    </row>
    <row r="15" spans="1:216" customFormat="1" x14ac:dyDescent="0.25">
      <c r="A15" t="s">
        <v>39</v>
      </c>
      <c r="B15" s="132">
        <f>B8/B7</f>
        <v>0.70906949352179038</v>
      </c>
      <c r="C15" s="132">
        <f t="shared" ref="C15:BW15" si="37">C8/C7</f>
        <v>0.73430962343096229</v>
      </c>
      <c r="D15" s="132">
        <f t="shared" si="37"/>
        <v>0.7897674418604651</v>
      </c>
      <c r="E15" s="132">
        <f t="shared" si="37"/>
        <v>0.82585470085470081</v>
      </c>
      <c r="F15" s="132">
        <f t="shared" si="37"/>
        <v>0.67248459958932238</v>
      </c>
      <c r="G15" s="132">
        <f t="shared" si="37"/>
        <v>0.68159806295399517</v>
      </c>
      <c r="H15" s="132">
        <f t="shared" si="37"/>
        <v>0.68766404199475073</v>
      </c>
      <c r="I15" s="132">
        <f t="shared" si="37"/>
        <v>0.67714631197097952</v>
      </c>
      <c r="J15" s="132">
        <f t="shared" si="37"/>
        <v>0.73812580231065461</v>
      </c>
      <c r="K15" s="132">
        <f t="shared" si="37"/>
        <v>0.84882629107981222</v>
      </c>
      <c r="L15" s="132">
        <f t="shared" si="37"/>
        <v>0.73873873873873863</v>
      </c>
      <c r="M15" s="132">
        <f t="shared" si="37"/>
        <v>0.75599582898852968</v>
      </c>
      <c r="N15" s="132">
        <f t="shared" si="37"/>
        <v>0.66707920792079212</v>
      </c>
      <c r="O15" s="132">
        <f t="shared" si="37"/>
        <v>0.6632782719186785</v>
      </c>
      <c r="P15" s="132">
        <f t="shared" si="37"/>
        <v>0.65853658536585369</v>
      </c>
      <c r="Q15" s="132">
        <f t="shared" si="37"/>
        <v>0.71267605633802822</v>
      </c>
      <c r="R15" s="133">
        <f t="shared" si="37"/>
        <v>0.75</v>
      </c>
      <c r="S15" s="133">
        <f t="shared" si="37"/>
        <v>0.72222222222222221</v>
      </c>
      <c r="T15" s="133">
        <f t="shared" si="37"/>
        <v>0.75268817204301064</v>
      </c>
      <c r="U15" s="133">
        <f t="shared" si="37"/>
        <v>0.65674603174603174</v>
      </c>
      <c r="V15" s="133">
        <f t="shared" si="37"/>
        <v>0.7635524798154556</v>
      </c>
      <c r="W15" s="133">
        <f t="shared" si="37"/>
        <v>0.71289274106175515</v>
      </c>
      <c r="X15" s="133">
        <f t="shared" si="37"/>
        <v>0.72096128170894536</v>
      </c>
      <c r="Y15" s="133">
        <f t="shared" si="37"/>
        <v>0.70652173913043481</v>
      </c>
      <c r="Z15" s="133">
        <f t="shared" si="37"/>
        <v>0.64356435643564358</v>
      </c>
      <c r="AA15" s="133">
        <f t="shared" si="37"/>
        <v>0.71794871794871795</v>
      </c>
      <c r="AB15" s="133">
        <f t="shared" si="37"/>
        <v>0.78666666666666663</v>
      </c>
      <c r="AC15" s="133">
        <f t="shared" si="37"/>
        <v>0.82474226804123718</v>
      </c>
      <c r="AD15" s="133">
        <f t="shared" si="37"/>
        <v>0.75217391304347836</v>
      </c>
      <c r="AE15" s="133">
        <f t="shared" si="37"/>
        <v>0.77821011673151741</v>
      </c>
      <c r="AF15" s="133">
        <f t="shared" si="37"/>
        <v>0.73013698630136992</v>
      </c>
      <c r="AG15" s="134">
        <f t="shared" si="37"/>
        <v>0.72847682119205304</v>
      </c>
      <c r="AH15" s="134">
        <f t="shared" si="37"/>
        <v>0.69736842105263164</v>
      </c>
      <c r="AI15" s="134">
        <f t="shared" si="37"/>
        <v>0.68940754039497298</v>
      </c>
      <c r="AJ15" s="134">
        <f t="shared" si="37"/>
        <v>0.67387687188019973</v>
      </c>
      <c r="AK15" s="134">
        <f t="shared" si="37"/>
        <v>0.69744318181818188</v>
      </c>
      <c r="AL15" s="134">
        <f t="shared" si="37"/>
        <v>0.65979381443298968</v>
      </c>
      <c r="AM15" s="134">
        <f t="shared" si="37"/>
        <v>0.66074074074074074</v>
      </c>
      <c r="AN15" s="134">
        <f t="shared" si="37"/>
        <v>0.69583333333333341</v>
      </c>
      <c r="AO15" s="135">
        <f t="shared" si="37"/>
        <v>0.54545454545454541</v>
      </c>
      <c r="AP15" s="135">
        <f t="shared" si="37"/>
        <v>0.634920634920635</v>
      </c>
      <c r="AQ15" s="135">
        <f t="shared" si="37"/>
        <v>0.63178807947019866</v>
      </c>
      <c r="AR15" s="135">
        <f t="shared" si="37"/>
        <v>0.72027972027972031</v>
      </c>
      <c r="AS15" s="135">
        <f t="shared" si="37"/>
        <v>0.64257028112449799</v>
      </c>
      <c r="AT15" s="135">
        <f t="shared" si="37"/>
        <v>0.65368567454798332</v>
      </c>
      <c r="AU15" s="135">
        <f t="shared" si="37"/>
        <v>0.6598540145985401</v>
      </c>
      <c r="AV15" s="135">
        <f t="shared" si="37"/>
        <v>0.66885676741130096</v>
      </c>
      <c r="AW15" s="135">
        <f t="shared" si="37"/>
        <v>0.58268933539412671</v>
      </c>
      <c r="AX15" s="136">
        <v>0.78720930232558151</v>
      </c>
      <c r="AY15" s="136">
        <f t="shared" si="37"/>
        <v>0.71888888888888891</v>
      </c>
      <c r="AZ15" s="136">
        <f t="shared" si="37"/>
        <v>0.76897689768976896</v>
      </c>
      <c r="BA15" s="136">
        <f t="shared" si="37"/>
        <v>0.78688524590163944</v>
      </c>
      <c r="BB15" s="136">
        <f t="shared" si="37"/>
        <v>0.70474346563407553</v>
      </c>
      <c r="BC15" s="136">
        <f t="shared" si="37"/>
        <v>0.77967914438502672</v>
      </c>
      <c r="BD15" s="136">
        <f t="shared" si="37"/>
        <v>0.79454926624737954</v>
      </c>
      <c r="BE15" s="136">
        <f t="shared" si="37"/>
        <v>0.73312564901349941</v>
      </c>
      <c r="BF15" s="136">
        <f t="shared" si="37"/>
        <v>0.84962406015037595</v>
      </c>
      <c r="BG15" s="137">
        <f t="shared" si="37"/>
        <v>0.59829059829059827</v>
      </c>
      <c r="BH15" s="137">
        <f t="shared" si="37"/>
        <v>0.70297029702970293</v>
      </c>
      <c r="BI15" s="137">
        <f t="shared" si="37"/>
        <v>0.71739130434782605</v>
      </c>
      <c r="BJ15" s="137">
        <f t="shared" si="37"/>
        <v>0.73694984646878192</v>
      </c>
      <c r="BK15" s="137">
        <f t="shared" si="37"/>
        <v>0.67237903225806461</v>
      </c>
      <c r="BL15" s="137">
        <f t="shared" si="37"/>
        <v>0.77060575968222456</v>
      </c>
      <c r="BM15" s="137">
        <f t="shared" si="37"/>
        <v>0.77709611451942739</v>
      </c>
      <c r="BN15" s="137">
        <f t="shared" si="37"/>
        <v>0.65952649379932349</v>
      </c>
      <c r="BO15" s="137">
        <f t="shared" si="37"/>
        <v>0.6485623003194888</v>
      </c>
      <c r="BP15" s="137">
        <f t="shared" si="37"/>
        <v>0.73435897435897435</v>
      </c>
      <c r="BQ15" s="137">
        <f t="shared" si="37"/>
        <v>0.69971126082771895</v>
      </c>
      <c r="BR15" s="137">
        <f t="shared" si="37"/>
        <v>0.7142857142857143</v>
      </c>
      <c r="BS15" s="81">
        <f t="shared" si="37"/>
        <v>0.5860113421550095</v>
      </c>
      <c r="BT15" s="81">
        <f t="shared" si="37"/>
        <v>0.66420664206642055</v>
      </c>
      <c r="BU15" s="81">
        <f t="shared" si="37"/>
        <v>0.768421052631579</v>
      </c>
      <c r="BV15" s="81">
        <f t="shared" si="37"/>
        <v>0.66666666666666663</v>
      </c>
      <c r="BW15" s="81">
        <f t="shared" si="37"/>
        <v>0.6629213483146067</v>
      </c>
      <c r="BX15" s="81">
        <f t="shared" ref="BX15:FB15" si="38">BX8/BX7</f>
        <v>0.61627906976744196</v>
      </c>
      <c r="BY15" s="81">
        <f t="shared" si="38"/>
        <v>0.70129870129870131</v>
      </c>
      <c r="BZ15" s="81">
        <f t="shared" si="38"/>
        <v>0.65217391304347838</v>
      </c>
      <c r="CA15" s="81">
        <f t="shared" si="38"/>
        <v>0.68421052631578949</v>
      </c>
      <c r="CB15" s="81">
        <f t="shared" si="38"/>
        <v>0.78899082568807333</v>
      </c>
      <c r="CC15" s="139">
        <f t="shared" si="38"/>
        <v>0.72151898734177211</v>
      </c>
      <c r="CD15" s="139">
        <f t="shared" si="38"/>
        <v>0.79310344827586199</v>
      </c>
      <c r="CE15" s="139">
        <f t="shared" si="38"/>
        <v>0.68131868131868134</v>
      </c>
      <c r="CF15" s="139">
        <f t="shared" si="38"/>
        <v>0.66379310344827591</v>
      </c>
      <c r="CG15" s="139">
        <f t="shared" si="38"/>
        <v>0.73267326732673266</v>
      </c>
      <c r="CH15" s="139">
        <f t="shared" si="38"/>
        <v>0.69696969696969691</v>
      </c>
      <c r="CI15" s="139">
        <f t="shared" si="38"/>
        <v>0.72727272727272729</v>
      </c>
      <c r="CJ15" s="139">
        <f t="shared" si="38"/>
        <v>0.72815533980582525</v>
      </c>
      <c r="CK15" s="139">
        <f t="shared" si="38"/>
        <v>0.71</v>
      </c>
      <c r="CL15" s="139">
        <f t="shared" si="38"/>
        <v>0.72</v>
      </c>
      <c r="CM15" s="87">
        <f t="shared" si="38"/>
        <v>0.8202247191011236</v>
      </c>
      <c r="CN15" s="87">
        <f t="shared" si="38"/>
        <v>0.7816091954022989</v>
      </c>
      <c r="CO15" s="87">
        <f t="shared" si="38"/>
        <v>0.69279854147675479</v>
      </c>
      <c r="CP15" s="87">
        <f t="shared" si="38"/>
        <v>0.83157894736842108</v>
      </c>
      <c r="CQ15" s="87">
        <f t="shared" si="38"/>
        <v>0.82135523613963046</v>
      </c>
      <c r="CR15" s="87">
        <f t="shared" si="38"/>
        <v>0.85193133047210301</v>
      </c>
      <c r="CS15" s="87">
        <f t="shared" si="38"/>
        <v>0.72687704026115341</v>
      </c>
      <c r="CT15" s="87">
        <f t="shared" si="38"/>
        <v>0.88505747126436785</v>
      </c>
      <c r="CU15" s="87">
        <f t="shared" si="38"/>
        <v>0.8571428571428571</v>
      </c>
      <c r="CV15" s="87">
        <f t="shared" si="38"/>
        <v>0.73737373737373735</v>
      </c>
      <c r="CW15" s="250">
        <f t="shared" si="38"/>
        <v>0.7191011235955056</v>
      </c>
      <c r="CX15" s="250">
        <f t="shared" si="38"/>
        <v>0.70270270270270274</v>
      </c>
      <c r="CY15" s="250">
        <f t="shared" si="38"/>
        <v>0.67976989453499526</v>
      </c>
      <c r="CZ15" s="250">
        <f t="shared" si="38"/>
        <v>0.71769383697813116</v>
      </c>
      <c r="DA15" s="250">
        <f t="shared" si="38"/>
        <v>0.72642607683352733</v>
      </c>
      <c r="DB15" s="250">
        <f t="shared" si="38"/>
        <v>0.7119341563786008</v>
      </c>
      <c r="DC15" s="250">
        <f t="shared" si="38"/>
        <v>0.72975929978118159</v>
      </c>
      <c r="DD15" s="250">
        <f t="shared" si="38"/>
        <v>0.65909090909090906</v>
      </c>
      <c r="DE15" s="250">
        <f t="shared" si="38"/>
        <v>0.65168539325842689</v>
      </c>
      <c r="DF15" s="250">
        <f t="shared" si="38"/>
        <v>0.66279069767441856</v>
      </c>
      <c r="DG15" s="250">
        <f t="shared" si="38"/>
        <v>0.70238095238095233</v>
      </c>
      <c r="DH15" s="250">
        <f t="shared" si="38"/>
        <v>0.74999999999999989</v>
      </c>
      <c r="DI15" s="250">
        <f t="shared" si="38"/>
        <v>0.70238095238095233</v>
      </c>
      <c r="DJ15" s="140">
        <f t="shared" si="38"/>
        <v>0.63829787234042556</v>
      </c>
      <c r="DK15" s="140">
        <f t="shared" si="38"/>
        <v>0.6</v>
      </c>
      <c r="DL15" s="140">
        <f t="shared" si="38"/>
        <v>0.63157894736842102</v>
      </c>
      <c r="DM15" s="140">
        <f t="shared" si="38"/>
        <v>0.625</v>
      </c>
      <c r="DN15" s="140">
        <f t="shared" si="38"/>
        <v>0.68565400843881863</v>
      </c>
      <c r="DO15" s="140">
        <f t="shared" si="38"/>
        <v>0.59405940594059403</v>
      </c>
      <c r="DP15" s="140">
        <f t="shared" si="38"/>
        <v>0.76543209876543206</v>
      </c>
      <c r="DQ15" s="140">
        <f t="shared" si="38"/>
        <v>0.70695364238410596</v>
      </c>
      <c r="DR15" s="140">
        <f t="shared" si="38"/>
        <v>0.76624636275460722</v>
      </c>
      <c r="DS15" s="140">
        <f t="shared" si="38"/>
        <v>0.6964285714285714</v>
      </c>
      <c r="DT15" s="137">
        <f t="shared" si="38"/>
        <v>0.72628726287262879</v>
      </c>
      <c r="DU15" s="137">
        <f t="shared" si="38"/>
        <v>0.78276269185360103</v>
      </c>
      <c r="DV15" s="137">
        <f t="shared" si="38"/>
        <v>0.70239452679589509</v>
      </c>
      <c r="DW15" s="137">
        <f t="shared" si="38"/>
        <v>0.75555555555555554</v>
      </c>
      <c r="DX15" s="137">
        <f t="shared" si="38"/>
        <v>0.755868544600939</v>
      </c>
      <c r="DY15" s="137"/>
      <c r="DZ15" s="137">
        <f t="shared" si="38"/>
        <v>0.71688942891859053</v>
      </c>
      <c r="EA15" s="137">
        <f t="shared" si="38"/>
        <v>0.72101449275362317</v>
      </c>
      <c r="EB15" s="137"/>
      <c r="EC15" s="137">
        <f t="shared" si="38"/>
        <v>0.74390243902439035</v>
      </c>
      <c r="ED15" s="137">
        <f t="shared" si="38"/>
        <v>0.74932614555256072</v>
      </c>
      <c r="EE15" s="141">
        <f t="shared" si="38"/>
        <v>0.77616014558689717</v>
      </c>
      <c r="EF15" s="141">
        <f t="shared" si="38"/>
        <v>0.84164479440069984</v>
      </c>
      <c r="EG15" s="141">
        <f t="shared" si="38"/>
        <v>0.88398357289527718</v>
      </c>
      <c r="EH15" s="141">
        <f t="shared" si="38"/>
        <v>0.85813751087902523</v>
      </c>
      <c r="EI15" s="141">
        <f t="shared" si="38"/>
        <v>0.77727784026996616</v>
      </c>
      <c r="EJ15" s="141">
        <f t="shared" si="38"/>
        <v>0.74625468164794007</v>
      </c>
      <c r="EK15" s="141">
        <f t="shared" si="38"/>
        <v>0.76501305483028714</v>
      </c>
      <c r="EL15" s="141">
        <f t="shared" si="38"/>
        <v>0.69950248756218913</v>
      </c>
      <c r="EM15" s="141">
        <f t="shared" si="38"/>
        <v>0.64771573604060917</v>
      </c>
      <c r="EN15" s="141">
        <f t="shared" si="38"/>
        <v>0.7195253505933118</v>
      </c>
      <c r="EO15" s="141">
        <f t="shared" si="38"/>
        <v>0.77473684210526317</v>
      </c>
      <c r="EP15" s="141">
        <f t="shared" si="38"/>
        <v>0.81697905181918407</v>
      </c>
      <c r="EQ15" s="141">
        <f t="shared" si="38"/>
        <v>0.78753830439223704</v>
      </c>
      <c r="ER15" s="141">
        <f t="shared" si="38"/>
        <v>0.86790505675954588</v>
      </c>
      <c r="ES15" s="142">
        <f t="shared" si="38"/>
        <v>0.73727933541017654</v>
      </c>
      <c r="ET15" s="142">
        <f t="shared" si="38"/>
        <v>0.75408052230685518</v>
      </c>
      <c r="EU15" s="142">
        <f t="shared" si="38"/>
        <v>0.73218390804597699</v>
      </c>
      <c r="EV15" s="142">
        <f t="shared" si="38"/>
        <v>0.68507638072855459</v>
      </c>
      <c r="EW15" s="142">
        <f t="shared" si="38"/>
        <v>0.78711790393013092</v>
      </c>
      <c r="EX15" s="142">
        <f t="shared" si="38"/>
        <v>0.82750000000000001</v>
      </c>
      <c r="EY15" s="142">
        <f t="shared" si="38"/>
        <v>0.72173913043478255</v>
      </c>
      <c r="EZ15" s="142">
        <f t="shared" si="38"/>
        <v>0.81998114985862403</v>
      </c>
      <c r="FA15" s="142">
        <f t="shared" si="38"/>
        <v>0.80018939393939392</v>
      </c>
      <c r="FB15" s="142">
        <f t="shared" si="38"/>
        <v>0.73557187827911852</v>
      </c>
      <c r="FC15" s="142">
        <f t="shared" ref="FC15:HF15" si="39">FC8/FC7</f>
        <v>0.74065934065934069</v>
      </c>
      <c r="FD15" s="142">
        <f t="shared" si="39"/>
        <v>0.75698663426488466</v>
      </c>
      <c r="FE15" s="142">
        <f t="shared" si="39"/>
        <v>0.75147232037691403</v>
      </c>
      <c r="FF15" s="142">
        <f t="shared" si="39"/>
        <v>0.81410974244120937</v>
      </c>
      <c r="FG15" s="143">
        <f t="shared" si="39"/>
        <v>0.72824631860776445</v>
      </c>
      <c r="FH15" s="143">
        <f t="shared" si="39"/>
        <v>0.71764705882352942</v>
      </c>
      <c r="FI15" s="143">
        <f t="shared" si="39"/>
        <v>0.73684210526315796</v>
      </c>
      <c r="FJ15" s="143">
        <f t="shared" si="39"/>
        <v>0.7599999999999999</v>
      </c>
      <c r="FK15" s="143">
        <f t="shared" si="39"/>
        <v>0.7466666666666667</v>
      </c>
      <c r="FL15" s="143">
        <f t="shared" si="39"/>
        <v>0.75498575498575504</v>
      </c>
      <c r="FM15" s="143">
        <f t="shared" si="39"/>
        <v>0.79166666666666663</v>
      </c>
      <c r="FN15" s="143">
        <f t="shared" si="39"/>
        <v>0.79085872576177285</v>
      </c>
      <c r="FO15" s="143">
        <f t="shared" si="39"/>
        <v>0.67160493827160495</v>
      </c>
      <c r="FP15" s="143">
        <f t="shared" si="39"/>
        <v>0.7493734335839598</v>
      </c>
      <c r="FQ15" s="143">
        <f t="shared" si="39"/>
        <v>0.65517241379310343</v>
      </c>
      <c r="FR15" s="144">
        <f t="shared" si="39"/>
        <v>0.80510638297872328</v>
      </c>
      <c r="FS15" s="144">
        <f t="shared" si="39"/>
        <v>0.77811782708492727</v>
      </c>
      <c r="FT15" s="144">
        <f t="shared" si="39"/>
        <v>0.8442340791738383</v>
      </c>
      <c r="FU15" s="144">
        <f t="shared" si="39"/>
        <v>0.76067615658362975</v>
      </c>
      <c r="FV15" s="144">
        <f t="shared" si="39"/>
        <v>0.80624426078971534</v>
      </c>
      <c r="FW15" s="144">
        <f t="shared" si="39"/>
        <v>0.76156583629893226</v>
      </c>
      <c r="FX15" s="144">
        <f t="shared" si="39"/>
        <v>0.82152230971128604</v>
      </c>
      <c r="FY15" s="144">
        <f t="shared" si="39"/>
        <v>0.73498498498498488</v>
      </c>
      <c r="FZ15" s="144">
        <f t="shared" si="39"/>
        <v>0.78200155159038021</v>
      </c>
      <c r="GA15" s="144">
        <f t="shared" si="39"/>
        <v>0.69745762711864412</v>
      </c>
      <c r="GB15" s="144">
        <f t="shared" si="39"/>
        <v>0.74399999999999999</v>
      </c>
      <c r="GC15" s="144">
        <f t="shared" si="39"/>
        <v>0.70909090909090911</v>
      </c>
      <c r="GD15" s="145">
        <f t="shared" si="39"/>
        <v>0.69305555555555554</v>
      </c>
      <c r="GE15" s="145">
        <f t="shared" si="39"/>
        <v>0.6853932584269663</v>
      </c>
      <c r="GF15" s="145">
        <f t="shared" si="39"/>
        <v>0.64131812420785805</v>
      </c>
      <c r="GG15" s="145">
        <f t="shared" si="39"/>
        <v>0.68511685116851184</v>
      </c>
      <c r="GH15" s="145">
        <f t="shared" si="39"/>
        <v>0.68129032258064515</v>
      </c>
      <c r="GI15" s="145">
        <f t="shared" si="39"/>
        <v>0.65116279069767435</v>
      </c>
      <c r="GJ15" s="145">
        <f t="shared" si="39"/>
        <v>0.63352601156069366</v>
      </c>
      <c r="GK15" s="145">
        <f t="shared" si="39"/>
        <v>0.67088607594936711</v>
      </c>
      <c r="GL15" s="145">
        <f t="shared" si="39"/>
        <v>0.68918918918918926</v>
      </c>
      <c r="GM15" s="145">
        <f t="shared" si="39"/>
        <v>0.70000000000000007</v>
      </c>
      <c r="GN15" s="145">
        <f t="shared" si="39"/>
        <v>0.66666666666666663</v>
      </c>
      <c r="GO15" s="145">
        <f t="shared" si="39"/>
        <v>0.70422535211267612</v>
      </c>
      <c r="GP15" s="145">
        <f t="shared" si="39"/>
        <v>0.70886075949367089</v>
      </c>
      <c r="GQ15" s="145">
        <f t="shared" si="39"/>
        <v>0.68354430379746833</v>
      </c>
      <c r="GR15" s="145">
        <f t="shared" si="39"/>
        <v>0.67123287671232879</v>
      </c>
      <c r="GS15" s="145">
        <f t="shared" si="39"/>
        <v>0.63888888888888895</v>
      </c>
      <c r="GT15" s="87">
        <f t="shared" si="39"/>
        <v>0.88098159509202456</v>
      </c>
      <c r="GU15" s="87">
        <f t="shared" si="39"/>
        <v>0.84039900249376565</v>
      </c>
      <c r="GV15" s="87">
        <f t="shared" si="39"/>
        <v>0.67003792667509487</v>
      </c>
      <c r="GW15" s="87">
        <f t="shared" si="39"/>
        <v>0.68713789107763612</v>
      </c>
      <c r="GX15" s="87">
        <f t="shared" si="39"/>
        <v>0.6885617214043035</v>
      </c>
      <c r="GY15" s="87">
        <f t="shared" si="39"/>
        <v>0.64960182025028435</v>
      </c>
      <c r="GZ15" s="87">
        <f t="shared" si="39"/>
        <v>0.63973063973063971</v>
      </c>
      <c r="HA15" s="87">
        <f t="shared" si="39"/>
        <v>0.68869936034115142</v>
      </c>
      <c r="HB15" s="87">
        <f t="shared" si="39"/>
        <v>0.65372168284789633</v>
      </c>
      <c r="HC15" s="87">
        <f t="shared" si="39"/>
        <v>0.76662320730117339</v>
      </c>
      <c r="HD15" s="87">
        <f t="shared" si="39"/>
        <v>0.75947867298578198</v>
      </c>
      <c r="HE15" s="87">
        <f t="shared" si="39"/>
        <v>0.80144032921810704</v>
      </c>
      <c r="HF15" s="87">
        <f t="shared" si="39"/>
        <v>0.79796839729119629</v>
      </c>
      <c r="HG15" s="146"/>
      <c r="HH15" s="146"/>
    </row>
    <row r="16" spans="1:216" customFormat="1" x14ac:dyDescent="0.25">
      <c r="A16" t="s">
        <v>16</v>
      </c>
      <c r="B16" s="132"/>
      <c r="C16" s="132">
        <f t="shared" ref="C16:V16" si="40">C12/C11</f>
        <v>9.2198581560283692</v>
      </c>
      <c r="D16" s="132">
        <f t="shared" si="40"/>
        <v>12.024193548387098</v>
      </c>
      <c r="E16" s="132">
        <f t="shared" si="40"/>
        <v>8.8333333333333339</v>
      </c>
      <c r="F16" s="132">
        <f t="shared" si="40"/>
        <v>6.9347826086956514</v>
      </c>
      <c r="G16" s="132">
        <f t="shared" si="40"/>
        <v>9.9130434782608674</v>
      </c>
      <c r="H16" s="132"/>
      <c r="I16" s="132">
        <f t="shared" si="40"/>
        <v>9.8515625</v>
      </c>
      <c r="J16" s="132">
        <f t="shared" si="40"/>
        <v>9.2812500000000018</v>
      </c>
      <c r="K16" s="132">
        <f t="shared" si="40"/>
        <v>10.193548387096774</v>
      </c>
      <c r="L16" s="132"/>
      <c r="M16" s="132">
        <f t="shared" si="40"/>
        <v>7.8652482269503556</v>
      </c>
      <c r="N16" s="132">
        <f t="shared" si="40"/>
        <v>9.953125</v>
      </c>
      <c r="O16" s="132">
        <f t="shared" si="40"/>
        <v>9.9338842975206614</v>
      </c>
      <c r="P16" s="132">
        <f t="shared" si="40"/>
        <v>10.059322033898306</v>
      </c>
      <c r="Q16" s="132"/>
      <c r="R16" s="133">
        <f t="shared" si="40"/>
        <v>6</v>
      </c>
      <c r="S16" s="133">
        <f t="shared" si="40"/>
        <v>6.6647398843930645</v>
      </c>
      <c r="T16" s="133"/>
      <c r="U16" s="133">
        <f>U12/U11</f>
        <v>8</v>
      </c>
      <c r="V16" s="133">
        <f t="shared" si="40"/>
        <v>6.658823529411765</v>
      </c>
      <c r="W16" s="133"/>
      <c r="X16" s="133">
        <f t="shared" ref="X16:BC16" si="41">X12/X11</f>
        <v>6.2333333333333343</v>
      </c>
      <c r="Y16" s="133"/>
      <c r="Z16" s="133">
        <f t="shared" si="41"/>
        <v>8.0666666666666664</v>
      </c>
      <c r="AA16" s="133">
        <f t="shared" si="41"/>
        <v>6.6923076923076916</v>
      </c>
      <c r="AB16" s="133">
        <f t="shared" si="41"/>
        <v>7.5714285714285712</v>
      </c>
      <c r="AC16" s="133"/>
      <c r="AD16" s="133">
        <f t="shared" ref="AD16" si="42">AD12/AD11</f>
        <v>7.160000000000001</v>
      </c>
      <c r="AE16" s="133"/>
      <c r="AF16" s="133">
        <f t="shared" ref="AF16" si="43">AF12/AF11</f>
        <v>6.0538461538461537</v>
      </c>
      <c r="AG16" s="134">
        <f t="shared" si="41"/>
        <v>16.308333333333334</v>
      </c>
      <c r="AH16" s="134">
        <f t="shared" si="41"/>
        <v>14.76923076923077</v>
      </c>
      <c r="AI16" s="134">
        <f t="shared" si="41"/>
        <v>16.168141592920353</v>
      </c>
      <c r="AJ16" s="134">
        <f t="shared" si="41"/>
        <v>12.764227642276424</v>
      </c>
      <c r="AK16" s="134">
        <f t="shared" si="41"/>
        <v>12.478571428571426</v>
      </c>
      <c r="AL16" s="134">
        <f t="shared" si="41"/>
        <v>14.548872180451127</v>
      </c>
      <c r="AM16" s="134">
        <f t="shared" si="41"/>
        <v>15.784000000000001</v>
      </c>
      <c r="AN16" s="134">
        <f t="shared" si="41"/>
        <v>14.603053435114504</v>
      </c>
      <c r="AO16" s="135">
        <f t="shared" si="41"/>
        <v>8.0769230769230766</v>
      </c>
      <c r="AP16" s="135">
        <f t="shared" si="41"/>
        <v>7.9545454545454541</v>
      </c>
      <c r="AQ16" s="135">
        <f t="shared" si="41"/>
        <v>6.2540983606557381</v>
      </c>
      <c r="AR16" s="135">
        <f t="shared" si="41"/>
        <v>6.7089552238805972</v>
      </c>
      <c r="AS16" s="135">
        <f t="shared" si="41"/>
        <v>5.5238095238095237</v>
      </c>
      <c r="AT16" s="135">
        <f t="shared" si="41"/>
        <v>6.4444444444444438</v>
      </c>
      <c r="AU16" s="135">
        <f t="shared" si="41"/>
        <v>6.1044776119402977</v>
      </c>
      <c r="AV16" s="135">
        <f t="shared" si="41"/>
        <v>6.1167883211678822</v>
      </c>
      <c r="AW16" s="135">
        <f t="shared" si="41"/>
        <v>5.1605839416058386</v>
      </c>
      <c r="AX16" s="136">
        <v>5.592307692307692</v>
      </c>
      <c r="AY16" s="136">
        <f t="shared" si="41"/>
        <v>11.991735537190083</v>
      </c>
      <c r="AZ16" s="136">
        <f t="shared" si="41"/>
        <v>7.631205673758866</v>
      </c>
      <c r="BA16" s="136">
        <f t="shared" si="41"/>
        <v>8.8478260869565215</v>
      </c>
      <c r="BB16" s="136"/>
      <c r="BC16" s="136">
        <f t="shared" si="41"/>
        <v>7.4191176470588243</v>
      </c>
      <c r="BD16" s="136"/>
      <c r="BE16" s="136">
        <f t="shared" ref="BE16:EK16" si="44">BE12/BE11</f>
        <v>8.9626865671641784</v>
      </c>
      <c r="BF16" s="136">
        <f t="shared" si="44"/>
        <v>10.412121212121212</v>
      </c>
      <c r="BG16" s="137">
        <f t="shared" si="44"/>
        <v>10.066666666666666</v>
      </c>
      <c r="BH16" s="137">
        <f t="shared" si="44"/>
        <v>9.1923076923076934</v>
      </c>
      <c r="BI16" s="137"/>
      <c r="BJ16" s="137">
        <f t="shared" si="44"/>
        <v>9.275167785234899</v>
      </c>
      <c r="BK16" s="137">
        <f t="shared" si="44"/>
        <v>8.169014084507042</v>
      </c>
      <c r="BL16" s="137">
        <f t="shared" si="44"/>
        <v>8.3865030674846626</v>
      </c>
      <c r="BM16" s="137"/>
      <c r="BN16" s="137">
        <f t="shared" si="44"/>
        <v>10.842465753424658</v>
      </c>
      <c r="BO16" s="137">
        <f t="shared" si="44"/>
        <v>11.977611940298507</v>
      </c>
      <c r="BP16" s="137">
        <f t="shared" si="44"/>
        <v>10.254901960784313</v>
      </c>
      <c r="BQ16" s="137">
        <f t="shared" si="44"/>
        <v>11.25</v>
      </c>
      <c r="BR16" s="137">
        <f t="shared" si="44"/>
        <v>9.125</v>
      </c>
      <c r="BS16" s="81">
        <f t="shared" si="44"/>
        <v>10.116438356164386</v>
      </c>
      <c r="BT16" s="81">
        <f t="shared" si="44"/>
        <v>12.1875</v>
      </c>
      <c r="BU16" s="81"/>
      <c r="BV16" s="81">
        <f t="shared" si="44"/>
        <v>10.363636363636365</v>
      </c>
      <c r="BW16" s="81">
        <f t="shared" si="44"/>
        <v>11.083333333333334</v>
      </c>
      <c r="BX16" s="81"/>
      <c r="BY16" s="81">
        <f t="shared" si="44"/>
        <v>13.818181818181818</v>
      </c>
      <c r="BZ16" s="81"/>
      <c r="CA16" s="81">
        <f t="shared" si="44"/>
        <v>10.25</v>
      </c>
      <c r="CB16" s="81">
        <f t="shared" si="44"/>
        <v>11.608391608391608</v>
      </c>
      <c r="CC16" s="139">
        <f t="shared" si="44"/>
        <v>8.7333333333333343</v>
      </c>
      <c r="CD16" s="139">
        <f t="shared" si="44"/>
        <v>10.333333333333334</v>
      </c>
      <c r="CE16" s="139">
        <f t="shared" si="44"/>
        <v>8.6666666666666679</v>
      </c>
      <c r="CF16" s="139">
        <f t="shared" si="44"/>
        <v>9.5333333333333332</v>
      </c>
      <c r="CG16" s="139">
        <f t="shared" si="44"/>
        <v>12.933333333333334</v>
      </c>
      <c r="CH16" s="139">
        <f t="shared" si="44"/>
        <v>11.333333333333334</v>
      </c>
      <c r="CI16" s="139">
        <f t="shared" si="44"/>
        <v>7.0588235294117636</v>
      </c>
      <c r="CJ16" s="139">
        <f t="shared" si="44"/>
        <v>11.333333333333334</v>
      </c>
      <c r="CK16" s="139">
        <f t="shared" si="44"/>
        <v>9.8571428571428559</v>
      </c>
      <c r="CL16" s="139">
        <f t="shared" si="44"/>
        <v>11.6</v>
      </c>
      <c r="CM16" s="87">
        <f t="shared" si="44"/>
        <v>5.746666666666667</v>
      </c>
      <c r="CN16" s="87">
        <f t="shared" si="44"/>
        <v>5.8999999999999995</v>
      </c>
      <c r="CO16" s="87">
        <f t="shared" si="44"/>
        <v>11.826666666666668</v>
      </c>
      <c r="CP16" s="87"/>
      <c r="CQ16" s="87">
        <f t="shared" si="44"/>
        <v>12.433333333333332</v>
      </c>
      <c r="CR16" s="87">
        <f t="shared" si="44"/>
        <v>10.980769230769232</v>
      </c>
      <c r="CS16" s="87">
        <f t="shared" si="44"/>
        <v>13.905797101449272</v>
      </c>
      <c r="CT16" s="87">
        <f t="shared" si="44"/>
        <v>9.6666666666666661</v>
      </c>
      <c r="CU16" s="87">
        <f t="shared" si="44"/>
        <v>9.928571428571427</v>
      </c>
      <c r="CV16" s="87">
        <f t="shared" si="44"/>
        <v>11.928571428571427</v>
      </c>
      <c r="CW16" s="250">
        <f t="shared" si="44"/>
        <v>13.162393162393162</v>
      </c>
      <c r="CX16" s="250">
        <f t="shared" si="44"/>
        <v>13.518867924528301</v>
      </c>
      <c r="CY16" s="250">
        <f t="shared" si="44"/>
        <v>12</v>
      </c>
      <c r="CZ16" s="250">
        <f t="shared" si="44"/>
        <v>13.5</v>
      </c>
      <c r="DA16" s="250">
        <f t="shared" si="44"/>
        <v>11.624060150375939</v>
      </c>
      <c r="DB16" s="250">
        <f t="shared" si="44"/>
        <v>12.295774647887326</v>
      </c>
      <c r="DC16" s="250">
        <f t="shared" si="44"/>
        <v>14.2265625</v>
      </c>
      <c r="DD16" s="250">
        <f t="shared" si="44"/>
        <v>12.846153846153845</v>
      </c>
      <c r="DE16" s="250">
        <f t="shared" si="44"/>
        <v>15.118181818181817</v>
      </c>
      <c r="DF16" s="250">
        <f t="shared" si="44"/>
        <v>14.181818181818182</v>
      </c>
      <c r="DG16" s="250">
        <f t="shared" si="44"/>
        <v>14.333333333333334</v>
      </c>
      <c r="DH16" s="250">
        <f t="shared" si="44"/>
        <v>14.554545454545455</v>
      </c>
      <c r="DI16" s="250">
        <f t="shared" si="44"/>
        <v>8.3333333333333339</v>
      </c>
      <c r="DJ16" s="140">
        <f t="shared" si="44"/>
        <v>10.230769230769232</v>
      </c>
      <c r="DK16" s="140"/>
      <c r="DL16" s="140">
        <f t="shared" si="44"/>
        <v>9.8571428571428559</v>
      </c>
      <c r="DM16" s="140"/>
      <c r="DN16" s="140">
        <f t="shared" si="44"/>
        <v>10.184615384615384</v>
      </c>
      <c r="DO16" s="140">
        <f t="shared" si="44"/>
        <v>10.384615384615385</v>
      </c>
      <c r="DP16" s="140"/>
      <c r="DQ16" s="140">
        <f t="shared" si="44"/>
        <v>11.306666666666667</v>
      </c>
      <c r="DR16" s="140">
        <f t="shared" si="44"/>
        <v>10.226666666666667</v>
      </c>
      <c r="DS16" s="140">
        <f t="shared" si="44"/>
        <v>10.714285714285714</v>
      </c>
      <c r="DT16" s="137">
        <f t="shared" si="44"/>
        <v>15.435897435897436</v>
      </c>
      <c r="DU16" s="137">
        <f t="shared" si="44"/>
        <v>10.154411764705882</v>
      </c>
      <c r="DV16" s="137"/>
      <c r="DW16" s="137"/>
      <c r="DX16" s="137"/>
      <c r="DY16" s="137"/>
      <c r="DZ16" s="137"/>
      <c r="EA16" s="137"/>
      <c r="EB16" s="137"/>
      <c r="EC16" s="137">
        <f t="shared" si="44"/>
        <v>11.524193548387098</v>
      </c>
      <c r="ED16" s="137">
        <f t="shared" si="44"/>
        <v>9.3909090909090907</v>
      </c>
      <c r="EE16" s="141">
        <f t="shared" si="44"/>
        <v>6.5842105263157888</v>
      </c>
      <c r="EF16" s="141">
        <f t="shared" si="44"/>
        <v>8.6648648648648656</v>
      </c>
      <c r="EG16" s="141">
        <f t="shared" si="44"/>
        <v>8.935483870967742</v>
      </c>
      <c r="EH16" s="141">
        <f t="shared" si="44"/>
        <v>7.4222222222222225</v>
      </c>
      <c r="EI16" s="141">
        <f t="shared" si="44"/>
        <v>8.8993288590604038</v>
      </c>
      <c r="EJ16" s="141">
        <f t="shared" si="44"/>
        <v>8.6428571428571423</v>
      </c>
      <c r="EK16" s="141">
        <f t="shared" si="44"/>
        <v>6.0067114093959733</v>
      </c>
      <c r="EL16" s="141">
        <f t="shared" ref="EL16:HF16" si="45">EL12/EL11</f>
        <v>9.0662251655629138</v>
      </c>
      <c r="EM16" s="141">
        <f t="shared" si="45"/>
        <v>7.1168831168831179</v>
      </c>
      <c r="EN16" s="141">
        <f t="shared" si="45"/>
        <v>9.6590909090909083</v>
      </c>
      <c r="EO16" s="141">
        <f t="shared" si="45"/>
        <v>8.2919254658385082</v>
      </c>
      <c r="EP16" s="141">
        <f t="shared" si="45"/>
        <v>6.5733333333333333</v>
      </c>
      <c r="EQ16" s="141">
        <f t="shared" si="45"/>
        <v>8.6529411764705877</v>
      </c>
      <c r="ER16" s="141">
        <f t="shared" si="45"/>
        <v>5.8263157894736839</v>
      </c>
      <c r="ES16" s="142">
        <f t="shared" si="45"/>
        <v>8.7851851851851848</v>
      </c>
      <c r="ET16" s="142">
        <f t="shared" si="45"/>
        <v>9.2416666666666671</v>
      </c>
      <c r="EU16" s="142"/>
      <c r="EV16" s="142">
        <f t="shared" si="45"/>
        <v>12</v>
      </c>
      <c r="EW16" s="142">
        <f t="shared" si="45"/>
        <v>12.090163934426231</v>
      </c>
      <c r="EX16" s="142">
        <f t="shared" si="45"/>
        <v>13.598130841121495</v>
      </c>
      <c r="EY16" s="142">
        <f t="shared" si="45"/>
        <v>12.466101694915256</v>
      </c>
      <c r="EZ16" s="142">
        <f t="shared" si="45"/>
        <v>11.392307692307693</v>
      </c>
      <c r="FA16" s="142">
        <f t="shared" si="45"/>
        <v>11.656249999999998</v>
      </c>
      <c r="FB16" s="142">
        <f t="shared" si="45"/>
        <v>12.73394495412844</v>
      </c>
      <c r="FC16" s="142">
        <f t="shared" si="45"/>
        <v>13</v>
      </c>
      <c r="FD16" s="142"/>
      <c r="FE16" s="142">
        <f t="shared" si="45"/>
        <v>12.07377049180328</v>
      </c>
      <c r="FF16" s="142">
        <f t="shared" si="45"/>
        <v>12.0859375</v>
      </c>
      <c r="FG16" s="143">
        <f t="shared" si="45"/>
        <v>5.5639097744360901</v>
      </c>
      <c r="FH16" s="143">
        <f t="shared" si="45"/>
        <v>5.5769230769230766</v>
      </c>
      <c r="FI16" s="143">
        <f t="shared" si="45"/>
        <v>5.5259259259259252</v>
      </c>
      <c r="FJ16" s="143">
        <f t="shared" si="45"/>
        <v>6.4615384615384608</v>
      </c>
      <c r="FK16" s="143">
        <f t="shared" si="45"/>
        <v>7.083333333333333</v>
      </c>
      <c r="FL16" s="143">
        <f t="shared" si="45"/>
        <v>4.615384615384615</v>
      </c>
      <c r="FM16" s="143">
        <f t="shared" si="45"/>
        <v>7</v>
      </c>
      <c r="FN16" s="143">
        <f t="shared" si="45"/>
        <v>5.8571428571428568</v>
      </c>
      <c r="FO16" s="143">
        <f t="shared" si="45"/>
        <v>5.5597014925373127</v>
      </c>
      <c r="FP16" s="143">
        <f t="shared" si="45"/>
        <v>6.0518518518518514</v>
      </c>
      <c r="FQ16" s="143">
        <f t="shared" si="45"/>
        <v>6.0775193798449614</v>
      </c>
      <c r="FR16" s="144">
        <f>FR12/FR11</f>
        <v>13.565789473684211</v>
      </c>
      <c r="FS16" s="144">
        <f>FS12/FS11</f>
        <v>11.834285714285713</v>
      </c>
      <c r="FT16" s="144">
        <f>FT12/FT11</f>
        <v>10.98</v>
      </c>
      <c r="FU16" s="144">
        <f>FU12/FU11</f>
        <v>13.918918918918919</v>
      </c>
      <c r="FV16" s="144"/>
      <c r="FW16" s="144">
        <f>FW12/FW11</f>
        <v>14.106870229007631</v>
      </c>
      <c r="FX16" s="144">
        <f>FX12/FX11</f>
        <v>13.999999999999998</v>
      </c>
      <c r="FY16" s="144">
        <f>FY12/FY11</f>
        <v>12.725609756097558</v>
      </c>
      <c r="FZ16" s="144">
        <f>FZ12/FZ11</f>
        <v>13.847133757961783</v>
      </c>
      <c r="GA16" s="144">
        <f>GA12/GA11</f>
        <v>14.62686567164179</v>
      </c>
      <c r="GB16" s="144">
        <f t="shared" ref="GB16:GC16" si="46">GB12/GB11</f>
        <v>11.933333333333334</v>
      </c>
      <c r="GC16" s="144">
        <f t="shared" si="46"/>
        <v>11.533333333333333</v>
      </c>
      <c r="GD16" s="145">
        <f t="shared" si="45"/>
        <v>16.457446808510639</v>
      </c>
      <c r="GE16" s="145">
        <f t="shared" si="45"/>
        <v>11.000000000000002</v>
      </c>
      <c r="GF16" s="145">
        <f t="shared" si="45"/>
        <v>14.194690265486726</v>
      </c>
      <c r="GG16" s="145">
        <f t="shared" si="45"/>
        <v>14.081300813008131</v>
      </c>
      <c r="GH16" s="145">
        <f t="shared" si="45"/>
        <v>15.215384615384615</v>
      </c>
      <c r="GI16" s="145">
        <f t="shared" si="45"/>
        <v>15.865384615384615</v>
      </c>
      <c r="GJ16" s="145">
        <f t="shared" si="45"/>
        <v>9.9344262295081975</v>
      </c>
      <c r="GK16" s="145">
        <f t="shared" si="45"/>
        <v>16.166666666666668</v>
      </c>
      <c r="GL16" s="145">
        <f t="shared" si="45"/>
        <v>15</v>
      </c>
      <c r="GM16" s="145">
        <f t="shared" si="45"/>
        <v>10.5</v>
      </c>
      <c r="GN16" s="145">
        <f t="shared" si="45"/>
        <v>13.083333333333334</v>
      </c>
      <c r="GO16" s="145">
        <f t="shared" si="45"/>
        <v>10.909090909090908</v>
      </c>
      <c r="GP16" s="145">
        <f t="shared" si="45"/>
        <v>15.333333333333334</v>
      </c>
      <c r="GQ16" s="145">
        <f t="shared" si="45"/>
        <v>15.7</v>
      </c>
      <c r="GR16" s="145">
        <f t="shared" si="45"/>
        <v>9.5</v>
      </c>
      <c r="GS16" s="145">
        <f t="shared" si="45"/>
        <v>16.799999999999997</v>
      </c>
      <c r="GT16" s="87">
        <f t="shared" si="45"/>
        <v>7.0545454545454538</v>
      </c>
      <c r="GU16" s="87">
        <f t="shared" si="45"/>
        <v>6.8313953488372103</v>
      </c>
      <c r="GV16" s="87">
        <f t="shared" si="45"/>
        <v>5.5657894736842106</v>
      </c>
      <c r="GW16" s="87">
        <f t="shared" si="45"/>
        <v>6.2402597402597397</v>
      </c>
      <c r="GX16" s="87">
        <f t="shared" si="45"/>
        <v>5.8011695906432745</v>
      </c>
      <c r="GY16" s="87">
        <f t="shared" si="45"/>
        <v>5.7517730496453909</v>
      </c>
      <c r="GZ16" s="87">
        <f t="shared" si="45"/>
        <v>6.9399999999999995</v>
      </c>
      <c r="HA16" s="87">
        <f t="shared" si="45"/>
        <v>7.2402597402597406</v>
      </c>
      <c r="HB16" s="87">
        <f t="shared" si="45"/>
        <v>6.1901840490797539</v>
      </c>
      <c r="HC16" s="87">
        <f t="shared" si="45"/>
        <v>6.0296296296296292</v>
      </c>
      <c r="HD16" s="87">
        <f t="shared" si="45"/>
        <v>7.953020134228189</v>
      </c>
      <c r="HE16" s="87">
        <f t="shared" si="45"/>
        <v>7.8</v>
      </c>
      <c r="HF16" s="87">
        <f t="shared" si="45"/>
        <v>4.9821428571428568</v>
      </c>
      <c r="HG16" s="146"/>
      <c r="HH16" s="146"/>
    </row>
    <row r="17" spans="1:216" customFormat="1" x14ac:dyDescent="0.25">
      <c r="A17" t="s">
        <v>15</v>
      </c>
      <c r="B17" s="48">
        <v>0.33300000000000002</v>
      </c>
      <c r="C17" s="24">
        <v>0.308</v>
      </c>
      <c r="D17" s="49">
        <v>0.33400000000000002</v>
      </c>
      <c r="E17" s="50">
        <v>0.34799999999999998</v>
      </c>
      <c r="F17" s="24">
        <v>0.38</v>
      </c>
      <c r="G17" s="51">
        <v>0.317</v>
      </c>
      <c r="H17" s="24">
        <v>0.31</v>
      </c>
      <c r="I17" s="49">
        <v>0.29899999999999999</v>
      </c>
      <c r="J17" s="24">
        <v>0.30399999999999999</v>
      </c>
      <c r="K17" s="48">
        <v>0.38400000000000001</v>
      </c>
      <c r="L17" s="24">
        <v>0.38200000000000001</v>
      </c>
      <c r="M17" s="50">
        <v>0.38800000000000001</v>
      </c>
      <c r="N17" s="24">
        <v>0.32</v>
      </c>
      <c r="O17" s="51"/>
      <c r="P17" s="24">
        <v>0.28000000000000003</v>
      </c>
      <c r="Q17" s="24">
        <v>0.28999999999999998</v>
      </c>
      <c r="R17" s="52">
        <v>0.31</v>
      </c>
      <c r="S17" s="53">
        <v>0.38600000000000001</v>
      </c>
      <c r="T17" s="22">
        <v>0.33</v>
      </c>
      <c r="U17" s="54">
        <v>0.313</v>
      </c>
      <c r="V17" s="22">
        <v>0.312</v>
      </c>
      <c r="W17" s="55">
        <v>0.33400000000000002</v>
      </c>
      <c r="X17" s="22">
        <v>0.28100000000000003</v>
      </c>
      <c r="Y17" s="52">
        <v>0.34</v>
      </c>
      <c r="Z17" s="22">
        <v>0.31</v>
      </c>
      <c r="AA17" s="56">
        <v>0.31</v>
      </c>
      <c r="AB17" s="22">
        <v>0.3</v>
      </c>
      <c r="AC17" s="22">
        <v>0.24</v>
      </c>
      <c r="AD17" s="22">
        <v>0.28199999999999997</v>
      </c>
      <c r="AE17" s="22">
        <v>0.28999999999999998</v>
      </c>
      <c r="AF17" s="22">
        <v>0.28699999999999998</v>
      </c>
      <c r="AG17" s="57">
        <v>0.26</v>
      </c>
      <c r="AH17" s="58">
        <v>0.2</v>
      </c>
      <c r="AI17" s="59">
        <v>0.19500000000000001</v>
      </c>
      <c r="AJ17" s="60">
        <v>0.20799999999999999</v>
      </c>
      <c r="AK17" s="61">
        <v>0.26400000000000001</v>
      </c>
      <c r="AL17" s="60">
        <v>0.22700000000000001</v>
      </c>
      <c r="AM17" s="60">
        <v>0.27200000000000002</v>
      </c>
      <c r="AN17" s="60"/>
      <c r="AO17" s="62">
        <v>0.21</v>
      </c>
      <c r="AP17" s="63">
        <v>0.26</v>
      </c>
      <c r="AQ17" s="64">
        <v>0.30399999999999999</v>
      </c>
      <c r="AR17" s="65">
        <v>0.28999999999999998</v>
      </c>
      <c r="AS17" s="64">
        <v>0.30599999999999999</v>
      </c>
      <c r="AT17" s="66">
        <v>0.26200000000000001</v>
      </c>
      <c r="AU17" s="64">
        <v>0.29199999999999998</v>
      </c>
      <c r="AV17" s="67">
        <v>0.30299999999999999</v>
      </c>
      <c r="AW17" s="63">
        <v>0.28699999999999998</v>
      </c>
      <c r="AX17" s="68">
        <v>0.255</v>
      </c>
      <c r="AY17" s="69">
        <v>0.27900000000000003</v>
      </c>
      <c r="AZ17" s="68">
        <v>0.27100000000000002</v>
      </c>
      <c r="BA17" s="70">
        <v>0.28499999999999998</v>
      </c>
      <c r="BB17" s="68">
        <v>0.22500000000000001</v>
      </c>
      <c r="BC17" s="71">
        <v>0.28999999999999998</v>
      </c>
      <c r="BD17" s="68">
        <v>0.29699999999999999</v>
      </c>
      <c r="BE17" s="72">
        <v>0.29499999999999998</v>
      </c>
      <c r="BF17" s="68">
        <v>0.223</v>
      </c>
      <c r="BG17" s="73">
        <v>0.36</v>
      </c>
      <c r="BH17" s="74">
        <v>0.35299999999999998</v>
      </c>
      <c r="BI17" s="75">
        <v>0.33</v>
      </c>
      <c r="BJ17" s="41">
        <v>0.372</v>
      </c>
      <c r="BK17" s="76">
        <v>0.375</v>
      </c>
      <c r="BL17" s="41">
        <v>0.378</v>
      </c>
      <c r="BM17" s="77">
        <v>0.30399999999999999</v>
      </c>
      <c r="BN17" s="77">
        <v>0.29299999999999998</v>
      </c>
      <c r="BO17" s="77">
        <v>0.29399999999999998</v>
      </c>
      <c r="BP17" s="77">
        <v>0.3</v>
      </c>
      <c r="BQ17" s="77">
        <v>0.32</v>
      </c>
      <c r="BR17" s="77">
        <v>0.31</v>
      </c>
      <c r="BS17" s="78">
        <v>0.32700000000000001</v>
      </c>
      <c r="BT17" s="79">
        <v>0.34899999999999998</v>
      </c>
      <c r="BU17" s="80"/>
      <c r="BV17" s="81">
        <v>0.25</v>
      </c>
      <c r="BW17" s="20">
        <v>0.33</v>
      </c>
      <c r="BX17" s="82">
        <v>0.26</v>
      </c>
      <c r="BY17" s="20">
        <v>0.27</v>
      </c>
      <c r="BZ17" s="83">
        <v>0.26</v>
      </c>
      <c r="CA17" s="20"/>
      <c r="CB17" s="20">
        <v>0.34</v>
      </c>
      <c r="CC17" s="84">
        <v>0.32</v>
      </c>
      <c r="CD17" s="85">
        <v>0.3</v>
      </c>
      <c r="CE17" s="84">
        <v>0.3</v>
      </c>
      <c r="CF17" s="219">
        <v>0.28999999999999998</v>
      </c>
      <c r="CG17" s="84">
        <v>0.32</v>
      </c>
      <c r="CH17" s="84">
        <v>0.28999999999999998</v>
      </c>
      <c r="CI17" s="37">
        <v>0.28999999999999998</v>
      </c>
      <c r="CJ17" s="37">
        <v>0.31</v>
      </c>
      <c r="CK17" s="84">
        <v>0.3</v>
      </c>
      <c r="CL17" s="37">
        <v>0.33</v>
      </c>
      <c r="CM17" s="87">
        <v>0.29799999999999999</v>
      </c>
      <c r="CN17" s="88">
        <v>0.28599999999999998</v>
      </c>
      <c r="CO17" s="89">
        <v>0.35</v>
      </c>
      <c r="CP17" s="88">
        <v>0.3</v>
      </c>
      <c r="CQ17" s="90">
        <v>0.33600000000000002</v>
      </c>
      <c r="CR17" s="91">
        <v>0.29199999999999998</v>
      </c>
      <c r="CS17" s="92">
        <v>0.28399999999999997</v>
      </c>
      <c r="CT17" s="93">
        <v>0.33</v>
      </c>
      <c r="CU17" s="92">
        <v>0.33</v>
      </c>
      <c r="CV17" s="94">
        <v>0.3</v>
      </c>
      <c r="CW17" s="243">
        <v>0.3</v>
      </c>
      <c r="CX17" s="244">
        <v>0.25</v>
      </c>
      <c r="CY17" s="245">
        <v>0.309</v>
      </c>
      <c r="CZ17" s="246"/>
      <c r="DA17" s="247">
        <v>0.27400000000000002</v>
      </c>
      <c r="DB17" s="246">
        <v>0.23499999999999999</v>
      </c>
      <c r="DC17" s="248">
        <v>0.20300000000000001</v>
      </c>
      <c r="DD17" s="246">
        <v>0.22</v>
      </c>
      <c r="DE17" s="246">
        <v>0.3</v>
      </c>
      <c r="DF17" s="253">
        <v>0.31</v>
      </c>
      <c r="DG17" s="246">
        <v>0.3</v>
      </c>
      <c r="DH17" s="253">
        <v>0.26</v>
      </c>
      <c r="DI17" s="246">
        <v>0.28000000000000003</v>
      </c>
      <c r="DJ17" s="95">
        <v>0.37</v>
      </c>
      <c r="DK17" s="96">
        <v>0.39</v>
      </c>
      <c r="DL17" s="97">
        <v>0.32200000000000001</v>
      </c>
      <c r="DM17" s="98">
        <v>0.33</v>
      </c>
      <c r="DN17" s="96">
        <v>0.38</v>
      </c>
      <c r="DO17" s="99">
        <v>0.32</v>
      </c>
      <c r="DP17" s="96"/>
      <c r="DQ17" s="96">
        <v>0.34</v>
      </c>
      <c r="DR17" s="96">
        <v>0.34</v>
      </c>
      <c r="DS17" s="96">
        <v>0.34</v>
      </c>
      <c r="DT17" s="41">
        <v>0.251</v>
      </c>
      <c r="DU17" s="41">
        <v>0.27700000000000002</v>
      </c>
      <c r="DV17" s="41">
        <v>0.27</v>
      </c>
      <c r="DW17" s="41"/>
      <c r="DX17" s="41">
        <v>0.27500000000000002</v>
      </c>
      <c r="DY17" s="41">
        <v>0.28699999999999998</v>
      </c>
      <c r="DZ17" s="41">
        <v>0.26</v>
      </c>
      <c r="EA17" s="41">
        <v>0.27700000000000002</v>
      </c>
      <c r="EB17" s="41">
        <v>0.27</v>
      </c>
      <c r="EC17" s="41">
        <v>0.28000000000000003</v>
      </c>
      <c r="ED17" s="41">
        <v>0.27700000000000002</v>
      </c>
      <c r="EE17" s="100">
        <v>0.35199999999999998</v>
      </c>
      <c r="EF17" s="101">
        <v>0.39500000000000002</v>
      </c>
      <c r="EG17" s="100">
        <v>0.33900000000000002</v>
      </c>
      <c r="EH17" s="102">
        <v>0.36</v>
      </c>
      <c r="EI17" s="100">
        <v>0.32500000000000001</v>
      </c>
      <c r="EJ17" s="103">
        <v>0.35299999999999998</v>
      </c>
      <c r="EK17" s="100">
        <v>0.33600000000000002</v>
      </c>
      <c r="EL17" s="104">
        <v>0.32800000000000001</v>
      </c>
      <c r="EM17" s="100">
        <v>0.34899999999999998</v>
      </c>
      <c r="EN17" s="105">
        <v>0.32600000000000001</v>
      </c>
      <c r="EO17" s="100">
        <v>0.32700000000000001</v>
      </c>
      <c r="EP17" s="100">
        <v>0.35799999999999998</v>
      </c>
      <c r="EQ17" s="100">
        <v>0.36599999999999999</v>
      </c>
      <c r="ER17" s="100">
        <v>0.35899999999999999</v>
      </c>
      <c r="ES17" s="106">
        <v>0.317</v>
      </c>
      <c r="ET17" s="107">
        <v>0.312</v>
      </c>
      <c r="EU17" s="106">
        <v>0.318</v>
      </c>
      <c r="EV17" s="108">
        <v>0.29699999999999999</v>
      </c>
      <c r="EW17" s="106">
        <v>0.316</v>
      </c>
      <c r="EX17" s="109"/>
      <c r="EY17" s="106">
        <v>0.28599999999999998</v>
      </c>
      <c r="EZ17" s="110">
        <v>0.32800000000000001</v>
      </c>
      <c r="FA17" s="106">
        <v>0.33400000000000002</v>
      </c>
      <c r="FB17" s="107">
        <v>0.314</v>
      </c>
      <c r="FC17" s="106">
        <v>0.316</v>
      </c>
      <c r="FD17" s="106">
        <v>0.309</v>
      </c>
      <c r="FE17" s="106">
        <v>0.311</v>
      </c>
      <c r="FF17" s="106">
        <v>0.315</v>
      </c>
      <c r="FG17" s="111">
        <v>0.32800000000000001</v>
      </c>
      <c r="FH17" s="112">
        <v>0.36</v>
      </c>
      <c r="FI17" s="111"/>
      <c r="FJ17" s="113">
        <v>0.35</v>
      </c>
      <c r="FK17" s="111">
        <v>0.34</v>
      </c>
      <c r="FL17" s="114">
        <v>0.31</v>
      </c>
      <c r="FM17" s="111"/>
      <c r="FN17" s="115">
        <v>0.30099999999999999</v>
      </c>
      <c r="FO17" s="116"/>
      <c r="FP17" s="117">
        <v>0.313</v>
      </c>
      <c r="FQ17" s="116">
        <v>0.29599999999999999</v>
      </c>
      <c r="FR17" s="118">
        <v>0.376</v>
      </c>
      <c r="FS17" s="119">
        <v>0.41199999999999998</v>
      </c>
      <c r="FT17" s="118">
        <v>0.36299999999999999</v>
      </c>
      <c r="FU17" s="120">
        <v>0.36099999999999999</v>
      </c>
      <c r="FV17" s="118">
        <v>0.37</v>
      </c>
      <c r="FW17" s="121">
        <v>0.312</v>
      </c>
      <c r="FX17" s="118">
        <v>0.39100000000000001</v>
      </c>
      <c r="FY17" s="122">
        <v>0.4</v>
      </c>
      <c r="FZ17" s="118">
        <v>0.42799999999999999</v>
      </c>
      <c r="GA17" s="123">
        <v>0.35799999999999998</v>
      </c>
      <c r="GB17" s="118">
        <v>0.3</v>
      </c>
      <c r="GC17" s="45">
        <v>0.38</v>
      </c>
      <c r="GD17" s="124">
        <v>0.248</v>
      </c>
      <c r="GE17" s="125">
        <v>0.28999999999999998</v>
      </c>
      <c r="GF17" s="126">
        <v>0.27500000000000002</v>
      </c>
      <c r="GG17" s="124">
        <v>0.24299999999999999</v>
      </c>
      <c r="GH17" s="127">
        <v>0.26700000000000002</v>
      </c>
      <c r="GI17" s="124">
        <v>0.24199999999999999</v>
      </c>
      <c r="GJ17" s="128">
        <v>0.26500000000000001</v>
      </c>
      <c r="GK17" s="124">
        <v>0.25</v>
      </c>
      <c r="GL17" s="124">
        <v>0.24</v>
      </c>
      <c r="GM17" s="124">
        <v>0.25</v>
      </c>
      <c r="GN17" s="124">
        <v>0.28000000000000003</v>
      </c>
      <c r="GO17" s="124">
        <v>0.28000000000000003</v>
      </c>
      <c r="GP17" s="124">
        <v>0.25</v>
      </c>
      <c r="GQ17" s="124">
        <v>0.26</v>
      </c>
      <c r="GR17" s="124">
        <v>0.25</v>
      </c>
      <c r="GS17" s="124">
        <v>0.25</v>
      </c>
      <c r="GT17" s="92">
        <v>0.32</v>
      </c>
      <c r="GU17" s="92">
        <v>0.34</v>
      </c>
      <c r="GV17" s="130">
        <v>0.33</v>
      </c>
      <c r="GW17" s="91">
        <v>0.33800000000000002</v>
      </c>
      <c r="GX17" s="94">
        <v>0.36799999999999999</v>
      </c>
      <c r="GY17" s="92">
        <v>0.36399999999999999</v>
      </c>
      <c r="GZ17" s="90">
        <v>0.34499999999999997</v>
      </c>
      <c r="HA17" s="92">
        <v>0.35099999999999998</v>
      </c>
      <c r="HB17" s="91">
        <v>0.33600000000000002</v>
      </c>
      <c r="HC17" s="93">
        <v>0.32400000000000001</v>
      </c>
      <c r="HD17" s="92">
        <v>0.32600000000000001</v>
      </c>
      <c r="HE17" s="94">
        <v>0.38800000000000001</v>
      </c>
      <c r="HF17" s="92">
        <v>0.33400000000000002</v>
      </c>
      <c r="HG17" s="18"/>
      <c r="HH17" s="18"/>
    </row>
    <row r="18" spans="1:216" customFormat="1" x14ac:dyDescent="0.25">
      <c r="A18" t="s">
        <v>14</v>
      </c>
      <c r="B18" s="48">
        <v>0.65700000000000003</v>
      </c>
      <c r="C18" s="24">
        <v>0.68799999999999994</v>
      </c>
      <c r="D18" s="49">
        <v>0.69599999999999995</v>
      </c>
      <c r="E18" s="50">
        <v>0.69</v>
      </c>
      <c r="F18" s="24">
        <v>0.71799999999999997</v>
      </c>
      <c r="G18" s="51">
        <v>0.56299999999999994</v>
      </c>
      <c r="H18" s="24">
        <v>0.53500000000000003</v>
      </c>
      <c r="I18" s="49">
        <v>0.58699999999999997</v>
      </c>
      <c r="J18" s="24">
        <v>0.55800000000000005</v>
      </c>
      <c r="K18" s="48">
        <v>0.82399999999999995</v>
      </c>
      <c r="L18" s="24">
        <v>0.81799999999999995</v>
      </c>
      <c r="M18" s="50">
        <v>0.83</v>
      </c>
      <c r="N18" s="24">
        <v>0.57999999999999996</v>
      </c>
      <c r="O18" s="51">
        <v>0.52700000000000002</v>
      </c>
      <c r="P18" s="24">
        <v>0.56000000000000005</v>
      </c>
      <c r="Q18" s="24">
        <v>0.52800000000000002</v>
      </c>
      <c r="R18" s="52">
        <v>0.69</v>
      </c>
      <c r="S18" s="53">
        <v>0.57399999999999995</v>
      </c>
      <c r="T18" s="22">
        <v>0.69499999999999995</v>
      </c>
      <c r="U18" s="54">
        <v>0.64300000000000002</v>
      </c>
      <c r="V18" s="22">
        <v>0.60599999999999998</v>
      </c>
      <c r="W18" s="55">
        <v>0.71599999999999997</v>
      </c>
      <c r="X18" s="22">
        <v>0.54600000000000004</v>
      </c>
      <c r="Y18" s="52">
        <v>0.72</v>
      </c>
      <c r="Z18" s="22">
        <v>0.62</v>
      </c>
      <c r="AA18" s="56">
        <v>0.54</v>
      </c>
      <c r="AB18" s="22"/>
      <c r="AC18" s="22">
        <v>0.46899999999999997</v>
      </c>
      <c r="AD18" s="22">
        <v>0.57399999999999995</v>
      </c>
      <c r="AE18" s="22">
        <v>0.626</v>
      </c>
      <c r="AF18" s="22">
        <v>0.51</v>
      </c>
      <c r="AG18" s="57">
        <v>0.54200000000000004</v>
      </c>
      <c r="AH18" s="58">
        <v>0.48</v>
      </c>
      <c r="AI18" s="59">
        <v>0.36499999999999999</v>
      </c>
      <c r="AJ18" s="60">
        <v>0.38400000000000001</v>
      </c>
      <c r="AK18" s="61">
        <v>0.432</v>
      </c>
      <c r="AL18" s="60">
        <v>0.442</v>
      </c>
      <c r="AM18" s="60">
        <v>0.432</v>
      </c>
      <c r="AN18" s="60">
        <v>0.47699999999999998</v>
      </c>
      <c r="AO18" s="62">
        <v>0.43</v>
      </c>
      <c r="AP18" s="63">
        <v>0.44</v>
      </c>
      <c r="AQ18" s="64">
        <v>0.53600000000000003</v>
      </c>
      <c r="AR18" s="65">
        <v>0.57499999999999996</v>
      </c>
      <c r="AS18" s="64">
        <v>0.56699999999999995</v>
      </c>
      <c r="AT18" s="66">
        <v>0.57899999999999996</v>
      </c>
      <c r="AU18" s="64">
        <v>0.55300000000000005</v>
      </c>
      <c r="AV18" s="67">
        <v>0.58299999999999996</v>
      </c>
      <c r="AW18" s="63">
        <v>0.51100000000000001</v>
      </c>
      <c r="AX18" s="68">
        <v>0.60099999999999998</v>
      </c>
      <c r="AY18" s="69">
        <v>0.69099999999999995</v>
      </c>
      <c r="AZ18" s="68">
        <v>0.53800000000000003</v>
      </c>
      <c r="BA18" s="70">
        <v>0.63900000000000001</v>
      </c>
      <c r="BB18" s="68">
        <v>0.76</v>
      </c>
      <c r="BC18" s="71">
        <v>0.69299999999999995</v>
      </c>
      <c r="BD18" s="68">
        <v>0.755</v>
      </c>
      <c r="BE18" s="72">
        <v>0.78600000000000003</v>
      </c>
      <c r="BF18" s="68">
        <v>0.68600000000000005</v>
      </c>
      <c r="BG18" s="73"/>
      <c r="BH18" s="74"/>
      <c r="BI18" s="75">
        <v>0.77500000000000002</v>
      </c>
      <c r="BJ18" s="41">
        <v>0.71599999999999997</v>
      </c>
      <c r="BK18" s="76">
        <v>0.67400000000000004</v>
      </c>
      <c r="BL18" s="41">
        <v>0.70499999999999996</v>
      </c>
      <c r="BM18" s="77">
        <v>0.64400000000000002</v>
      </c>
      <c r="BN18" s="41">
        <v>0.6</v>
      </c>
      <c r="BO18" s="220">
        <v>0.62</v>
      </c>
      <c r="BP18" s="41">
        <v>0.61299999999999999</v>
      </c>
      <c r="BQ18" s="41">
        <v>0.67700000000000005</v>
      </c>
      <c r="BR18" s="220">
        <v>0.66</v>
      </c>
      <c r="BS18" s="78"/>
      <c r="BT18" s="79">
        <v>0.72199999999999998</v>
      </c>
      <c r="BU18" s="80">
        <v>0.75</v>
      </c>
      <c r="BV18" s="81">
        <v>0.55000000000000004</v>
      </c>
      <c r="BW18" s="20">
        <v>0.72</v>
      </c>
      <c r="BX18" s="82">
        <v>0.56999999999999995</v>
      </c>
      <c r="BY18" s="20">
        <v>0.54</v>
      </c>
      <c r="BZ18" s="83">
        <v>0.47</v>
      </c>
      <c r="CA18" s="20">
        <v>0.52</v>
      </c>
      <c r="CB18" s="20">
        <v>0.74</v>
      </c>
      <c r="CC18" s="84">
        <v>0.56399999999999995</v>
      </c>
      <c r="CD18" s="37">
        <v>0.66</v>
      </c>
      <c r="CE18" s="37">
        <v>0.69</v>
      </c>
      <c r="CF18" s="84">
        <v>0.81</v>
      </c>
      <c r="CG18" s="84">
        <v>0.74</v>
      </c>
      <c r="CH18" s="84">
        <v>0.74</v>
      </c>
      <c r="CI18" s="37">
        <v>0.85</v>
      </c>
      <c r="CJ18" s="37">
        <v>0.76</v>
      </c>
      <c r="CK18" s="84">
        <v>0.73</v>
      </c>
      <c r="CL18" s="37">
        <v>0.75</v>
      </c>
      <c r="CM18" s="87">
        <v>0.62</v>
      </c>
      <c r="CN18" s="88">
        <v>0.65</v>
      </c>
      <c r="CO18" s="89">
        <v>0.67</v>
      </c>
      <c r="CP18" s="88">
        <v>0.76</v>
      </c>
      <c r="CQ18" s="90">
        <v>0.77300000000000002</v>
      </c>
      <c r="CR18" s="91">
        <v>0.74399999999999999</v>
      </c>
      <c r="CS18" s="92">
        <v>0.72099999999999997</v>
      </c>
      <c r="CT18" s="93">
        <v>0.77</v>
      </c>
      <c r="CU18" s="92">
        <v>0.72</v>
      </c>
      <c r="CV18" s="94">
        <v>0.71</v>
      </c>
      <c r="CW18" s="243">
        <v>0.6</v>
      </c>
      <c r="CX18" s="244">
        <v>0.49</v>
      </c>
      <c r="CY18" s="245">
        <v>0.72</v>
      </c>
      <c r="CZ18" s="246"/>
      <c r="DA18" s="247">
        <v>0.58799999999999997</v>
      </c>
      <c r="DB18" s="246"/>
      <c r="DC18" s="248">
        <v>0.63400000000000001</v>
      </c>
      <c r="DD18" s="246">
        <v>0.59</v>
      </c>
      <c r="DE18" s="246">
        <v>0.57999999999999996</v>
      </c>
      <c r="DF18" s="253">
        <v>0.53</v>
      </c>
      <c r="DG18" s="246">
        <v>0.59</v>
      </c>
      <c r="DH18" s="253">
        <v>0.57999999999999996</v>
      </c>
      <c r="DI18" s="246">
        <v>0.59</v>
      </c>
      <c r="DJ18" s="95">
        <v>0.61</v>
      </c>
      <c r="DK18" s="96">
        <v>0.62</v>
      </c>
      <c r="DL18" s="97">
        <v>0.66</v>
      </c>
      <c r="DM18" s="98">
        <v>0.65</v>
      </c>
      <c r="DN18" s="96">
        <v>0.65</v>
      </c>
      <c r="DO18" s="99">
        <v>0.65</v>
      </c>
      <c r="DP18" s="96">
        <v>0.53</v>
      </c>
      <c r="DQ18" s="96">
        <v>0.53</v>
      </c>
      <c r="DR18" s="96">
        <v>0.67600000000000005</v>
      </c>
      <c r="DS18" s="96">
        <v>0.70699999999999996</v>
      </c>
      <c r="DT18" s="41">
        <v>0.45200000000000001</v>
      </c>
      <c r="DU18" s="41">
        <v>0.54600000000000004</v>
      </c>
      <c r="DV18" s="41">
        <v>0.52200000000000002</v>
      </c>
      <c r="DW18" s="41">
        <v>0.51800000000000002</v>
      </c>
      <c r="DX18" s="41"/>
      <c r="DY18" s="41">
        <v>0.53200000000000003</v>
      </c>
      <c r="DZ18" s="41">
        <v>0.52600000000000002</v>
      </c>
      <c r="EA18" s="41">
        <v>0.48499999999999999</v>
      </c>
      <c r="EB18" s="41">
        <v>0.52900000000000003</v>
      </c>
      <c r="EC18" s="41">
        <v>0.50700000000000001</v>
      </c>
      <c r="ED18" s="41">
        <v>0.498</v>
      </c>
      <c r="EE18" s="100">
        <v>0.80200000000000005</v>
      </c>
      <c r="EF18" s="101">
        <v>0.875</v>
      </c>
      <c r="EG18" s="100"/>
      <c r="EH18" s="102">
        <v>0.85099999999999998</v>
      </c>
      <c r="EI18" s="100">
        <v>0.65200000000000002</v>
      </c>
      <c r="EJ18" s="103">
        <v>0.8</v>
      </c>
      <c r="EK18" s="100">
        <v>0.61</v>
      </c>
      <c r="EL18" s="104">
        <v>0.63900000000000001</v>
      </c>
      <c r="EM18" s="100">
        <v>0.65600000000000003</v>
      </c>
      <c r="EN18" s="105">
        <v>0.63300000000000001</v>
      </c>
      <c r="EO18" s="100">
        <v>0.68500000000000005</v>
      </c>
      <c r="EP18" s="100">
        <v>0.72799999999999998</v>
      </c>
      <c r="EQ18" s="100">
        <v>0.72799999999999998</v>
      </c>
      <c r="ER18" s="100">
        <v>0.70499999999999996</v>
      </c>
      <c r="ES18" s="106">
        <v>0.70099999999999996</v>
      </c>
      <c r="ET18" s="107">
        <v>0.67400000000000004</v>
      </c>
      <c r="EU18" s="106">
        <v>0.55400000000000005</v>
      </c>
      <c r="EV18" s="108">
        <v>0.61399999999999999</v>
      </c>
      <c r="EW18" s="106">
        <v>0.61699999999999999</v>
      </c>
      <c r="EX18" s="109">
        <v>0.56000000000000005</v>
      </c>
      <c r="EY18" s="106">
        <v>0.54500000000000004</v>
      </c>
      <c r="EZ18" s="110">
        <v>0.78500000000000003</v>
      </c>
      <c r="FA18" s="106">
        <v>0.75800000000000001</v>
      </c>
      <c r="FB18" s="107">
        <v>0.68899999999999995</v>
      </c>
      <c r="FC18" s="106">
        <v>0.6</v>
      </c>
      <c r="FD18" s="106">
        <v>0.54500000000000004</v>
      </c>
      <c r="FE18" s="106">
        <v>0.622</v>
      </c>
      <c r="FF18" s="106">
        <v>0.65400000000000003</v>
      </c>
      <c r="FG18" s="111"/>
      <c r="FH18" s="112"/>
      <c r="FI18" s="111"/>
      <c r="FJ18" s="113"/>
      <c r="FK18" s="111"/>
      <c r="FL18" s="114">
        <v>0.5</v>
      </c>
      <c r="FM18" s="111">
        <v>0.55000000000000004</v>
      </c>
      <c r="FN18" s="115">
        <v>0.58799999999999997</v>
      </c>
      <c r="FO18" s="116">
        <v>0.59</v>
      </c>
      <c r="FP18" s="117">
        <v>0.58099999999999996</v>
      </c>
      <c r="FQ18" s="116">
        <v>0.53100000000000003</v>
      </c>
      <c r="FR18" s="118">
        <v>0.89600000000000002</v>
      </c>
      <c r="FS18" s="119">
        <v>0.95199999999999996</v>
      </c>
      <c r="FT18" s="118">
        <v>0.94399999999999995</v>
      </c>
      <c r="FU18" s="120">
        <v>0.77200000000000002</v>
      </c>
      <c r="FV18" s="118">
        <v>0.79600000000000004</v>
      </c>
      <c r="FW18" s="121">
        <v>0.78900000000000003</v>
      </c>
      <c r="FX18" s="118">
        <v>0.89500000000000002</v>
      </c>
      <c r="FY18" s="122">
        <v>0.90900000000000003</v>
      </c>
      <c r="FZ18" s="118">
        <v>0.94299999999999995</v>
      </c>
      <c r="GA18" s="123">
        <v>0.79400000000000004</v>
      </c>
      <c r="GB18" s="118">
        <v>0.9</v>
      </c>
      <c r="GC18" s="45">
        <v>0.74</v>
      </c>
      <c r="GD18" s="124">
        <v>0.46</v>
      </c>
      <c r="GE18" s="125">
        <v>0.6</v>
      </c>
      <c r="GF18" s="126">
        <v>0.46300000000000002</v>
      </c>
      <c r="GG18" s="124">
        <v>0.49099999999999999</v>
      </c>
      <c r="GH18" s="127">
        <v>0.50900000000000001</v>
      </c>
      <c r="GI18" s="124">
        <v>0.47299999999999998</v>
      </c>
      <c r="GJ18" s="128">
        <v>0.54400000000000004</v>
      </c>
      <c r="GK18" s="124">
        <v>0.48</v>
      </c>
      <c r="GL18" s="124">
        <v>0.46</v>
      </c>
      <c r="GM18" s="124">
        <v>0.49</v>
      </c>
      <c r="GN18" s="124">
        <v>0.51</v>
      </c>
      <c r="GO18" s="124">
        <v>0.49</v>
      </c>
      <c r="GP18" s="124">
        <v>0.48</v>
      </c>
      <c r="GQ18" s="124">
        <v>0.48</v>
      </c>
      <c r="GR18" s="124">
        <v>0.49</v>
      </c>
      <c r="GS18" s="124">
        <v>0.48</v>
      </c>
      <c r="GT18" s="92">
        <v>0.68300000000000005</v>
      </c>
      <c r="GU18" s="92">
        <v>0.68</v>
      </c>
      <c r="GV18" s="130">
        <v>0.76100000000000001</v>
      </c>
      <c r="GW18" s="91">
        <v>0.56299999999999994</v>
      </c>
      <c r="GX18" s="94">
        <v>0.752</v>
      </c>
      <c r="GY18" s="92">
        <v>0.63900000000000001</v>
      </c>
      <c r="GZ18" s="90">
        <v>0.64100000000000001</v>
      </c>
      <c r="HA18" s="92">
        <v>0.753</v>
      </c>
      <c r="HB18" s="91">
        <v>0.67600000000000005</v>
      </c>
      <c r="HC18" s="93">
        <v>0.57499999999999996</v>
      </c>
      <c r="HD18" s="92">
        <v>0.66300000000000003</v>
      </c>
      <c r="HE18" s="94">
        <v>0.83399999999999996</v>
      </c>
      <c r="HF18" s="92">
        <v>0.69799999999999995</v>
      </c>
      <c r="HG18" s="18"/>
      <c r="HH18" s="18"/>
    </row>
    <row r="19" spans="1:216" customFormat="1" x14ac:dyDescent="0.25">
      <c r="A19" t="s">
        <v>13</v>
      </c>
      <c r="B19" s="48">
        <v>0.12</v>
      </c>
      <c r="C19" s="24">
        <v>0.17199999999999999</v>
      </c>
      <c r="D19" s="49">
        <v>0.123</v>
      </c>
      <c r="E19" s="50">
        <v>0.125</v>
      </c>
      <c r="F19" s="24">
        <v>0.14799999999999999</v>
      </c>
      <c r="G19" s="51">
        <v>0.128</v>
      </c>
      <c r="H19" s="24">
        <v>0.115</v>
      </c>
      <c r="I19" s="49">
        <v>0.13600000000000001</v>
      </c>
      <c r="J19" s="24">
        <v>0.11700000000000001</v>
      </c>
      <c r="K19" s="48">
        <v>0.123</v>
      </c>
      <c r="L19" s="24">
        <v>0.14799999999999999</v>
      </c>
      <c r="M19" s="50">
        <v>0.16800000000000001</v>
      </c>
      <c r="N19" s="24">
        <v>0.14000000000000001</v>
      </c>
      <c r="O19" s="51">
        <v>0.125</v>
      </c>
      <c r="P19" s="24">
        <v>0.13700000000000001</v>
      </c>
      <c r="Q19" s="24">
        <v>0.13600000000000001</v>
      </c>
      <c r="R19" s="52">
        <v>0.13600000000000001</v>
      </c>
      <c r="S19" s="53">
        <v>0.11</v>
      </c>
      <c r="T19" s="22">
        <v>0.13600000000000001</v>
      </c>
      <c r="U19" s="54">
        <v>0.126</v>
      </c>
      <c r="V19" s="22">
        <v>0.12</v>
      </c>
      <c r="W19" s="55">
        <v>0.13600000000000001</v>
      </c>
      <c r="X19" s="22">
        <v>0.10299999999999999</v>
      </c>
      <c r="Y19" s="52">
        <v>0.15</v>
      </c>
      <c r="Z19" s="22">
        <v>0.13</v>
      </c>
      <c r="AA19" s="56">
        <v>0.11</v>
      </c>
      <c r="AB19" s="22"/>
      <c r="AC19" s="22">
        <v>0.11</v>
      </c>
      <c r="AD19" s="22">
        <v>0.15</v>
      </c>
      <c r="AE19" s="22">
        <v>0.16</v>
      </c>
      <c r="AF19" s="22">
        <v>0.13</v>
      </c>
      <c r="AG19" s="57">
        <v>8.3000000000000004E-2</v>
      </c>
      <c r="AH19" s="58">
        <v>8.4000000000000005E-2</v>
      </c>
      <c r="AI19" s="59">
        <v>6.4000000000000001E-2</v>
      </c>
      <c r="AJ19" s="60">
        <v>6.6000000000000003E-2</v>
      </c>
      <c r="AK19" s="61">
        <v>7.0999999999999994E-2</v>
      </c>
      <c r="AL19" s="60">
        <v>7.6999999999999999E-2</v>
      </c>
      <c r="AM19" s="60">
        <v>7.0000000000000007E-2</v>
      </c>
      <c r="AN19" s="60">
        <v>6.2E-2</v>
      </c>
      <c r="AO19" s="62">
        <v>0.13</v>
      </c>
      <c r="AP19" s="63">
        <v>0.12</v>
      </c>
      <c r="AQ19" s="64">
        <v>0.112</v>
      </c>
      <c r="AR19" s="65">
        <v>0.114</v>
      </c>
      <c r="AS19" s="64">
        <v>0.123</v>
      </c>
      <c r="AT19" s="66">
        <v>0.105</v>
      </c>
      <c r="AU19" s="64">
        <v>0.13500000000000001</v>
      </c>
      <c r="AV19" s="67">
        <v>0.13700000000000001</v>
      </c>
      <c r="AW19" s="63">
        <v>0.114</v>
      </c>
      <c r="AX19" s="68">
        <v>0.111</v>
      </c>
      <c r="AY19" s="69">
        <v>0.11600000000000001</v>
      </c>
      <c r="AZ19" s="68">
        <v>0.109</v>
      </c>
      <c r="BA19" s="70">
        <v>0.127</v>
      </c>
      <c r="BB19" s="68">
        <v>0.10199999999999999</v>
      </c>
      <c r="BC19" s="71">
        <v>9.7000000000000003E-2</v>
      </c>
      <c r="BD19" s="68">
        <v>9.7000000000000003E-2</v>
      </c>
      <c r="BE19" s="72">
        <v>0.10100000000000001</v>
      </c>
      <c r="BF19" s="68">
        <v>0.12</v>
      </c>
      <c r="BG19" s="73"/>
      <c r="BH19" s="74"/>
      <c r="BI19" s="75">
        <v>0.161</v>
      </c>
      <c r="BJ19" s="41">
        <v>0.114</v>
      </c>
      <c r="BK19" s="76">
        <v>0.105</v>
      </c>
      <c r="BL19" s="41">
        <v>0.124</v>
      </c>
      <c r="BM19" s="77">
        <v>0.10199999999999999</v>
      </c>
      <c r="BN19" s="41">
        <v>0.13100000000000001</v>
      </c>
      <c r="BO19" s="220">
        <v>0.12</v>
      </c>
      <c r="BP19" s="41">
        <v>0.13</v>
      </c>
      <c r="BQ19" s="41">
        <v>0.15</v>
      </c>
      <c r="BR19" s="220">
        <v>0.15</v>
      </c>
      <c r="BS19" s="78"/>
      <c r="BT19" s="79">
        <v>0.14499999999999999</v>
      </c>
      <c r="BU19" s="80"/>
      <c r="BV19" s="81">
        <v>0.11</v>
      </c>
      <c r="BW19" s="20">
        <v>0.13</v>
      </c>
      <c r="BX19" s="82">
        <v>0.13</v>
      </c>
      <c r="BY19" s="20">
        <v>0.12</v>
      </c>
      <c r="BZ19" s="83">
        <v>0.11</v>
      </c>
      <c r="CA19" s="20">
        <v>0.1</v>
      </c>
      <c r="CB19" s="20">
        <v>0.14499999999999999</v>
      </c>
      <c r="CC19" s="84">
        <v>0.125</v>
      </c>
      <c r="CD19" s="37">
        <v>0.14000000000000001</v>
      </c>
      <c r="CE19" s="37">
        <v>0.14000000000000001</v>
      </c>
      <c r="CF19" s="84">
        <v>0.1</v>
      </c>
      <c r="CG19" s="84">
        <v>0.1</v>
      </c>
      <c r="CH19" s="84">
        <v>0.1</v>
      </c>
      <c r="CI19" s="37">
        <v>0.12</v>
      </c>
      <c r="CJ19" s="37">
        <v>0.12</v>
      </c>
      <c r="CK19" s="84">
        <v>0.1</v>
      </c>
      <c r="CL19" s="37">
        <v>0.13</v>
      </c>
      <c r="CM19" s="87">
        <v>0.125</v>
      </c>
      <c r="CN19" s="88">
        <v>0.125</v>
      </c>
      <c r="CO19" s="89">
        <v>0.14000000000000001</v>
      </c>
      <c r="CP19" s="88">
        <v>0.14499999999999999</v>
      </c>
      <c r="CQ19" s="90">
        <v>7.4899999999999994E-2</v>
      </c>
      <c r="CR19" s="91">
        <v>0.11899999999999999</v>
      </c>
      <c r="CS19" s="92">
        <v>0.14199999999999999</v>
      </c>
      <c r="CT19" s="93">
        <v>0.12</v>
      </c>
      <c r="CU19" s="92">
        <v>0.11</v>
      </c>
      <c r="CV19" s="94">
        <v>0.11</v>
      </c>
      <c r="CW19" s="243">
        <v>9.9000000000000005E-2</v>
      </c>
      <c r="CX19" s="244">
        <v>8.1000000000000003E-2</v>
      </c>
      <c r="CY19" s="245">
        <v>0.122</v>
      </c>
      <c r="CZ19" s="246"/>
      <c r="DA19" s="247">
        <v>7.4999999999999997E-2</v>
      </c>
      <c r="DB19" s="246"/>
      <c r="DC19" s="248">
        <v>8.1000000000000003E-2</v>
      </c>
      <c r="DD19" s="246">
        <v>0.1</v>
      </c>
      <c r="DE19" s="246">
        <v>0.1</v>
      </c>
      <c r="DF19" s="253">
        <v>7.0000000000000007E-2</v>
      </c>
      <c r="DG19" s="246">
        <v>0.1</v>
      </c>
      <c r="DH19" s="253">
        <v>0.09</v>
      </c>
      <c r="DI19" s="246">
        <v>0.1</v>
      </c>
      <c r="DJ19" s="95">
        <v>0.1</v>
      </c>
      <c r="DK19" s="96">
        <v>0.1</v>
      </c>
      <c r="DL19" s="97">
        <v>0.11</v>
      </c>
      <c r="DM19" s="98">
        <v>9.6000000000000002E-2</v>
      </c>
      <c r="DN19" s="96">
        <v>9.9000000000000005E-2</v>
      </c>
      <c r="DO19" s="99">
        <v>0.13</v>
      </c>
      <c r="DP19" s="96">
        <v>0.12</v>
      </c>
      <c r="DQ19" s="96">
        <v>0.12</v>
      </c>
      <c r="DR19" s="96">
        <v>0.14000000000000001</v>
      </c>
      <c r="DS19" s="96">
        <v>0.13600000000000001</v>
      </c>
      <c r="DT19" s="41">
        <v>8.6999999999999994E-2</v>
      </c>
      <c r="DU19" s="41">
        <v>0.106</v>
      </c>
      <c r="DV19" s="41">
        <v>0.107</v>
      </c>
      <c r="DW19" s="41">
        <v>0.12</v>
      </c>
      <c r="DX19" s="41"/>
      <c r="DY19" s="41">
        <v>0.1</v>
      </c>
      <c r="DZ19" s="41">
        <v>9.8000000000000004E-2</v>
      </c>
      <c r="EA19" s="41">
        <v>0.01</v>
      </c>
      <c r="EB19" s="41">
        <v>0.1</v>
      </c>
      <c r="EC19" s="41">
        <v>9.6000000000000002E-2</v>
      </c>
      <c r="ED19" s="41">
        <v>0.09</v>
      </c>
      <c r="EE19" s="100">
        <v>0.14599999999999999</v>
      </c>
      <c r="EF19" s="101">
        <v>0.14899999999999999</v>
      </c>
      <c r="EG19" s="100"/>
      <c r="EH19" s="102">
        <v>0.126</v>
      </c>
      <c r="EI19" s="100">
        <v>0.14000000000000001</v>
      </c>
      <c r="EJ19" s="103">
        <v>0.159</v>
      </c>
      <c r="EK19" s="100">
        <v>0.13400000000000001</v>
      </c>
      <c r="EL19" s="104">
        <v>0.161</v>
      </c>
      <c r="EM19" s="100">
        <v>0.16400000000000001</v>
      </c>
      <c r="EN19" s="105">
        <v>0.152</v>
      </c>
      <c r="EO19" s="100">
        <v>0.16200000000000001</v>
      </c>
      <c r="EP19" s="100">
        <v>0.16300000000000001</v>
      </c>
      <c r="EQ19" s="100">
        <v>0.16300000000000001</v>
      </c>
      <c r="ER19" s="100">
        <v>0.17100000000000001</v>
      </c>
      <c r="ES19" s="106">
        <v>0.15</v>
      </c>
      <c r="ET19" s="107">
        <v>0.14499999999999999</v>
      </c>
      <c r="EU19" s="106">
        <v>0.111</v>
      </c>
      <c r="EV19" s="108">
        <v>0.125</v>
      </c>
      <c r="EW19" s="106">
        <v>0.13800000000000001</v>
      </c>
      <c r="EX19" s="109">
        <v>0.128</v>
      </c>
      <c r="EY19" s="106">
        <v>0.11799999999999999</v>
      </c>
      <c r="EZ19" s="110">
        <v>0.14199999999999999</v>
      </c>
      <c r="FA19" s="106">
        <v>0.13600000000000001</v>
      </c>
      <c r="FB19" s="107">
        <v>0.13900000000000001</v>
      </c>
      <c r="FC19" s="106">
        <v>0.13600000000000001</v>
      </c>
      <c r="FD19" s="106">
        <v>0.128</v>
      </c>
      <c r="FE19" s="106">
        <v>0.13300000000000001</v>
      </c>
      <c r="FF19" s="106">
        <v>0.14399999999999999</v>
      </c>
      <c r="FG19" s="111"/>
      <c r="FH19" s="112"/>
      <c r="FI19" s="111"/>
      <c r="FJ19" s="113"/>
      <c r="FK19" s="111"/>
      <c r="FL19" s="114">
        <v>0.14799999999999999</v>
      </c>
      <c r="FM19" s="111">
        <v>0.15</v>
      </c>
      <c r="FN19" s="115">
        <v>0.14399999999999999</v>
      </c>
      <c r="FO19" s="116">
        <v>0.14399999999999999</v>
      </c>
      <c r="FP19" s="117">
        <v>0.155</v>
      </c>
      <c r="FQ19" s="116">
        <v>0.13500000000000001</v>
      </c>
      <c r="FR19" s="118">
        <v>0.14099999999999999</v>
      </c>
      <c r="FS19" s="119">
        <v>0.13800000000000001</v>
      </c>
      <c r="FT19" s="118">
        <v>0.14799999999999999</v>
      </c>
      <c r="FU19" s="120">
        <v>0.14000000000000001</v>
      </c>
      <c r="FV19" s="118">
        <v>0.11899999999999999</v>
      </c>
      <c r="FW19" s="121">
        <v>0.10299999999999999</v>
      </c>
      <c r="FX19" s="118">
        <v>0.13300000000000001</v>
      </c>
      <c r="FY19" s="122">
        <v>0.13300000000000001</v>
      </c>
      <c r="FZ19" s="118">
        <v>0.13500000000000001</v>
      </c>
      <c r="GA19" s="123">
        <v>0.14199999999999999</v>
      </c>
      <c r="GB19" s="118">
        <v>0.18</v>
      </c>
      <c r="GC19" s="45">
        <v>0.11</v>
      </c>
      <c r="GD19" s="124">
        <v>5.2999999999999999E-2</v>
      </c>
      <c r="GE19" s="125">
        <v>9.1999999999999998E-2</v>
      </c>
      <c r="GF19" s="126">
        <v>6.5000000000000002E-2</v>
      </c>
      <c r="GG19" s="124">
        <v>7.2999999999999995E-2</v>
      </c>
      <c r="GH19" s="127">
        <v>6.4000000000000001E-2</v>
      </c>
      <c r="GI19" s="124">
        <v>6.5000000000000002E-2</v>
      </c>
      <c r="GJ19" s="128">
        <v>7.0999999999999994E-2</v>
      </c>
      <c r="GK19" s="124">
        <v>7.0000000000000007E-2</v>
      </c>
      <c r="GL19" s="124">
        <v>7.0000000000000007E-2</v>
      </c>
      <c r="GM19" s="124">
        <v>0.06</v>
      </c>
      <c r="GN19" s="124">
        <v>7.0000000000000007E-2</v>
      </c>
      <c r="GO19" s="124">
        <v>0.08</v>
      </c>
      <c r="GP19" s="124">
        <v>0.09</v>
      </c>
      <c r="GQ19" s="124">
        <v>7.0000000000000007E-2</v>
      </c>
      <c r="GR19" s="124">
        <v>7.0000000000000007E-2</v>
      </c>
      <c r="GS19" s="124">
        <v>7.0000000000000007E-2</v>
      </c>
      <c r="GT19" s="92">
        <v>0.13900000000000001</v>
      </c>
      <c r="GU19" s="92">
        <v>0.157</v>
      </c>
      <c r="GV19" s="130">
        <v>0.17399999999999999</v>
      </c>
      <c r="GW19" s="91">
        <v>0.126</v>
      </c>
      <c r="GX19" s="94">
        <v>0.127</v>
      </c>
      <c r="GY19" s="92">
        <v>0.16700000000000001</v>
      </c>
      <c r="GZ19" s="90">
        <v>0.17399999999999999</v>
      </c>
      <c r="HA19" s="92">
        <v>0.12</v>
      </c>
      <c r="HB19" s="91">
        <v>0.13600000000000001</v>
      </c>
      <c r="HC19" s="93">
        <v>0.125</v>
      </c>
      <c r="HD19" s="92">
        <v>0.121</v>
      </c>
      <c r="HE19" s="94">
        <v>0.155</v>
      </c>
      <c r="HF19" s="92">
        <v>0.14099999999999999</v>
      </c>
      <c r="HG19" s="18"/>
      <c r="HH19" s="18"/>
    </row>
    <row r="20" spans="1:216" customFormat="1" x14ac:dyDescent="0.25">
      <c r="A20" t="s">
        <v>12</v>
      </c>
      <c r="B20" s="48">
        <v>0.43099999999999999</v>
      </c>
      <c r="C20" s="24">
        <v>0.47899999999999998</v>
      </c>
      <c r="D20" s="49">
        <v>0.45100000000000001</v>
      </c>
      <c r="E20" s="50">
        <v>0.46200000000000002</v>
      </c>
      <c r="F20" s="24">
        <v>0.47099999999999997</v>
      </c>
      <c r="G20" s="51">
        <v>0.38700000000000001</v>
      </c>
      <c r="H20" s="24">
        <v>0.36399999999999999</v>
      </c>
      <c r="I20" s="49">
        <v>0.35299999999999998</v>
      </c>
      <c r="J20" s="24">
        <v>0.35399999999999998</v>
      </c>
      <c r="K20" s="48">
        <v>0.52400000000000002</v>
      </c>
      <c r="L20" s="24">
        <v>0.54200000000000004</v>
      </c>
      <c r="M20" s="50">
        <v>0.47199999999999998</v>
      </c>
      <c r="N20" s="24">
        <v>0.34300000000000003</v>
      </c>
      <c r="O20" s="51"/>
      <c r="P20" s="24">
        <v>0.35299999999999998</v>
      </c>
      <c r="Q20" s="24">
        <v>0.318</v>
      </c>
      <c r="R20" s="52">
        <v>0.45</v>
      </c>
      <c r="S20" s="53">
        <v>0.44</v>
      </c>
      <c r="T20" s="22">
        <v>0.44</v>
      </c>
      <c r="U20" s="54">
        <v>0.42799999999999999</v>
      </c>
      <c r="V20" s="22">
        <v>0.40100000000000002</v>
      </c>
      <c r="W20" s="55">
        <v>0.42</v>
      </c>
      <c r="X20" s="22">
        <v>0.36199999999999999</v>
      </c>
      <c r="Y20" s="52">
        <v>0.38</v>
      </c>
      <c r="Z20" s="22">
        <v>0.4</v>
      </c>
      <c r="AA20" s="56">
        <v>0.33</v>
      </c>
      <c r="AB20" s="22">
        <v>0.34</v>
      </c>
      <c r="AC20" s="22">
        <v>0.28000000000000003</v>
      </c>
      <c r="AD20" s="22">
        <v>0.30599999999999999</v>
      </c>
      <c r="AE20" s="22">
        <v>0.36499999999999999</v>
      </c>
      <c r="AF20" s="22">
        <v>0.33600000000000002</v>
      </c>
      <c r="AG20" s="57">
        <v>0.33700000000000002</v>
      </c>
      <c r="AH20" s="58">
        <v>0.35</v>
      </c>
      <c r="AI20" s="59">
        <v>0.26900000000000002</v>
      </c>
      <c r="AJ20" s="60">
        <v>0.26</v>
      </c>
      <c r="AK20" s="61">
        <v>0.26500000000000001</v>
      </c>
      <c r="AL20" s="60">
        <v>0.30199999999999999</v>
      </c>
      <c r="AM20" s="60">
        <v>0.28799999999999998</v>
      </c>
      <c r="AN20" s="60">
        <v>0.317</v>
      </c>
      <c r="AO20" s="62">
        <v>0.3</v>
      </c>
      <c r="AP20" s="63">
        <v>0.28999999999999998</v>
      </c>
      <c r="AQ20" s="64">
        <v>0.38</v>
      </c>
      <c r="AR20" s="65">
        <v>0.374</v>
      </c>
      <c r="AS20" s="64">
        <v>0.38100000000000001</v>
      </c>
      <c r="AT20" s="66">
        <v>0.38400000000000001</v>
      </c>
      <c r="AU20" s="64">
        <v>0.36399999999999999</v>
      </c>
      <c r="AV20" s="67">
        <v>0.375</v>
      </c>
      <c r="AW20" s="63">
        <v>0.32</v>
      </c>
      <c r="AX20" s="68">
        <v>0.35799999999999998</v>
      </c>
      <c r="AY20" s="69">
        <v>0.39800000000000002</v>
      </c>
      <c r="AZ20" s="68">
        <v>0.41499999999999998</v>
      </c>
      <c r="BA20" s="70">
        <v>0.40699999999999997</v>
      </c>
      <c r="BB20" s="68">
        <v>0.48299999999999998</v>
      </c>
      <c r="BC20" s="71">
        <v>0.433</v>
      </c>
      <c r="BD20" s="68">
        <v>0.47099999999999997</v>
      </c>
      <c r="BE20" s="72">
        <v>0.48399999999999999</v>
      </c>
      <c r="BF20" s="68">
        <v>0.41199999999999998</v>
      </c>
      <c r="BG20" s="73"/>
      <c r="BH20" s="74"/>
      <c r="BI20" s="75">
        <v>0.49</v>
      </c>
      <c r="BJ20" s="41">
        <v>0.496</v>
      </c>
      <c r="BK20" s="76">
        <v>0.48899999999999999</v>
      </c>
      <c r="BL20" s="41">
        <v>0.41299999999999998</v>
      </c>
      <c r="BM20" s="77">
        <v>0.46300000000000002</v>
      </c>
      <c r="BN20" s="41">
        <v>0.35399999999999998</v>
      </c>
      <c r="BO20" s="41">
        <v>0.371</v>
      </c>
      <c r="BP20" s="220">
        <v>0.39</v>
      </c>
      <c r="BQ20" s="41">
        <v>0.4</v>
      </c>
      <c r="BR20" s="41">
        <v>0.4</v>
      </c>
      <c r="BS20" s="78"/>
      <c r="BT20" s="79">
        <v>0.45600000000000002</v>
      </c>
      <c r="BU20" s="80"/>
      <c r="BV20" s="81">
        <v>0.33</v>
      </c>
      <c r="BW20" s="20">
        <v>0.48</v>
      </c>
      <c r="BX20" s="82">
        <v>0.39</v>
      </c>
      <c r="BY20" s="20"/>
      <c r="BZ20" s="83">
        <v>0.28000000000000003</v>
      </c>
      <c r="CA20" s="20">
        <v>0.28999999999999998</v>
      </c>
      <c r="CB20" s="20">
        <v>0.44700000000000001</v>
      </c>
      <c r="CC20" s="84">
        <v>0.36099999999999999</v>
      </c>
      <c r="CD20" s="37">
        <v>0.41</v>
      </c>
      <c r="CE20" s="37">
        <v>0.37</v>
      </c>
      <c r="CF20" s="84">
        <v>0.51</v>
      </c>
      <c r="CG20" s="84">
        <v>0.46</v>
      </c>
      <c r="CH20" s="84">
        <v>0.43</v>
      </c>
      <c r="CI20" s="37">
        <v>0.52</v>
      </c>
      <c r="CJ20" s="37">
        <v>0.45</v>
      </c>
      <c r="CK20" s="84">
        <v>0.45</v>
      </c>
      <c r="CL20" s="37">
        <v>0.45</v>
      </c>
      <c r="CM20" s="87">
        <v>0.41</v>
      </c>
      <c r="CN20" s="88">
        <v>0.42</v>
      </c>
      <c r="CO20" s="89">
        <v>0.47</v>
      </c>
      <c r="CP20" s="88"/>
      <c r="CQ20" s="90">
        <v>0.433</v>
      </c>
      <c r="CR20" s="91">
        <v>0.47</v>
      </c>
      <c r="CS20" s="92">
        <v>0.438</v>
      </c>
      <c r="CT20" s="93">
        <v>0.44</v>
      </c>
      <c r="CU20" s="92">
        <v>0.42</v>
      </c>
      <c r="CV20" s="94">
        <v>0.45</v>
      </c>
      <c r="CW20" s="243">
        <v>0.38</v>
      </c>
      <c r="CX20" s="244">
        <v>0.34</v>
      </c>
      <c r="CY20" s="245"/>
      <c r="CZ20" s="246">
        <v>0.41599999999999998</v>
      </c>
      <c r="DA20" s="247">
        <v>0.41799999999999998</v>
      </c>
      <c r="DB20" s="246">
        <v>0.41</v>
      </c>
      <c r="DC20" s="248">
        <v>0.42199999999999999</v>
      </c>
      <c r="DD20" s="246">
        <v>0.36</v>
      </c>
      <c r="DE20" s="246">
        <v>0.35</v>
      </c>
      <c r="DF20" s="253">
        <v>0.36</v>
      </c>
      <c r="DG20" s="246">
        <v>0.38</v>
      </c>
      <c r="DH20" s="253">
        <v>0.34</v>
      </c>
      <c r="DI20" s="246">
        <v>0.36</v>
      </c>
      <c r="DJ20" s="95">
        <v>0.42</v>
      </c>
      <c r="DK20" s="96">
        <v>0.44</v>
      </c>
      <c r="DL20" s="97">
        <v>0.45</v>
      </c>
      <c r="DM20" s="98">
        <v>0.44</v>
      </c>
      <c r="DN20" s="96">
        <v>0.45</v>
      </c>
      <c r="DO20" s="99">
        <v>0.43</v>
      </c>
      <c r="DP20" s="96"/>
      <c r="DQ20" s="96">
        <v>0.51</v>
      </c>
      <c r="DR20" s="96">
        <v>0.47</v>
      </c>
      <c r="DS20" s="96">
        <v>0.49</v>
      </c>
      <c r="DT20" s="41">
        <v>0.27400000000000002</v>
      </c>
      <c r="DU20" s="41">
        <v>0.32100000000000001</v>
      </c>
      <c r="DV20" s="41">
        <v>0.29099999999999998</v>
      </c>
      <c r="DW20" s="41"/>
      <c r="DX20" s="41">
        <v>0.31900000000000001</v>
      </c>
      <c r="DY20" s="41">
        <v>0.317</v>
      </c>
      <c r="DZ20" s="41">
        <v>0.33200000000000002</v>
      </c>
      <c r="EA20" s="41">
        <v>0.312</v>
      </c>
      <c r="EB20" s="41">
        <v>0.33</v>
      </c>
      <c r="EC20" s="41">
        <v>0.30099999999999999</v>
      </c>
      <c r="ED20" s="41">
        <v>0.31</v>
      </c>
      <c r="EE20" s="100">
        <v>0.52400000000000002</v>
      </c>
      <c r="EF20" s="101">
        <v>0.57899999999999996</v>
      </c>
      <c r="EG20" s="100">
        <v>0.51</v>
      </c>
      <c r="EH20" s="102">
        <v>0.51900000000000002</v>
      </c>
      <c r="EI20" s="100">
        <v>0.41499999999999998</v>
      </c>
      <c r="EJ20" s="103">
        <v>0.499</v>
      </c>
      <c r="EK20" s="100">
        <v>0.41099999999999998</v>
      </c>
      <c r="EL20" s="104">
        <v>0.44700000000000001</v>
      </c>
      <c r="EM20" s="100">
        <v>0.438</v>
      </c>
      <c r="EN20" s="105">
        <v>0.40899999999999997</v>
      </c>
      <c r="EO20" s="100">
        <v>0.438</v>
      </c>
      <c r="EP20" s="100">
        <v>0.45500000000000002</v>
      </c>
      <c r="EQ20" s="100">
        <v>0.48299999999999998</v>
      </c>
      <c r="ER20" s="100">
        <v>0.46100000000000002</v>
      </c>
      <c r="ES20" s="106">
        <v>0.46500000000000002</v>
      </c>
      <c r="ET20" s="107">
        <v>0.44800000000000001</v>
      </c>
      <c r="EU20" s="106">
        <v>0.441</v>
      </c>
      <c r="EV20" s="108">
        <v>0.38900000000000001</v>
      </c>
      <c r="EW20" s="106">
        <v>0.443</v>
      </c>
      <c r="EX20" s="109">
        <v>0.39</v>
      </c>
      <c r="EY20" s="106">
        <v>0.34399999999999997</v>
      </c>
      <c r="EZ20" s="110">
        <v>0.50800000000000001</v>
      </c>
      <c r="FA20" s="106">
        <v>0.52</v>
      </c>
      <c r="FB20" s="107">
        <v>0.46700000000000003</v>
      </c>
      <c r="FC20" s="106">
        <v>0.38400000000000001</v>
      </c>
      <c r="FD20" s="106">
        <v>0.372</v>
      </c>
      <c r="FE20" s="106">
        <v>0.4</v>
      </c>
      <c r="FF20" s="106">
        <v>0.41499999999999998</v>
      </c>
      <c r="FG20" s="111"/>
      <c r="FH20" s="112"/>
      <c r="FI20" s="111"/>
      <c r="FJ20" s="113"/>
      <c r="FK20" s="111"/>
      <c r="FL20" s="114">
        <v>0.37</v>
      </c>
      <c r="FM20" s="111"/>
      <c r="FN20" s="115">
        <v>0.39900000000000002</v>
      </c>
      <c r="FO20" s="116">
        <v>0.35</v>
      </c>
      <c r="FP20" s="117">
        <v>0.38</v>
      </c>
      <c r="FQ20" s="116">
        <v>0.37</v>
      </c>
      <c r="FR20" s="118">
        <v>0.55100000000000005</v>
      </c>
      <c r="FS20" s="119">
        <v>0.65200000000000002</v>
      </c>
      <c r="FT20" s="118">
        <v>0.58099999999999996</v>
      </c>
      <c r="FU20" s="120">
        <v>0.496</v>
      </c>
      <c r="FV20" s="118">
        <v>0.47199999999999998</v>
      </c>
      <c r="FW20" s="121">
        <v>0.48599999999999999</v>
      </c>
      <c r="FX20" s="118">
        <v>0.56399999999999995</v>
      </c>
      <c r="FY20" s="122">
        <v>0.58399999999999996</v>
      </c>
      <c r="FZ20" s="118">
        <v>0.59099999999999997</v>
      </c>
      <c r="GA20" s="123">
        <v>0.49399999999999999</v>
      </c>
      <c r="GB20" s="118">
        <v>0.56999999999999995</v>
      </c>
      <c r="GC20" s="45">
        <v>0.48</v>
      </c>
      <c r="GD20" s="124">
        <v>0.32600000000000001</v>
      </c>
      <c r="GE20" s="125">
        <v>0.44</v>
      </c>
      <c r="GF20" s="126">
        <v>0.34200000000000003</v>
      </c>
      <c r="GG20" s="124">
        <v>0.33100000000000002</v>
      </c>
      <c r="GH20" s="127">
        <v>0.312</v>
      </c>
      <c r="GI20" s="124">
        <v>0.315</v>
      </c>
      <c r="GJ20" s="128">
        <v>0.34599999999999997</v>
      </c>
      <c r="GK20" s="124">
        <v>0.32</v>
      </c>
      <c r="GL20" s="124">
        <v>0.32</v>
      </c>
      <c r="GM20" s="124">
        <v>0.31</v>
      </c>
      <c r="GN20" s="124">
        <v>0.33</v>
      </c>
      <c r="GO20" s="124">
        <v>0.31</v>
      </c>
      <c r="GP20" s="124"/>
      <c r="GQ20" s="124">
        <v>0.3</v>
      </c>
      <c r="GR20" s="124">
        <v>0.3</v>
      </c>
      <c r="GS20" s="124">
        <v>0.33</v>
      </c>
      <c r="GT20" s="92">
        <v>0.439</v>
      </c>
      <c r="GU20" s="92">
        <v>0.46</v>
      </c>
      <c r="GV20" s="130">
        <v>0.46</v>
      </c>
      <c r="GW20" s="91">
        <v>0.47499999999999998</v>
      </c>
      <c r="GX20" s="94">
        <v>0.495</v>
      </c>
      <c r="GY20" s="92">
        <v>0.45800000000000002</v>
      </c>
      <c r="GZ20" s="90">
        <v>0.439</v>
      </c>
      <c r="HA20" s="92">
        <v>0.50900000000000001</v>
      </c>
      <c r="HB20" s="91">
        <v>0.442</v>
      </c>
      <c r="HC20" s="93">
        <v>0.35699999999999998</v>
      </c>
      <c r="HD20" s="92">
        <v>0.41899999999999998</v>
      </c>
      <c r="HE20" s="94">
        <v>0.51200000000000001</v>
      </c>
      <c r="HF20" s="92">
        <v>0.41599999999999998</v>
      </c>
      <c r="HG20" s="18"/>
      <c r="HH20" s="18"/>
    </row>
    <row r="21" spans="1:216" customFormat="1" x14ac:dyDescent="0.25">
      <c r="A21" t="s">
        <v>38</v>
      </c>
      <c r="B21" s="48">
        <v>0.51500000000000001</v>
      </c>
      <c r="C21" s="24">
        <v>0.67500000000000004</v>
      </c>
      <c r="D21" s="49">
        <v>0.59199999999999997</v>
      </c>
      <c r="E21" s="50">
        <v>0.60699999999999998</v>
      </c>
      <c r="F21" s="24">
        <v>0.622</v>
      </c>
      <c r="G21" s="51">
        <v>0.47699999999999998</v>
      </c>
      <c r="H21" s="24">
        <v>0.443</v>
      </c>
      <c r="I21" s="49">
        <v>0.498</v>
      </c>
      <c r="J21" s="24">
        <v>0.45800000000000002</v>
      </c>
      <c r="K21" s="48">
        <v>0.69799999999999995</v>
      </c>
      <c r="L21" s="24">
        <v>0.68100000000000005</v>
      </c>
      <c r="M21" s="50">
        <v>0.60399999999999998</v>
      </c>
      <c r="N21" s="24">
        <v>0.443</v>
      </c>
      <c r="O21" s="51">
        <v>0.45600000000000002</v>
      </c>
      <c r="P21" s="24">
        <v>0.438</v>
      </c>
      <c r="Q21" s="24">
        <v>0.42599999999999999</v>
      </c>
      <c r="R21" s="52">
        <v>0.64</v>
      </c>
      <c r="S21" s="53">
        <v>0.59599999999999997</v>
      </c>
      <c r="T21" s="22">
        <v>0.63</v>
      </c>
      <c r="U21" s="54">
        <v>0.61099999999999999</v>
      </c>
      <c r="V21" s="22">
        <v>0.56299999999999994</v>
      </c>
      <c r="W21" s="55">
        <v>0.61799999999999999</v>
      </c>
      <c r="X21" s="22">
        <v>0.48199999999999998</v>
      </c>
      <c r="Y21" s="52">
        <v>0.6</v>
      </c>
      <c r="Z21" s="22">
        <v>0.55000000000000004</v>
      </c>
      <c r="AA21" s="56">
        <v>0.43</v>
      </c>
      <c r="AB21" s="22">
        <v>0.43</v>
      </c>
      <c r="AC21" s="22">
        <v>0.35</v>
      </c>
      <c r="AD21" s="22">
        <v>0.48499999999999999</v>
      </c>
      <c r="AE21" s="22">
        <v>0.503</v>
      </c>
      <c r="AF21" s="22">
        <v>0.42899999999999999</v>
      </c>
      <c r="AG21" s="57">
        <v>0.45100000000000001</v>
      </c>
      <c r="AH21" s="58">
        <v>0.48</v>
      </c>
      <c r="AI21" s="59">
        <v>0.32400000000000001</v>
      </c>
      <c r="AJ21" s="60">
        <v>0.32800000000000001</v>
      </c>
      <c r="AK21" s="61">
        <v>0.41599999999999998</v>
      </c>
      <c r="AL21" s="60">
        <v>0.379</v>
      </c>
      <c r="AM21" s="60">
        <v>0.39</v>
      </c>
      <c r="AN21" s="60">
        <v>0.41599999999999998</v>
      </c>
      <c r="AO21" s="62">
        <v>0.36</v>
      </c>
      <c r="AP21" s="63">
        <v>0.4</v>
      </c>
      <c r="AQ21" s="64">
        <v>0.52600000000000002</v>
      </c>
      <c r="AR21" s="65">
        <v>0.5</v>
      </c>
      <c r="AS21" s="64">
        <v>0.48299999999999998</v>
      </c>
      <c r="AT21" s="66">
        <v>0.51200000000000001</v>
      </c>
      <c r="AU21" s="64">
        <v>0.48499999999999999</v>
      </c>
      <c r="AV21" s="67">
        <v>0.54</v>
      </c>
      <c r="AW21" s="63">
        <v>0.434</v>
      </c>
      <c r="AX21" s="68">
        <v>0.49299999999999999</v>
      </c>
      <c r="AY21" s="69">
        <v>0.61199999999999999</v>
      </c>
      <c r="AZ21" s="68">
        <v>0.55100000000000005</v>
      </c>
      <c r="BA21" s="70">
        <v>0.54700000000000004</v>
      </c>
      <c r="BB21" s="68">
        <v>0.65400000000000003</v>
      </c>
      <c r="BC21" s="71">
        <v>0.61399999999999999</v>
      </c>
      <c r="BD21" s="68">
        <v>0.65900000000000003</v>
      </c>
      <c r="BE21" s="72">
        <v>0.67600000000000005</v>
      </c>
      <c r="BF21" s="68">
        <v>0.59499999999999997</v>
      </c>
      <c r="BG21" s="73">
        <v>0.68</v>
      </c>
      <c r="BH21" s="74">
        <v>0.77500000000000002</v>
      </c>
      <c r="BI21" s="75">
        <v>0.8</v>
      </c>
      <c r="BJ21" s="41">
        <v>0.67100000000000004</v>
      </c>
      <c r="BK21" s="76">
        <v>0.65100000000000002</v>
      </c>
      <c r="BL21" s="41">
        <v>0.56100000000000005</v>
      </c>
      <c r="BM21" s="77">
        <v>0.63800000000000001</v>
      </c>
      <c r="BN21" s="41">
        <v>0.51100000000000001</v>
      </c>
      <c r="BO21" s="41">
        <v>0.504</v>
      </c>
      <c r="BP21" s="220">
        <v>0.55000000000000004</v>
      </c>
      <c r="BQ21" s="41">
        <v>0.56699999999999995</v>
      </c>
      <c r="BR21" s="41">
        <v>0.56699999999999995</v>
      </c>
      <c r="BS21" s="78"/>
      <c r="BT21" s="79">
        <v>0.63500000000000001</v>
      </c>
      <c r="BU21" s="80">
        <v>0.64</v>
      </c>
      <c r="BV21" s="81">
        <v>0.42</v>
      </c>
      <c r="BW21" s="20">
        <v>0.63</v>
      </c>
      <c r="BX21" s="82">
        <v>0.42</v>
      </c>
      <c r="BY21" s="20">
        <v>0.42</v>
      </c>
      <c r="BZ21" s="83">
        <v>0.37</v>
      </c>
      <c r="CA21" s="20">
        <v>0.38</v>
      </c>
      <c r="CB21" s="20">
        <v>0.63500000000000001</v>
      </c>
      <c r="CC21" s="84">
        <v>0.47699999999999998</v>
      </c>
      <c r="CD21" s="37">
        <v>0.56999999999999995</v>
      </c>
      <c r="CE21" s="37">
        <v>0.54</v>
      </c>
      <c r="CF21" s="84">
        <v>0.69</v>
      </c>
      <c r="CG21" s="84">
        <v>0.62</v>
      </c>
      <c r="CH21" s="84">
        <v>0.6</v>
      </c>
      <c r="CI21" s="37">
        <v>0.78</v>
      </c>
      <c r="CJ21" s="37">
        <v>0.62</v>
      </c>
      <c r="CK21" s="84">
        <v>0.64</v>
      </c>
      <c r="CL21" s="37">
        <v>0.67</v>
      </c>
      <c r="CM21" s="87">
        <v>0.56000000000000005</v>
      </c>
      <c r="CN21" s="88">
        <v>0.6</v>
      </c>
      <c r="CO21" s="89">
        <v>0.7</v>
      </c>
      <c r="CP21" s="88">
        <v>0.62</v>
      </c>
      <c r="CQ21" s="90">
        <v>0.58899999999999997</v>
      </c>
      <c r="CR21" s="91">
        <v>0.60399999999999998</v>
      </c>
      <c r="CS21" s="92">
        <v>0.60299999999999998</v>
      </c>
      <c r="CT21" s="93">
        <v>0.6</v>
      </c>
      <c r="CU21" s="92">
        <v>0.59</v>
      </c>
      <c r="CV21" s="94">
        <v>0.62</v>
      </c>
      <c r="CW21" s="243">
        <v>0.54</v>
      </c>
      <c r="CX21" s="244">
        <v>0.40500000000000003</v>
      </c>
      <c r="CY21" s="245">
        <v>0.64</v>
      </c>
      <c r="CZ21" s="246">
        <v>0.57399999999999995</v>
      </c>
      <c r="DA21" s="247">
        <v>0.51700000000000002</v>
      </c>
      <c r="DB21" s="246">
        <v>0.56999999999999995</v>
      </c>
      <c r="DC21" s="248">
        <v>0.59799999999999998</v>
      </c>
      <c r="DD21" s="246">
        <v>0.53</v>
      </c>
      <c r="DE21" s="246">
        <v>0.5</v>
      </c>
      <c r="DF21" s="253">
        <v>0.48</v>
      </c>
      <c r="DG21" s="246">
        <v>0.51</v>
      </c>
      <c r="DH21" s="253">
        <v>0.49</v>
      </c>
      <c r="DI21" s="246">
        <v>0.52</v>
      </c>
      <c r="DJ21" s="95">
        <v>0.57999999999999996</v>
      </c>
      <c r="DK21" s="96">
        <v>0.61</v>
      </c>
      <c r="DL21" s="97">
        <v>0.66</v>
      </c>
      <c r="DM21" s="98">
        <v>0.59</v>
      </c>
      <c r="DN21" s="96">
        <v>0.64</v>
      </c>
      <c r="DO21" s="99">
        <v>0.6</v>
      </c>
      <c r="DP21" s="96">
        <v>0.47</v>
      </c>
      <c r="DQ21" s="96">
        <v>0.62</v>
      </c>
      <c r="DR21" s="96">
        <v>0.67</v>
      </c>
      <c r="DS21" s="96">
        <v>0.65500000000000003</v>
      </c>
      <c r="DT21" s="41">
        <v>0.39900000000000002</v>
      </c>
      <c r="DU21" s="41">
        <v>0.46899999999999997</v>
      </c>
      <c r="DV21" s="41">
        <v>0.41599999999999998</v>
      </c>
      <c r="DW21" s="41">
        <v>0.44500000000000001</v>
      </c>
      <c r="DX21" s="41">
        <v>0.44</v>
      </c>
      <c r="DY21" s="41">
        <v>0.45300000000000001</v>
      </c>
      <c r="DZ21" s="41">
        <v>0.441</v>
      </c>
      <c r="EA21" s="41">
        <v>0.42599999999999999</v>
      </c>
      <c r="EB21" s="41">
        <v>0.46899999999999997</v>
      </c>
      <c r="EC21" s="41">
        <v>0.41199999999999998</v>
      </c>
      <c r="ED21" s="41">
        <v>0.40699999999999997</v>
      </c>
      <c r="EE21" s="100">
        <v>0.72199999999999998</v>
      </c>
      <c r="EF21" s="101">
        <v>0.82499999999999996</v>
      </c>
      <c r="EG21" s="100">
        <v>0.68799999999999994</v>
      </c>
      <c r="EH21" s="102">
        <v>0.749</v>
      </c>
      <c r="EI21" s="100">
        <v>0.51</v>
      </c>
      <c r="EJ21" s="103">
        <v>0.67600000000000005</v>
      </c>
      <c r="EK21" s="100">
        <v>0.53300000000000003</v>
      </c>
      <c r="EL21" s="104">
        <v>0.61099999999999999</v>
      </c>
      <c r="EM21" s="100">
        <v>0.59399999999999997</v>
      </c>
      <c r="EN21" s="105">
        <v>0.54300000000000004</v>
      </c>
      <c r="EO21" s="100">
        <v>0.58299999999999996</v>
      </c>
      <c r="EP21" s="100">
        <v>0.56799999999999995</v>
      </c>
      <c r="EQ21" s="100">
        <v>0.63900000000000001</v>
      </c>
      <c r="ER21" s="100">
        <v>0.624</v>
      </c>
      <c r="ES21" s="106">
        <v>0.66500000000000004</v>
      </c>
      <c r="ET21" s="107">
        <v>0.68</v>
      </c>
      <c r="EU21" s="106">
        <v>0.56899999999999995</v>
      </c>
      <c r="EV21" s="108">
        <v>0.51300000000000001</v>
      </c>
      <c r="EW21" s="106">
        <v>0.60399999999999998</v>
      </c>
      <c r="EX21" s="109">
        <v>0.52</v>
      </c>
      <c r="EY21" s="106">
        <v>0.47</v>
      </c>
      <c r="EZ21" s="110">
        <v>0.68700000000000006</v>
      </c>
      <c r="FA21" s="106">
        <v>0.68400000000000005</v>
      </c>
      <c r="FB21" s="107">
        <v>0.64</v>
      </c>
      <c r="FC21" s="106">
        <v>0.53600000000000003</v>
      </c>
      <c r="FD21" s="106">
        <v>0.53</v>
      </c>
      <c r="FE21" s="106">
        <v>0.55800000000000005</v>
      </c>
      <c r="FF21" s="106">
        <v>0.58399999999999996</v>
      </c>
      <c r="FG21" s="111">
        <v>0.60799999999999998</v>
      </c>
      <c r="FH21" s="112">
        <v>0.65</v>
      </c>
      <c r="FI21" s="111">
        <v>0.64</v>
      </c>
      <c r="FJ21" s="113">
        <v>0.62</v>
      </c>
      <c r="FK21" s="111">
        <v>0.59299999999999997</v>
      </c>
      <c r="FL21" s="114">
        <v>0.5</v>
      </c>
      <c r="FM21" s="111">
        <v>0.55000000000000004</v>
      </c>
      <c r="FN21" s="115">
        <v>0.52200000000000002</v>
      </c>
      <c r="FO21" s="116">
        <v>0.52400000000000002</v>
      </c>
      <c r="FP21" s="117">
        <v>0.51</v>
      </c>
      <c r="FQ21" s="116">
        <v>0.497</v>
      </c>
      <c r="FR21" s="118">
        <v>0.76700000000000002</v>
      </c>
      <c r="FS21" s="119">
        <v>0.86</v>
      </c>
      <c r="FT21" s="118">
        <v>0.81599999999999995</v>
      </c>
      <c r="FU21" s="120">
        <v>0.67600000000000005</v>
      </c>
      <c r="FV21" s="118">
        <v>0.68600000000000005</v>
      </c>
      <c r="FW21" s="121">
        <v>0.69</v>
      </c>
      <c r="FX21" s="118">
        <v>0.80100000000000005</v>
      </c>
      <c r="FY21" s="122">
        <v>0.80900000000000005</v>
      </c>
      <c r="FZ21" s="118">
        <v>0.83</v>
      </c>
      <c r="GA21" s="123">
        <v>0.68200000000000005</v>
      </c>
      <c r="GB21" s="118">
        <v>0.77</v>
      </c>
      <c r="GC21" s="45">
        <v>0.65</v>
      </c>
      <c r="GD21" s="124">
        <v>0.442</v>
      </c>
      <c r="GE21" s="125">
        <v>0.59</v>
      </c>
      <c r="GF21" s="126">
        <v>0.47699999999999998</v>
      </c>
      <c r="GG21" s="124">
        <v>0.439</v>
      </c>
      <c r="GH21" s="127">
        <v>0.44400000000000001</v>
      </c>
      <c r="GI21" s="124">
        <v>0.41899999999999998</v>
      </c>
      <c r="GJ21" s="128">
        <v>0.48499999999999999</v>
      </c>
      <c r="GK21" s="124">
        <v>0.45</v>
      </c>
      <c r="GL21" s="124">
        <v>0.42</v>
      </c>
      <c r="GM21" s="124">
        <v>0.44</v>
      </c>
      <c r="GN21" s="124">
        <v>0.46</v>
      </c>
      <c r="GO21" s="124">
        <v>0.44</v>
      </c>
      <c r="GP21" s="124">
        <v>0.46</v>
      </c>
      <c r="GQ21" s="124">
        <v>0.44</v>
      </c>
      <c r="GR21" s="124">
        <v>0.41</v>
      </c>
      <c r="GS21" s="124">
        <v>0.44</v>
      </c>
      <c r="GT21" s="92">
        <v>0.65800000000000003</v>
      </c>
      <c r="GU21" s="92">
        <v>0.65300000000000002</v>
      </c>
      <c r="GV21" s="130">
        <v>0.60599999999999998</v>
      </c>
      <c r="GW21" s="91">
        <v>0.54800000000000004</v>
      </c>
      <c r="GX21" s="94">
        <v>0.60399999999999998</v>
      </c>
      <c r="GY21" s="92">
        <v>0.61499999999999999</v>
      </c>
      <c r="GZ21" s="90">
        <v>0.65100000000000002</v>
      </c>
      <c r="HA21" s="92">
        <v>0.68200000000000005</v>
      </c>
      <c r="HB21" s="91">
        <v>0.59499999999999997</v>
      </c>
      <c r="HC21" s="93">
        <v>0.499</v>
      </c>
      <c r="HD21" s="92">
        <v>0.57999999999999996</v>
      </c>
      <c r="HE21" s="94">
        <v>0.72399999999999998</v>
      </c>
      <c r="HF21" s="92">
        <v>0.58799999999999997</v>
      </c>
      <c r="HG21" s="18"/>
      <c r="HH21" s="18"/>
    </row>
    <row r="22" spans="1:216" customFormat="1" x14ac:dyDescent="0.25">
      <c r="A22" t="s">
        <v>11</v>
      </c>
      <c r="B22" s="48">
        <f>B21/B2</f>
        <v>0.24975751697381179</v>
      </c>
      <c r="C22" s="48">
        <f t="shared" ref="C22:BW22" si="47">C21/C2</f>
        <v>0.26627218934911245</v>
      </c>
      <c r="D22" s="48">
        <f t="shared" si="47"/>
        <v>0.2679945676776822</v>
      </c>
      <c r="E22" s="48">
        <f t="shared" si="47"/>
        <v>0.26822801590808659</v>
      </c>
      <c r="F22" s="48">
        <f t="shared" si="47"/>
        <v>0.29038281979458452</v>
      </c>
      <c r="G22" s="48">
        <f t="shared" si="47"/>
        <v>0.28717639975918119</v>
      </c>
      <c r="H22" s="48">
        <f t="shared" si="47"/>
        <v>0.28361075544174136</v>
      </c>
      <c r="I22" s="49">
        <f t="shared" si="47"/>
        <v>0.28886310904872392</v>
      </c>
      <c r="J22" s="24">
        <f t="shared" si="47"/>
        <v>0.27875836883749244</v>
      </c>
      <c r="K22" s="48">
        <f t="shared" si="47"/>
        <v>0.27931172468987592</v>
      </c>
      <c r="L22" s="24">
        <f t="shared" si="47"/>
        <v>0.25893536121673005</v>
      </c>
      <c r="M22" s="50">
        <f t="shared" si="47"/>
        <v>0.30306071249372807</v>
      </c>
      <c r="N22" s="24">
        <f t="shared" si="47"/>
        <v>0.27396413110698825</v>
      </c>
      <c r="O22" s="51">
        <f t="shared" si="47"/>
        <v>0.28915662650602414</v>
      </c>
      <c r="P22" s="24">
        <f t="shared" si="47"/>
        <v>0.24039517014270032</v>
      </c>
      <c r="Q22" s="24">
        <f t="shared" si="47"/>
        <v>0.27413127413127414</v>
      </c>
      <c r="R22" s="52">
        <f t="shared" si="47"/>
        <v>0.26468155500413565</v>
      </c>
      <c r="S22" s="53">
        <f t="shared" si="47"/>
        <v>0.30880829015544042</v>
      </c>
      <c r="T22" s="22">
        <f t="shared" si="47"/>
        <v>0.252</v>
      </c>
      <c r="U22" s="54">
        <f t="shared" si="47"/>
        <v>0.28591483387927003</v>
      </c>
      <c r="V22" s="22">
        <f t="shared" si="47"/>
        <v>0.27968206656731248</v>
      </c>
      <c r="W22" s="55">
        <f t="shared" si="47"/>
        <v>0.27345132743362832</v>
      </c>
      <c r="X22" s="22">
        <f t="shared" si="47"/>
        <v>0.28862275449101799</v>
      </c>
      <c r="Y22" s="52">
        <f t="shared" si="47"/>
        <v>0.26548672566371678</v>
      </c>
      <c r="Z22" s="22">
        <f t="shared" si="47"/>
        <v>0.25821596244131456</v>
      </c>
      <c r="AA22" s="56">
        <f t="shared" si="47"/>
        <v>0.25000000000000006</v>
      </c>
      <c r="AB22" s="22">
        <f t="shared" si="47"/>
        <v>0.27388535031847133</v>
      </c>
      <c r="AC22" s="22">
        <f t="shared" si="47"/>
        <v>0.26923076923076922</v>
      </c>
      <c r="AD22" s="22">
        <f t="shared" si="47"/>
        <v>0.32993197278911562</v>
      </c>
      <c r="AE22" s="22">
        <f t="shared" si="47"/>
        <v>0.28258426966292133</v>
      </c>
      <c r="AF22" s="22">
        <f t="shared" si="47"/>
        <v>0.28057553956834536</v>
      </c>
      <c r="AG22" s="57">
        <f t="shared" si="47"/>
        <v>0.27685696746470229</v>
      </c>
      <c r="AH22" s="60">
        <f t="shared" si="47"/>
        <v>0.33103448275862069</v>
      </c>
      <c r="AI22" s="59">
        <f t="shared" si="47"/>
        <v>0.24827586206896554</v>
      </c>
      <c r="AJ22" s="60">
        <f t="shared" si="47"/>
        <v>0.24661654135338346</v>
      </c>
      <c r="AK22" s="61">
        <f t="shared" si="47"/>
        <v>0.287292817679558</v>
      </c>
      <c r="AL22" s="60">
        <f t="shared" si="47"/>
        <v>0.32842287694974004</v>
      </c>
      <c r="AM22" s="60">
        <f t="shared" si="47"/>
        <v>0.28017241379310348</v>
      </c>
      <c r="AN22" s="60">
        <f t="shared" si="47"/>
        <v>0.30342815463165573</v>
      </c>
      <c r="AO22" s="62">
        <f t="shared" si="47"/>
        <v>0.21569802276812461</v>
      </c>
      <c r="AP22" s="62">
        <f t="shared" si="47"/>
        <v>0.23952095808383234</v>
      </c>
      <c r="AQ22" s="62">
        <f t="shared" si="47"/>
        <v>0.24787935909519324</v>
      </c>
      <c r="AR22" s="62">
        <f t="shared" si="47"/>
        <v>0.24888003982080639</v>
      </c>
      <c r="AS22" s="62">
        <f t="shared" si="47"/>
        <v>0.23378509196515007</v>
      </c>
      <c r="AT22" s="62">
        <f t="shared" si="47"/>
        <v>0.24380952380952381</v>
      </c>
      <c r="AU22" s="62">
        <f t="shared" si="47"/>
        <v>0.2242256125751271</v>
      </c>
      <c r="AV22" s="67">
        <f t="shared" si="47"/>
        <v>0.24434389140271495</v>
      </c>
      <c r="AW22" s="63">
        <f t="shared" si="47"/>
        <v>0.22675026123301986</v>
      </c>
      <c r="AX22" s="68">
        <v>0.33176312247644685</v>
      </c>
      <c r="AY22" s="69">
        <f t="shared" si="47"/>
        <v>0.35111876075731496</v>
      </c>
      <c r="AZ22" s="68">
        <f t="shared" si="47"/>
        <v>0.38967468175388975</v>
      </c>
      <c r="BA22" s="68">
        <f t="shared" si="47"/>
        <v>0.28474752732951591</v>
      </c>
      <c r="BB22" s="68">
        <f t="shared" si="47"/>
        <v>0.29903978052126201</v>
      </c>
      <c r="BC22" s="68">
        <f t="shared" si="47"/>
        <v>0.32079414838035525</v>
      </c>
      <c r="BD22" s="68">
        <f t="shared" si="47"/>
        <v>0.32021379980563658</v>
      </c>
      <c r="BE22" s="68">
        <f t="shared" si="47"/>
        <v>0.37871148459383752</v>
      </c>
      <c r="BF22" s="68">
        <f t="shared" si="47"/>
        <v>0.28633301251203075</v>
      </c>
      <c r="BG22" s="221">
        <f t="shared" si="47"/>
        <v>0.32613908872901681</v>
      </c>
      <c r="BH22" s="222">
        <f t="shared" si="47"/>
        <v>0.32051282051282048</v>
      </c>
      <c r="BI22" s="223">
        <f t="shared" si="47"/>
        <v>0.28268551236749118</v>
      </c>
      <c r="BJ22" s="41">
        <f t="shared" si="47"/>
        <v>0.28860215053763438</v>
      </c>
      <c r="BK22" s="76">
        <f t="shared" si="47"/>
        <v>0.28279756733275419</v>
      </c>
      <c r="BL22" s="41">
        <f t="shared" si="47"/>
        <v>0.27500000000000002</v>
      </c>
      <c r="BM22" s="77">
        <f t="shared" si="47"/>
        <v>0.27666955767562879</v>
      </c>
      <c r="BN22" s="77">
        <f>BN21/BN2</f>
        <v>0.28388888888888891</v>
      </c>
      <c r="BO22" s="77">
        <f>BO21/BO2</f>
        <v>0.32040686586141132</v>
      </c>
      <c r="BP22" s="77">
        <f>BP21/BP2</f>
        <v>0.30038230475150196</v>
      </c>
      <c r="BQ22" s="77">
        <f>BQ21/BQ2</f>
        <v>0.30272290443139344</v>
      </c>
      <c r="BR22" s="77">
        <f>BR21/BR2</f>
        <v>0.28265204386839476</v>
      </c>
      <c r="BS22" s="224"/>
      <c r="BT22" s="20">
        <f t="shared" si="47"/>
        <v>0.26781948544917755</v>
      </c>
      <c r="BU22" s="225">
        <f t="shared" si="47"/>
        <v>0.26348291477974478</v>
      </c>
      <c r="BV22" s="211">
        <f t="shared" si="47"/>
        <v>0.36426712922810056</v>
      </c>
      <c r="BW22" s="20">
        <f t="shared" si="47"/>
        <v>0.2614107883817427</v>
      </c>
      <c r="BX22" s="82">
        <f t="shared" ref="BX22:FB22" si="48">BX21/BX2</f>
        <v>0.24852071005917159</v>
      </c>
      <c r="BY22" s="20">
        <f t="shared" si="48"/>
        <v>0.28767123287671231</v>
      </c>
      <c r="BZ22" s="83">
        <f t="shared" si="48"/>
        <v>0.25517241379310346</v>
      </c>
      <c r="CA22" s="20">
        <f t="shared" si="48"/>
        <v>0.25503355704697989</v>
      </c>
      <c r="CB22" s="20">
        <f t="shared" si="48"/>
        <v>0.30238095238095236</v>
      </c>
      <c r="CC22" s="84">
        <f t="shared" si="48"/>
        <v>0.30324221233312143</v>
      </c>
      <c r="CD22" s="85">
        <f t="shared" si="48"/>
        <v>0.28787878787878785</v>
      </c>
      <c r="CE22" s="84">
        <f t="shared" si="48"/>
        <v>0.27272727272727276</v>
      </c>
      <c r="CF22" s="219">
        <f t="shared" si="48"/>
        <v>0.30131004366812225</v>
      </c>
      <c r="CG22" s="84">
        <f t="shared" si="48"/>
        <v>0.28837209302325584</v>
      </c>
      <c r="CH22" s="84">
        <f t="shared" si="48"/>
        <v>0.31578947368421051</v>
      </c>
      <c r="CI22" s="84">
        <f t="shared" si="48"/>
        <v>0.31707317073170732</v>
      </c>
      <c r="CJ22" s="86">
        <f t="shared" si="48"/>
        <v>0.2857142857142857</v>
      </c>
      <c r="CK22" s="84">
        <f t="shared" si="48"/>
        <v>0.29223744292237447</v>
      </c>
      <c r="CL22" s="84">
        <f t="shared" si="48"/>
        <v>0.38068181818181818</v>
      </c>
      <c r="CM22" s="94">
        <f t="shared" si="48"/>
        <v>0.31945236737022248</v>
      </c>
      <c r="CN22" s="92">
        <f t="shared" si="48"/>
        <v>0.37974683544303794</v>
      </c>
      <c r="CO22" s="226">
        <f t="shared" si="48"/>
        <v>0.285132382892057</v>
      </c>
      <c r="CP22" s="92">
        <f t="shared" si="48"/>
        <v>0.36193812025685929</v>
      </c>
      <c r="CQ22" s="90">
        <f t="shared" si="48"/>
        <v>0.2770460959548447</v>
      </c>
      <c r="CR22" s="91">
        <f t="shared" si="48"/>
        <v>0.32110579479000528</v>
      </c>
      <c r="CS22" s="92">
        <f t="shared" si="48"/>
        <v>0.36612021857923494</v>
      </c>
      <c r="CT22" s="93">
        <f t="shared" si="48"/>
        <v>0.31914893617021278</v>
      </c>
      <c r="CU22" s="92">
        <f t="shared" si="48"/>
        <v>0.32960893854748602</v>
      </c>
      <c r="CV22" s="94">
        <f t="shared" si="48"/>
        <v>0.3351351351351351</v>
      </c>
      <c r="CW22" s="248">
        <f t="shared" si="48"/>
        <v>0.33374536464771326</v>
      </c>
      <c r="CX22" s="246">
        <f t="shared" si="48"/>
        <v>0.39017341040462428</v>
      </c>
      <c r="CY22" s="255">
        <f t="shared" si="48"/>
        <v>0.30548926014319816</v>
      </c>
      <c r="CZ22" s="246">
        <f t="shared" si="48"/>
        <v>0.39613526570048302</v>
      </c>
      <c r="DA22" s="247">
        <f t="shared" si="48"/>
        <v>0.35483870967741937</v>
      </c>
      <c r="DB22" s="246">
        <f t="shared" si="48"/>
        <v>0.37598944591029021</v>
      </c>
      <c r="DC22" s="248">
        <f t="shared" si="48"/>
        <v>0.37328339575530589</v>
      </c>
      <c r="DD22" s="249">
        <f t="shared" si="48"/>
        <v>0.3045977011494253</v>
      </c>
      <c r="DE22" s="249">
        <f t="shared" si="48"/>
        <v>0.29411764705882354</v>
      </c>
      <c r="DF22" s="249">
        <f t="shared" si="48"/>
        <v>0.30573248407643311</v>
      </c>
      <c r="DG22" s="249">
        <f t="shared" si="48"/>
        <v>0.28813559322033899</v>
      </c>
      <c r="DH22" s="249">
        <f t="shared" si="48"/>
        <v>0.33108108108108109</v>
      </c>
      <c r="DI22" s="249">
        <f t="shared" si="48"/>
        <v>0.31515151515151518</v>
      </c>
      <c r="DJ22" s="95">
        <f t="shared" si="48"/>
        <v>0.27619047619047615</v>
      </c>
      <c r="DK22" s="96">
        <f t="shared" si="48"/>
        <v>0.25196199917389511</v>
      </c>
      <c r="DL22" s="97">
        <f t="shared" si="48"/>
        <v>0.260457774269929</v>
      </c>
      <c r="DM22" s="98">
        <f t="shared" si="48"/>
        <v>0.25775447793796419</v>
      </c>
      <c r="DN22" s="96">
        <f t="shared" si="48"/>
        <v>0.25900445163901253</v>
      </c>
      <c r="DO22" s="99">
        <f t="shared" si="48"/>
        <v>0.26315789473684209</v>
      </c>
      <c r="DP22" s="96">
        <f t="shared" si="48"/>
        <v>0.25405405405405401</v>
      </c>
      <c r="DQ22" s="96">
        <f t="shared" si="48"/>
        <v>0.24447949526813881</v>
      </c>
      <c r="DR22" s="96">
        <f t="shared" si="48"/>
        <v>0.25159594442358246</v>
      </c>
      <c r="DS22" s="96">
        <f t="shared" si="48"/>
        <v>0.24440298507462685</v>
      </c>
      <c r="DT22" s="41">
        <f t="shared" ref="DT22:ED22" si="49">DT21/DT2</f>
        <v>0.32704918032786889</v>
      </c>
      <c r="DU22" s="41">
        <f t="shared" si="49"/>
        <v>0.37731295253419139</v>
      </c>
      <c r="DV22" s="41">
        <f t="shared" si="49"/>
        <v>0.25838509316770186</v>
      </c>
      <c r="DW22" s="41">
        <f t="shared" si="49"/>
        <v>0.25722543352601157</v>
      </c>
      <c r="DX22" s="41">
        <f t="shared" si="49"/>
        <v>0.25882352941176473</v>
      </c>
      <c r="DY22" s="41">
        <f t="shared" si="49"/>
        <v>0.34846153846153843</v>
      </c>
      <c r="DZ22" s="41">
        <f t="shared" si="49"/>
        <v>0.25941176470588234</v>
      </c>
      <c r="EA22" s="41">
        <f t="shared" si="49"/>
        <v>0.29790209790209793</v>
      </c>
      <c r="EB22" s="41">
        <f t="shared" si="49"/>
        <v>0.30653594771241827</v>
      </c>
      <c r="EC22" s="41">
        <f t="shared" si="49"/>
        <v>0.31962761830876651</v>
      </c>
      <c r="ED22" s="41">
        <f t="shared" si="49"/>
        <v>0.25940089228808155</v>
      </c>
      <c r="EE22" s="100">
        <f t="shared" si="48"/>
        <v>0.29230769230769227</v>
      </c>
      <c r="EF22" s="101">
        <f t="shared" si="48"/>
        <v>0.29880478087649398</v>
      </c>
      <c r="EG22" s="100">
        <f t="shared" si="48"/>
        <v>0.36363636363636365</v>
      </c>
      <c r="EH22" s="102">
        <f t="shared" si="48"/>
        <v>0.31169371618809821</v>
      </c>
      <c r="EI22" s="100">
        <f t="shared" si="48"/>
        <v>0.25628140703517593</v>
      </c>
      <c r="EJ22" s="103">
        <f t="shared" si="48"/>
        <v>0.28547297297297297</v>
      </c>
      <c r="EK22" s="100">
        <f t="shared" si="48"/>
        <v>0.30439748715019993</v>
      </c>
      <c r="EL22" s="104">
        <f t="shared" si="48"/>
        <v>0.28392193308550184</v>
      </c>
      <c r="EM22" s="100">
        <f t="shared" si="48"/>
        <v>0.33635334088335217</v>
      </c>
      <c r="EN22" s="105">
        <f t="shared" si="48"/>
        <v>0.27689954105048448</v>
      </c>
      <c r="EO22" s="105">
        <f t="shared" si="48"/>
        <v>0.272812353766963</v>
      </c>
      <c r="EP22" s="105">
        <f t="shared" si="48"/>
        <v>0.26779820839226776</v>
      </c>
      <c r="EQ22" s="105">
        <f t="shared" si="48"/>
        <v>0.27284372331340734</v>
      </c>
      <c r="ER22" s="105">
        <f t="shared" si="48"/>
        <v>0.25283630470016205</v>
      </c>
      <c r="ES22" s="106">
        <f t="shared" si="48"/>
        <v>0.27708333333333335</v>
      </c>
      <c r="ET22" s="107">
        <f t="shared" si="48"/>
        <v>0.32708032708032714</v>
      </c>
      <c r="EU22" s="106">
        <f t="shared" si="48"/>
        <v>0.27607957302280445</v>
      </c>
      <c r="EV22" s="108">
        <f t="shared" si="48"/>
        <v>0.26200204290091933</v>
      </c>
      <c r="EW22" s="106">
        <f t="shared" si="48"/>
        <v>0.30659898477157355</v>
      </c>
      <c r="EX22" s="109">
        <f t="shared" si="48"/>
        <v>0.30878859857482183</v>
      </c>
      <c r="EY22" s="106">
        <f t="shared" si="48"/>
        <v>0.29765674477517418</v>
      </c>
      <c r="EZ22" s="110">
        <f t="shared" si="48"/>
        <v>0.2891414141414142</v>
      </c>
      <c r="FA22" s="106">
        <f t="shared" si="48"/>
        <v>0.29623213512343005</v>
      </c>
      <c r="FB22" s="107">
        <f t="shared" si="48"/>
        <v>0.28972385694884562</v>
      </c>
      <c r="FC22" s="107">
        <f t="shared" ref="FC22:HF22" si="50">FC21/FC2</f>
        <v>0.2984409799554566</v>
      </c>
      <c r="FD22" s="107">
        <f t="shared" si="50"/>
        <v>0.27027027027027029</v>
      </c>
      <c r="FE22" s="107">
        <f t="shared" si="50"/>
        <v>0.27219512195121959</v>
      </c>
      <c r="FF22" s="107">
        <f t="shared" si="50"/>
        <v>0.2690004606172271</v>
      </c>
      <c r="FG22" s="116">
        <f t="shared" si="50"/>
        <v>0.28371441903873079</v>
      </c>
      <c r="FH22" s="115">
        <f t="shared" si="50"/>
        <v>0.28697571743929357</v>
      </c>
      <c r="FI22" s="116">
        <f t="shared" si="50"/>
        <v>0.26556016597510373</v>
      </c>
      <c r="FJ22" s="227">
        <f t="shared" si="50"/>
        <v>0.27927927927927926</v>
      </c>
      <c r="FK22" s="116">
        <f t="shared" si="50"/>
        <v>0.26954545454545453</v>
      </c>
      <c r="FL22" s="228">
        <f t="shared" si="50"/>
        <v>0.29638411381149971</v>
      </c>
      <c r="FM22" s="116">
        <f t="shared" si="50"/>
        <v>0.24741340530814218</v>
      </c>
      <c r="FN22" s="115">
        <f t="shared" si="50"/>
        <v>0.22597402597402597</v>
      </c>
      <c r="FO22" s="116">
        <f t="shared" si="50"/>
        <v>0.25289575289575289</v>
      </c>
      <c r="FP22" s="117">
        <f t="shared" si="50"/>
        <v>0.26827985270910049</v>
      </c>
      <c r="FQ22" s="116">
        <f t="shared" si="50"/>
        <v>0.24362745098039215</v>
      </c>
      <c r="FR22" s="118">
        <f t="shared" si="50"/>
        <v>0.30618762475049904</v>
      </c>
      <c r="FS22" s="119">
        <f t="shared" si="50"/>
        <v>0.29788708001385528</v>
      </c>
      <c r="FT22" s="118">
        <f t="shared" si="50"/>
        <v>0.3380281690140845</v>
      </c>
      <c r="FU22" s="120">
        <f t="shared" si="50"/>
        <v>0.29340277777777779</v>
      </c>
      <c r="FV22" s="118">
        <f t="shared" si="50"/>
        <v>0.29191489361702128</v>
      </c>
      <c r="FW22" s="121">
        <f t="shared" si="50"/>
        <v>0.32608695652173908</v>
      </c>
      <c r="FX22" s="118">
        <f t="shared" si="50"/>
        <v>0.29169701383831026</v>
      </c>
      <c r="FY22" s="122">
        <f t="shared" si="50"/>
        <v>0.30799101534244488</v>
      </c>
      <c r="FZ22" s="118">
        <f t="shared" si="50"/>
        <v>0.32220496894409933</v>
      </c>
      <c r="GA22" s="123">
        <f t="shared" si="50"/>
        <v>0.30284191829484908</v>
      </c>
      <c r="GB22" s="123">
        <f t="shared" si="50"/>
        <v>0.25752508361204013</v>
      </c>
      <c r="GC22" s="123">
        <f t="shared" si="50"/>
        <v>0.29761904761904762</v>
      </c>
      <c r="GD22" s="229">
        <f t="shared" si="50"/>
        <v>0.33714721586575136</v>
      </c>
      <c r="GE22" s="229">
        <f t="shared" si="50"/>
        <v>0.32777777777777778</v>
      </c>
      <c r="GF22" s="126">
        <f t="shared" si="50"/>
        <v>0.31217277486910994</v>
      </c>
      <c r="GG22" s="124">
        <f t="shared" si="50"/>
        <v>0.3486894360603654</v>
      </c>
      <c r="GH22" s="127">
        <f t="shared" si="50"/>
        <v>0.31919482386772108</v>
      </c>
      <c r="GI22" s="124">
        <f t="shared" si="50"/>
        <v>0.30472727272727274</v>
      </c>
      <c r="GJ22" s="128">
        <f t="shared" si="50"/>
        <v>0.29736358062538321</v>
      </c>
      <c r="GK22" s="229">
        <f t="shared" si="50"/>
        <v>0.32142857142857145</v>
      </c>
      <c r="GL22" s="229">
        <f t="shared" si="50"/>
        <v>0.30215827338129492</v>
      </c>
      <c r="GM22" s="229">
        <f t="shared" si="50"/>
        <v>0.3259259259259259</v>
      </c>
      <c r="GN22" s="229">
        <f t="shared" si="50"/>
        <v>0.29677419354838713</v>
      </c>
      <c r="GO22" s="229">
        <f t="shared" si="50"/>
        <v>0.33846153846153842</v>
      </c>
      <c r="GP22" s="229">
        <f t="shared" si="50"/>
        <v>0.31506849315068497</v>
      </c>
      <c r="GQ22" s="229">
        <f t="shared" si="50"/>
        <v>0.33846153846153854</v>
      </c>
      <c r="GR22" s="229">
        <f t="shared" si="50"/>
        <v>0.32539682539682535</v>
      </c>
      <c r="GS22" s="229">
        <f t="shared" si="50"/>
        <v>0.29333333333333333</v>
      </c>
      <c r="GT22" s="92">
        <f t="shared" si="50"/>
        <v>0.25623052959501563</v>
      </c>
      <c r="GU22" s="92">
        <f t="shared" si="50"/>
        <v>0.23574007220216603</v>
      </c>
      <c r="GV22" s="130">
        <f t="shared" si="50"/>
        <v>0.23990498812351546</v>
      </c>
      <c r="GW22" s="91">
        <f t="shared" si="50"/>
        <v>0.24818840579710144</v>
      </c>
      <c r="GX22" s="94">
        <f t="shared" si="50"/>
        <v>0.27036705461056398</v>
      </c>
      <c r="GY22" s="92">
        <f t="shared" si="50"/>
        <v>0.25350370981038745</v>
      </c>
      <c r="GZ22" s="90">
        <f t="shared" si="50"/>
        <v>0.23241699393073906</v>
      </c>
      <c r="HA22" s="92">
        <f t="shared" si="50"/>
        <v>0.26956521739130435</v>
      </c>
      <c r="HB22" s="91">
        <f t="shared" si="50"/>
        <v>0.26491540516473727</v>
      </c>
      <c r="HC22" s="93">
        <f t="shared" si="50"/>
        <v>0.22040636042402828</v>
      </c>
      <c r="HD22" s="92">
        <f t="shared" si="50"/>
        <v>0.24156601416076634</v>
      </c>
      <c r="HE22" s="94">
        <f t="shared" si="50"/>
        <v>0.29371196754563894</v>
      </c>
      <c r="HF22" s="92">
        <f t="shared" si="50"/>
        <v>0.24378109452736318</v>
      </c>
      <c r="HG22" s="18"/>
      <c r="HH22" s="18"/>
    </row>
    <row r="23" spans="1:216" customFormat="1" x14ac:dyDescent="0.25">
      <c r="A23" t="s">
        <v>37</v>
      </c>
      <c r="B23" s="48">
        <v>1.218</v>
      </c>
      <c r="C23" s="24">
        <v>1.3919999999999999</v>
      </c>
      <c r="D23" s="49">
        <v>1.256</v>
      </c>
      <c r="E23" s="50">
        <v>1.288</v>
      </c>
      <c r="F23" s="24">
        <v>1.3129999999999999</v>
      </c>
      <c r="G23" s="51">
        <v>1.0649999999999999</v>
      </c>
      <c r="H23" s="24">
        <v>0.92700000000000005</v>
      </c>
      <c r="I23" s="49">
        <v>1.0269999999999999</v>
      </c>
      <c r="J23" s="24">
        <v>1.0760000000000001</v>
      </c>
      <c r="K23" s="48">
        <v>1.5289999999999999</v>
      </c>
      <c r="L23" s="24">
        <v>1.4470000000000001</v>
      </c>
      <c r="M23" s="50">
        <v>1.26</v>
      </c>
      <c r="N23" s="24">
        <v>0.94099999999999995</v>
      </c>
      <c r="O23" s="51">
        <v>0.97299999999999998</v>
      </c>
      <c r="P23" s="24">
        <v>0.94499999999999995</v>
      </c>
      <c r="Q23" s="24">
        <v>0.84699999999999998</v>
      </c>
      <c r="R23" s="52">
        <v>1.25</v>
      </c>
      <c r="S23" s="53">
        <v>1.1599999999999999</v>
      </c>
      <c r="T23" s="22">
        <v>1.26</v>
      </c>
      <c r="U23" s="54">
        <v>1.228</v>
      </c>
      <c r="V23" s="22">
        <v>1.1659999999999999</v>
      </c>
      <c r="W23" s="55">
        <v>1.256</v>
      </c>
      <c r="X23" s="22">
        <v>0.995</v>
      </c>
      <c r="Y23" s="52">
        <v>1.26</v>
      </c>
      <c r="Z23" s="22">
        <v>1.1599999999999999</v>
      </c>
      <c r="AA23" s="56">
        <v>0.98</v>
      </c>
      <c r="AB23" s="22">
        <v>0.96</v>
      </c>
      <c r="AC23" s="22">
        <v>0.78</v>
      </c>
      <c r="AD23" s="22">
        <v>0.97699999999999998</v>
      </c>
      <c r="AE23" s="22">
        <v>1.0209999999999999</v>
      </c>
      <c r="AF23" s="22">
        <f>0.717+0.236</f>
        <v>0.95299999999999996</v>
      </c>
      <c r="AG23" s="57">
        <v>0.98299999999999998</v>
      </c>
      <c r="AH23" s="58">
        <v>0.99</v>
      </c>
      <c r="AI23" s="59">
        <v>0.754</v>
      </c>
      <c r="AJ23" s="60">
        <v>0.76200000000000001</v>
      </c>
      <c r="AK23" s="61">
        <v>0.93500000000000005</v>
      </c>
      <c r="AL23" s="60">
        <v>0.83199999999999996</v>
      </c>
      <c r="AM23" s="60">
        <v>0.874</v>
      </c>
      <c r="AN23" s="60">
        <v>0.93500000000000005</v>
      </c>
      <c r="AO23" s="62">
        <v>0.82</v>
      </c>
      <c r="AP23" s="63">
        <v>0.84</v>
      </c>
      <c r="AQ23" s="64">
        <v>1.0680000000000001</v>
      </c>
      <c r="AR23" s="65">
        <v>1.012</v>
      </c>
      <c r="AS23" s="64">
        <v>1.024</v>
      </c>
      <c r="AT23" s="66">
        <v>1.036</v>
      </c>
      <c r="AU23" s="64">
        <v>1.02</v>
      </c>
      <c r="AV23" s="67">
        <v>1.0960000000000001</v>
      </c>
      <c r="AW23" s="63">
        <v>0.874</v>
      </c>
      <c r="AX23" s="68">
        <v>1.111</v>
      </c>
      <c r="AY23" s="69">
        <v>1.224</v>
      </c>
      <c r="AZ23" s="68">
        <v>1.131</v>
      </c>
      <c r="BA23" s="70">
        <v>1.163</v>
      </c>
      <c r="BB23" s="68">
        <v>1.377</v>
      </c>
      <c r="BC23" s="71">
        <v>1.2470000000000001</v>
      </c>
      <c r="BD23" s="68">
        <v>1.3740000000000001</v>
      </c>
      <c r="BE23" s="72">
        <v>1.4</v>
      </c>
      <c r="BF23" s="68">
        <v>1.2370000000000001</v>
      </c>
      <c r="BG23" s="73">
        <v>1.28</v>
      </c>
      <c r="BH23" s="74">
        <v>1.33</v>
      </c>
      <c r="BI23" s="75">
        <v>1.48</v>
      </c>
      <c r="BJ23" s="41">
        <v>1.329</v>
      </c>
      <c r="BK23" s="76">
        <v>1.3660000000000001</v>
      </c>
      <c r="BL23" s="41">
        <v>1.1859999999999999</v>
      </c>
      <c r="BM23" s="77">
        <v>1.3</v>
      </c>
      <c r="BN23" s="77">
        <v>1.1100000000000001</v>
      </c>
      <c r="BO23" s="77">
        <v>1.0960000000000001</v>
      </c>
      <c r="BP23" s="77">
        <v>1.1679999999999999</v>
      </c>
      <c r="BQ23" s="77">
        <v>1.272</v>
      </c>
      <c r="BR23" s="77">
        <v>1.2170000000000001</v>
      </c>
      <c r="BS23" s="78"/>
      <c r="BT23" s="79">
        <v>1.395</v>
      </c>
      <c r="BU23" s="80">
        <f>0.81+0.48</f>
        <v>1.29</v>
      </c>
      <c r="BV23" s="81">
        <v>0.94</v>
      </c>
      <c r="BW23" s="20">
        <v>1.27</v>
      </c>
      <c r="BX23" s="82">
        <v>1.07</v>
      </c>
      <c r="BY23" s="20">
        <v>0.97</v>
      </c>
      <c r="BZ23" s="83">
        <v>0.88</v>
      </c>
      <c r="CA23" s="20">
        <v>0.95</v>
      </c>
      <c r="CB23" s="20">
        <v>1.39</v>
      </c>
      <c r="CC23" s="84">
        <v>1.131</v>
      </c>
      <c r="CD23" s="85">
        <v>1.35</v>
      </c>
      <c r="CE23" s="84">
        <v>1.26</v>
      </c>
      <c r="CF23" s="219">
        <v>1.47</v>
      </c>
      <c r="CG23" s="84">
        <v>1.5</v>
      </c>
      <c r="CH23" s="84">
        <v>1.42</v>
      </c>
      <c r="CI23" s="84">
        <v>1.69</v>
      </c>
      <c r="CJ23" s="86">
        <v>1.4</v>
      </c>
      <c r="CK23" s="84">
        <v>1.4</v>
      </c>
      <c r="CL23" s="84">
        <v>1.45</v>
      </c>
      <c r="CM23" s="87">
        <v>1.3</v>
      </c>
      <c r="CN23" s="88">
        <f>0.98+0.27</f>
        <v>1.25</v>
      </c>
      <c r="CO23" s="89">
        <v>1.35</v>
      </c>
      <c r="CP23" s="88">
        <v>1.4</v>
      </c>
      <c r="CQ23" s="90">
        <v>1.2569999999999999</v>
      </c>
      <c r="CR23" s="91">
        <v>1.2609999999999999</v>
      </c>
      <c r="CS23" s="92">
        <f>0.476+0.826</f>
        <v>1.302</v>
      </c>
      <c r="CT23" s="93">
        <v>1.27</v>
      </c>
      <c r="CU23" s="92">
        <v>1.3</v>
      </c>
      <c r="CV23" s="94">
        <v>1.3</v>
      </c>
      <c r="CW23" s="243">
        <v>1.044</v>
      </c>
      <c r="CX23" s="244">
        <v>0.87</v>
      </c>
      <c r="CY23" s="245">
        <f>0.982+0.319</f>
        <v>1.3009999999999999</v>
      </c>
      <c r="CZ23" s="246">
        <v>1.159</v>
      </c>
      <c r="DA23" s="247">
        <v>1.044</v>
      </c>
      <c r="DB23" s="246">
        <v>1.2</v>
      </c>
      <c r="DC23" s="248">
        <v>1.1819999999999999</v>
      </c>
      <c r="DD23" s="249">
        <v>1.1299999999999999</v>
      </c>
      <c r="DE23" s="249">
        <v>1.1000000000000001</v>
      </c>
      <c r="DF23" s="249">
        <v>1.1000000000000001</v>
      </c>
      <c r="DG23" s="249">
        <v>1.1000000000000001</v>
      </c>
      <c r="DH23" s="249">
        <v>1</v>
      </c>
      <c r="DI23" s="249">
        <v>1.1000000000000001</v>
      </c>
      <c r="DJ23" s="95">
        <v>1.25</v>
      </c>
      <c r="DK23" s="96">
        <v>1.25</v>
      </c>
      <c r="DL23" s="97">
        <v>1.3</v>
      </c>
      <c r="DM23" s="98">
        <v>1.25</v>
      </c>
      <c r="DN23" s="96">
        <v>1.26</v>
      </c>
      <c r="DO23" s="99">
        <v>1.28</v>
      </c>
      <c r="DP23" s="96">
        <v>1.03</v>
      </c>
      <c r="DQ23" s="96">
        <v>1.427</v>
      </c>
      <c r="DR23" s="96">
        <v>1.452</v>
      </c>
      <c r="DS23" s="96">
        <v>1.399</v>
      </c>
      <c r="DT23" s="41">
        <v>0.90400000000000003</v>
      </c>
      <c r="DU23" s="41">
        <v>1.0309999999999999</v>
      </c>
      <c r="DV23" s="41">
        <v>0.94499999999999995</v>
      </c>
      <c r="DW23" s="41">
        <v>1.024</v>
      </c>
      <c r="DX23" s="41">
        <v>0.97599999999999998</v>
      </c>
      <c r="DY23" s="41">
        <v>0.96</v>
      </c>
      <c r="DZ23" s="41">
        <v>0.91700000000000004</v>
      </c>
      <c r="EA23" s="41">
        <v>0.94699999999999995</v>
      </c>
      <c r="EB23" s="41">
        <v>0.96299999999999997</v>
      </c>
      <c r="EC23" s="41">
        <v>0.9</v>
      </c>
      <c r="ED23" s="41">
        <v>0.89100000000000001</v>
      </c>
      <c r="EE23" s="100">
        <v>1.4430000000000001</v>
      </c>
      <c r="EF23" s="101">
        <v>1.587</v>
      </c>
      <c r="EG23" s="100">
        <v>1.4750000000000001</v>
      </c>
      <c r="EH23" s="102">
        <v>1.5329999999999999</v>
      </c>
      <c r="EI23" s="100">
        <v>1.1579999999999999</v>
      </c>
      <c r="EJ23" s="103">
        <v>1.345</v>
      </c>
      <c r="EK23" s="100">
        <v>1.1459999999999999</v>
      </c>
      <c r="EL23" s="104">
        <v>1.246</v>
      </c>
      <c r="EM23" s="100">
        <v>1.228</v>
      </c>
      <c r="EN23" s="105">
        <v>1.145</v>
      </c>
      <c r="EO23" s="100">
        <v>1.1930000000000001</v>
      </c>
      <c r="EP23" s="100">
        <v>1.24</v>
      </c>
      <c r="EQ23" s="100">
        <v>1.31</v>
      </c>
      <c r="ER23" s="100">
        <v>1.2809999999999999</v>
      </c>
      <c r="ES23" s="106">
        <v>1.337</v>
      </c>
      <c r="ET23" s="107">
        <v>1.264</v>
      </c>
      <c r="EU23" s="106">
        <v>1.1619999999999999</v>
      </c>
      <c r="EV23" s="108">
        <v>1.159</v>
      </c>
      <c r="EW23" s="106">
        <v>1.266</v>
      </c>
      <c r="EX23" s="109">
        <v>1.121</v>
      </c>
      <c r="EY23" s="106">
        <v>1.0369999999999999</v>
      </c>
      <c r="EZ23" s="110">
        <v>1.464</v>
      </c>
      <c r="FA23" s="106">
        <v>1.4670000000000001</v>
      </c>
      <c r="FB23" s="107">
        <v>1.3620000000000001</v>
      </c>
      <c r="FC23" s="106">
        <v>1.137</v>
      </c>
      <c r="FD23" s="106">
        <v>1.1759999999999999</v>
      </c>
      <c r="FE23" s="106">
        <v>1.198</v>
      </c>
      <c r="FF23" s="106">
        <v>1.2589999999999999</v>
      </c>
      <c r="FG23" s="111">
        <v>0.95299999999999996</v>
      </c>
      <c r="FH23" s="112">
        <v>1.04</v>
      </c>
      <c r="FI23" s="111">
        <v>1.0229999999999999</v>
      </c>
      <c r="FJ23" s="113">
        <v>0.98</v>
      </c>
      <c r="FK23" s="111">
        <v>0.99</v>
      </c>
      <c r="FL23" s="114">
        <v>0.92</v>
      </c>
      <c r="FM23" s="111">
        <v>0.95</v>
      </c>
      <c r="FN23" s="115">
        <v>0.999</v>
      </c>
      <c r="FO23" s="116">
        <v>0.97199999999999998</v>
      </c>
      <c r="FP23" s="117">
        <v>1.006</v>
      </c>
      <c r="FQ23" s="116">
        <v>0.95199999999999996</v>
      </c>
      <c r="FR23" s="118">
        <v>1.6110000000000002</v>
      </c>
      <c r="FS23" s="119">
        <f>1.352+0.41</f>
        <v>1.762</v>
      </c>
      <c r="FT23" s="118">
        <f>0.723+0.941</f>
        <v>1.6639999999999999</v>
      </c>
      <c r="FU23" s="120">
        <v>1.45</v>
      </c>
      <c r="FV23" s="118">
        <v>1.4219999999999999</v>
      </c>
      <c r="FW23" s="121">
        <v>1.4430000000000001</v>
      </c>
      <c r="FX23" s="118">
        <v>1.5760000000000001</v>
      </c>
      <c r="FY23" s="122">
        <f>1.602+0.106</f>
        <v>1.7080000000000002</v>
      </c>
      <c r="FZ23" s="118">
        <v>1.8009999999999999</v>
      </c>
      <c r="GA23" s="123">
        <v>1.482</v>
      </c>
      <c r="GB23" s="45">
        <v>1.66</v>
      </c>
      <c r="GC23" s="45">
        <v>1.36</v>
      </c>
      <c r="GD23" s="124">
        <v>0.878</v>
      </c>
      <c r="GE23" s="125">
        <v>1.163</v>
      </c>
      <c r="GF23" s="126">
        <v>0.93600000000000005</v>
      </c>
      <c r="GG23" s="124">
        <v>0.97699999999999998</v>
      </c>
      <c r="GH23" s="127">
        <v>1.0289999999999999</v>
      </c>
      <c r="GI23" s="124">
        <v>0.82799999999999996</v>
      </c>
      <c r="GJ23" s="128">
        <v>1.0900000000000001</v>
      </c>
      <c r="GK23" s="124">
        <v>1.04</v>
      </c>
      <c r="GL23" s="124">
        <v>0.82</v>
      </c>
      <c r="GM23" s="124">
        <v>0.96</v>
      </c>
      <c r="GN23" s="124">
        <v>0.97</v>
      </c>
      <c r="GO23" s="124">
        <v>0.89</v>
      </c>
      <c r="GP23" s="124">
        <v>0.99</v>
      </c>
      <c r="GQ23" s="124">
        <v>0.92</v>
      </c>
      <c r="GR23" s="124">
        <v>0.88</v>
      </c>
      <c r="GS23" s="124">
        <v>0.85</v>
      </c>
      <c r="GT23" s="92">
        <v>1.2</v>
      </c>
      <c r="GU23" s="92">
        <v>1.1399999999999999</v>
      </c>
      <c r="GV23" s="130">
        <v>1.22</v>
      </c>
      <c r="GW23" s="91">
        <v>1.242</v>
      </c>
      <c r="GX23" s="94">
        <v>1.327</v>
      </c>
      <c r="GY23" s="92">
        <v>1.2330000000000001</v>
      </c>
      <c r="GZ23" s="90">
        <f>1.006+0.398</f>
        <v>1.4039999999999999</v>
      </c>
      <c r="HA23" s="92">
        <v>1.403</v>
      </c>
      <c r="HB23" s="91">
        <v>1.238</v>
      </c>
      <c r="HC23" s="93">
        <v>1.101</v>
      </c>
      <c r="HD23" s="92">
        <v>1.252</v>
      </c>
      <c r="HE23" s="94">
        <v>1.4770000000000001</v>
      </c>
      <c r="HF23" s="92">
        <v>1.302</v>
      </c>
      <c r="HG23" s="18"/>
      <c r="HH23" s="18"/>
    </row>
    <row r="24" spans="1:216" customFormat="1" x14ac:dyDescent="0.25">
      <c r="A24" t="s">
        <v>10</v>
      </c>
      <c r="B24" s="48">
        <f>B23/B2</f>
        <v>0.59068865179437435</v>
      </c>
      <c r="C24" s="48">
        <f t="shared" ref="C24:BW24" si="51">C23/C2</f>
        <v>0.54911242603550292</v>
      </c>
      <c r="D24" s="48">
        <f t="shared" si="51"/>
        <v>0.56858306926210955</v>
      </c>
      <c r="E24" s="48">
        <f t="shared" si="51"/>
        <v>0.56915598762704378</v>
      </c>
      <c r="F24" s="24">
        <f t="shared" si="51"/>
        <v>0.61297852474323067</v>
      </c>
      <c r="G24" s="51">
        <f t="shared" si="51"/>
        <v>0.64118001204093911</v>
      </c>
      <c r="H24" s="24">
        <f t="shared" si="51"/>
        <v>0.5934699103713188</v>
      </c>
      <c r="I24" s="49">
        <f t="shared" si="51"/>
        <v>0.595707656612529</v>
      </c>
      <c r="J24" s="24">
        <f t="shared" si="51"/>
        <v>0.65489957395009146</v>
      </c>
      <c r="K24" s="48">
        <f t="shared" si="51"/>
        <v>0.61184473789515803</v>
      </c>
      <c r="L24" s="24">
        <f t="shared" si="51"/>
        <v>0.55019011406844109</v>
      </c>
      <c r="M24" s="50">
        <f t="shared" si="51"/>
        <v>0.63221274460612142</v>
      </c>
      <c r="N24" s="24">
        <f t="shared" si="51"/>
        <v>0.5819418676561533</v>
      </c>
      <c r="O24" s="51">
        <f t="shared" si="51"/>
        <v>0.61699429296131891</v>
      </c>
      <c r="P24" s="24">
        <f t="shared" si="51"/>
        <v>0.51866081229418215</v>
      </c>
      <c r="Q24" s="24">
        <f t="shared" si="51"/>
        <v>0.54504504504504503</v>
      </c>
      <c r="R24" s="52">
        <f t="shared" si="51"/>
        <v>0.51695616211745243</v>
      </c>
      <c r="S24" s="53">
        <f t="shared" si="51"/>
        <v>0.60103626943005184</v>
      </c>
      <c r="T24" s="22">
        <f t="shared" si="51"/>
        <v>0.504</v>
      </c>
      <c r="U24" s="54">
        <f t="shared" si="51"/>
        <v>0.57463734206832007</v>
      </c>
      <c r="V24" s="22">
        <f t="shared" si="51"/>
        <v>0.57923497267759561</v>
      </c>
      <c r="W24" s="55">
        <f t="shared" si="51"/>
        <v>0.55575221238938055</v>
      </c>
      <c r="X24" s="22">
        <f t="shared" si="51"/>
        <v>0.59580838323353291</v>
      </c>
      <c r="Y24" s="52">
        <f t="shared" si="51"/>
        <v>0.55752212389380529</v>
      </c>
      <c r="Z24" s="22">
        <f t="shared" si="51"/>
        <v>0.54460093896713613</v>
      </c>
      <c r="AA24" s="56">
        <f t="shared" si="51"/>
        <v>0.56976744186046524</v>
      </c>
      <c r="AB24" s="22">
        <f t="shared" si="51"/>
        <v>0.61146496815286622</v>
      </c>
      <c r="AC24" s="22">
        <f t="shared" si="51"/>
        <v>0.6</v>
      </c>
      <c r="AD24" s="22">
        <f t="shared" si="51"/>
        <v>0.6646258503401361</v>
      </c>
      <c r="AE24" s="22">
        <f t="shared" si="51"/>
        <v>0.57359550561797745</v>
      </c>
      <c r="AF24" s="22">
        <f t="shared" si="51"/>
        <v>0.62328319162851542</v>
      </c>
      <c r="AG24" s="57">
        <f t="shared" si="51"/>
        <v>0.6034376918354819</v>
      </c>
      <c r="AH24" s="60">
        <f t="shared" si="51"/>
        <v>0.6827586206896552</v>
      </c>
      <c r="AI24" s="59">
        <f t="shared" si="51"/>
        <v>0.57777777777777783</v>
      </c>
      <c r="AJ24" s="60">
        <f t="shared" si="51"/>
        <v>0.57293233082706763</v>
      </c>
      <c r="AK24" s="61">
        <f t="shared" si="51"/>
        <v>0.64571823204419898</v>
      </c>
      <c r="AL24" s="60">
        <f t="shared" si="51"/>
        <v>0.72097053726169846</v>
      </c>
      <c r="AM24" s="60">
        <f t="shared" si="51"/>
        <v>0.62787356321839083</v>
      </c>
      <c r="AN24" s="60">
        <f t="shared" si="51"/>
        <v>0.68198395331874551</v>
      </c>
      <c r="AO24" s="62">
        <f t="shared" si="51"/>
        <v>0.49131216297183938</v>
      </c>
      <c r="AP24" s="62">
        <f t="shared" si="51"/>
        <v>0.50299401197604787</v>
      </c>
      <c r="AQ24" s="62">
        <f t="shared" si="51"/>
        <v>0.50329877474081064</v>
      </c>
      <c r="AR24" s="62">
        <f t="shared" si="51"/>
        <v>0.50373320059731208</v>
      </c>
      <c r="AS24" s="62">
        <f t="shared" si="51"/>
        <v>0.49564375605033889</v>
      </c>
      <c r="AT24" s="62">
        <f t="shared" si="51"/>
        <v>0.49333333333333335</v>
      </c>
      <c r="AU24" s="62">
        <f t="shared" si="51"/>
        <v>0.4715672676837725</v>
      </c>
      <c r="AV24" s="67">
        <f t="shared" si="51"/>
        <v>0.49592760180995482</v>
      </c>
      <c r="AW24" s="63">
        <f t="shared" si="51"/>
        <v>0.45663531870428425</v>
      </c>
      <c r="AX24" s="69">
        <f>AX23/AX2</f>
        <v>0.7476446837146703</v>
      </c>
      <c r="AY24" s="69">
        <f t="shared" si="51"/>
        <v>0.70223752151462993</v>
      </c>
      <c r="AZ24" s="68">
        <f t="shared" si="51"/>
        <v>0.79985855728429989</v>
      </c>
      <c r="BA24" s="68">
        <f t="shared" si="51"/>
        <v>0.60541384695471112</v>
      </c>
      <c r="BB24" s="68">
        <f t="shared" si="51"/>
        <v>0.62962962962962965</v>
      </c>
      <c r="BC24" s="68">
        <f t="shared" si="51"/>
        <v>0.65151515151515149</v>
      </c>
      <c r="BD24" s="68">
        <f t="shared" si="51"/>
        <v>0.66763848396501468</v>
      </c>
      <c r="BE24" s="72">
        <f t="shared" si="51"/>
        <v>0.78431372549019596</v>
      </c>
      <c r="BF24" s="68">
        <f t="shared" si="51"/>
        <v>0.59528392685274301</v>
      </c>
      <c r="BG24" s="221">
        <f t="shared" si="51"/>
        <v>0.61390887290167873</v>
      </c>
      <c r="BH24" s="222">
        <f t="shared" si="51"/>
        <v>0.55004135649296937</v>
      </c>
      <c r="BI24" s="223">
        <f t="shared" si="51"/>
        <v>0.5229681978798586</v>
      </c>
      <c r="BJ24" s="41">
        <f t="shared" si="51"/>
        <v>0.57161290322580638</v>
      </c>
      <c r="BK24" s="76">
        <f t="shared" si="51"/>
        <v>0.5933970460469159</v>
      </c>
      <c r="BL24" s="41">
        <f t="shared" si="51"/>
        <v>0.58137254901960778</v>
      </c>
      <c r="BM24" s="77">
        <f t="shared" si="51"/>
        <v>0.56374674761491761</v>
      </c>
      <c r="BN24" s="77">
        <f>BN23/BN2</f>
        <v>0.6166666666666667</v>
      </c>
      <c r="BO24" s="77">
        <f>BO23/BO2</f>
        <v>0.69675778766687868</v>
      </c>
      <c r="BP24" s="77">
        <f>BP23/BP2</f>
        <v>0.63790278536318945</v>
      </c>
      <c r="BQ24" s="77">
        <f>BQ23/BQ2</f>
        <v>0.67912439935931657</v>
      </c>
      <c r="BR24" s="77">
        <f>BR23/BR2</f>
        <v>0.60667996011964109</v>
      </c>
      <c r="BS24" s="224"/>
      <c r="BT24" s="20">
        <f t="shared" si="51"/>
        <v>0.58835934204976803</v>
      </c>
      <c r="BU24" s="225">
        <f t="shared" si="51"/>
        <v>0.53108275010292305</v>
      </c>
      <c r="BV24" s="211">
        <f t="shared" si="51"/>
        <v>0.81526452732003463</v>
      </c>
      <c r="BW24" s="20">
        <f t="shared" si="51"/>
        <v>0.52697095435684649</v>
      </c>
      <c r="BX24" s="82">
        <f t="shared" ref="BX24:FB24" si="52">BX23/BX2</f>
        <v>0.63313609467455623</v>
      </c>
      <c r="BY24" s="20">
        <f t="shared" si="52"/>
        <v>0.66438356164383561</v>
      </c>
      <c r="BZ24" s="83">
        <f t="shared" si="52"/>
        <v>0.60689655172413792</v>
      </c>
      <c r="CA24" s="20">
        <f t="shared" si="52"/>
        <v>0.63758389261744963</v>
      </c>
      <c r="CB24" s="20">
        <f t="shared" si="52"/>
        <v>0.66190476190476188</v>
      </c>
      <c r="CC24" s="84">
        <f t="shared" si="52"/>
        <v>0.71900826446280997</v>
      </c>
      <c r="CD24" s="85">
        <f t="shared" si="52"/>
        <v>0.68181818181818188</v>
      </c>
      <c r="CE24" s="84">
        <f t="shared" si="52"/>
        <v>0.63636363636363635</v>
      </c>
      <c r="CF24" s="219">
        <f t="shared" si="52"/>
        <v>0.64192139737991261</v>
      </c>
      <c r="CG24" s="84">
        <f t="shared" si="52"/>
        <v>0.69767441860465118</v>
      </c>
      <c r="CH24" s="84">
        <f t="shared" si="52"/>
        <v>0.74736842105263157</v>
      </c>
      <c r="CI24" s="84">
        <f t="shared" si="52"/>
        <v>0.68699186991869921</v>
      </c>
      <c r="CJ24" s="86">
        <f t="shared" si="52"/>
        <v>0.64516129032258063</v>
      </c>
      <c r="CK24" s="84">
        <f t="shared" si="52"/>
        <v>0.63926940639269403</v>
      </c>
      <c r="CL24" s="84">
        <f t="shared" si="52"/>
        <v>0.82386363636363635</v>
      </c>
      <c r="CM24" s="94">
        <f t="shared" si="52"/>
        <v>0.74158585282373068</v>
      </c>
      <c r="CN24" s="92">
        <f t="shared" si="52"/>
        <v>0.79113924050632911</v>
      </c>
      <c r="CO24" s="226">
        <f t="shared" si="52"/>
        <v>0.54989816700611005</v>
      </c>
      <c r="CP24" s="92">
        <f t="shared" si="52"/>
        <v>0.81727962638645646</v>
      </c>
      <c r="CQ24" s="90">
        <f t="shared" si="52"/>
        <v>0.59125117591721532</v>
      </c>
      <c r="CR24" s="91">
        <f t="shared" si="52"/>
        <v>0.67038809144072298</v>
      </c>
      <c r="CS24" s="92">
        <f t="shared" si="52"/>
        <v>0.79052823315118403</v>
      </c>
      <c r="CT24" s="93">
        <f t="shared" si="52"/>
        <v>0.67553191489361708</v>
      </c>
      <c r="CU24" s="92">
        <f t="shared" si="52"/>
        <v>0.72625698324022347</v>
      </c>
      <c r="CV24" s="94">
        <f t="shared" si="52"/>
        <v>0.70270270270270274</v>
      </c>
      <c r="CW24" s="248">
        <f t="shared" si="52"/>
        <v>0.64524103831891233</v>
      </c>
      <c r="CX24" s="246">
        <f t="shared" si="52"/>
        <v>0.83815028901734101</v>
      </c>
      <c r="CY24" s="255">
        <f t="shared" si="52"/>
        <v>0.62100238663484486</v>
      </c>
      <c r="CZ24" s="246">
        <f t="shared" si="52"/>
        <v>0.79986197377501722</v>
      </c>
      <c r="DA24" s="247">
        <f t="shared" si="52"/>
        <v>0.71654083733699381</v>
      </c>
      <c r="DB24" s="246">
        <f t="shared" si="52"/>
        <v>0.79155672823218992</v>
      </c>
      <c r="DC24" s="248">
        <f t="shared" si="52"/>
        <v>0.73782771535580527</v>
      </c>
      <c r="DD24" s="249">
        <f t="shared" si="52"/>
        <v>0.64942528735632177</v>
      </c>
      <c r="DE24" s="249">
        <f t="shared" si="52"/>
        <v>0.6470588235294118</v>
      </c>
      <c r="DF24" s="249">
        <f t="shared" si="52"/>
        <v>0.7006369426751593</v>
      </c>
      <c r="DG24" s="249">
        <f t="shared" si="52"/>
        <v>0.62146892655367236</v>
      </c>
      <c r="DH24" s="249">
        <f t="shared" si="52"/>
        <v>0.67567567567567566</v>
      </c>
      <c r="DI24" s="249">
        <f t="shared" si="52"/>
        <v>0.66666666666666674</v>
      </c>
      <c r="DJ24" s="95">
        <f t="shared" si="52"/>
        <v>0.59523809523809523</v>
      </c>
      <c r="DK24" s="96">
        <f t="shared" si="52"/>
        <v>0.51631557207765388</v>
      </c>
      <c r="DL24" s="97">
        <f t="shared" si="52"/>
        <v>0.51302288871349655</v>
      </c>
      <c r="DM24" s="98">
        <f t="shared" si="52"/>
        <v>0.54608999563128013</v>
      </c>
      <c r="DN24" s="96">
        <f t="shared" si="52"/>
        <v>0.50991501416430596</v>
      </c>
      <c r="DO24" s="99">
        <f t="shared" si="52"/>
        <v>0.56140350877192979</v>
      </c>
      <c r="DP24" s="96">
        <f t="shared" si="52"/>
        <v>0.55675675675675673</v>
      </c>
      <c r="DQ24" s="96">
        <f t="shared" si="52"/>
        <v>0.56269716088328081</v>
      </c>
      <c r="DR24" s="96">
        <f t="shared" si="52"/>
        <v>0.54524971836274883</v>
      </c>
      <c r="DS24" s="96">
        <f t="shared" si="52"/>
        <v>0.52201492537313432</v>
      </c>
      <c r="DT24" s="41">
        <f t="shared" ref="DT24:ED24" si="53">DT23/DT2</f>
        <v>0.74098360655737705</v>
      </c>
      <c r="DU24" s="41">
        <f t="shared" si="53"/>
        <v>0.82944489139179389</v>
      </c>
      <c r="DV24" s="41">
        <f t="shared" si="53"/>
        <v>0.58695652173913038</v>
      </c>
      <c r="DW24" s="41">
        <f t="shared" si="53"/>
        <v>0.59190751445086709</v>
      </c>
      <c r="DX24" s="41">
        <f t="shared" si="53"/>
        <v>0.57411764705882351</v>
      </c>
      <c r="DY24" s="41">
        <f t="shared" si="53"/>
        <v>0.73846153846153839</v>
      </c>
      <c r="DZ24" s="41">
        <f t="shared" si="53"/>
        <v>0.53941176470588237</v>
      </c>
      <c r="EA24" s="41">
        <f t="shared" si="53"/>
        <v>0.66223776223776221</v>
      </c>
      <c r="EB24" s="41">
        <f t="shared" si="53"/>
        <v>0.62941176470588234</v>
      </c>
      <c r="EC24" s="41">
        <f t="shared" si="53"/>
        <v>0.69821567106283944</v>
      </c>
      <c r="ED24" s="41">
        <f t="shared" si="53"/>
        <v>0.56787762906309758</v>
      </c>
      <c r="EE24" s="100">
        <f t="shared" si="52"/>
        <v>0.5842105263157894</v>
      </c>
      <c r="EF24" s="101">
        <f t="shared" si="52"/>
        <v>0.57479174212241935</v>
      </c>
      <c r="EG24" s="100">
        <f t="shared" si="52"/>
        <v>0.77959830866807622</v>
      </c>
      <c r="EH24" s="102">
        <f t="shared" si="52"/>
        <v>0.63795255930087391</v>
      </c>
      <c r="EI24" s="100">
        <f t="shared" si="52"/>
        <v>0.58190954773869352</v>
      </c>
      <c r="EJ24" s="103">
        <f t="shared" si="52"/>
        <v>0.5679898648648648</v>
      </c>
      <c r="EK24" s="100">
        <f t="shared" si="52"/>
        <v>0.65448315248429467</v>
      </c>
      <c r="EL24" s="104">
        <f t="shared" si="52"/>
        <v>0.57899628252788105</v>
      </c>
      <c r="EM24" s="100">
        <f t="shared" si="52"/>
        <v>0.69535673839184597</v>
      </c>
      <c r="EN24" s="105">
        <f t="shared" si="52"/>
        <v>0.58388577256501795</v>
      </c>
      <c r="EO24" s="105">
        <f t="shared" si="52"/>
        <v>0.55825924192793641</v>
      </c>
      <c r="EP24" s="105">
        <f t="shared" si="52"/>
        <v>0.58462989156058465</v>
      </c>
      <c r="EQ24" s="105">
        <f t="shared" si="52"/>
        <v>0.55935098206660971</v>
      </c>
      <c r="ER24" s="105">
        <f t="shared" si="52"/>
        <v>0.51904376012965958</v>
      </c>
      <c r="ES24" s="106">
        <f t="shared" si="52"/>
        <v>0.55708333333333337</v>
      </c>
      <c r="ET24" s="107">
        <f t="shared" si="52"/>
        <v>0.60798460798460807</v>
      </c>
      <c r="EU24" s="106">
        <f t="shared" si="52"/>
        <v>0.56380397865114018</v>
      </c>
      <c r="EV24" s="108">
        <f t="shared" si="52"/>
        <v>0.59193054136874368</v>
      </c>
      <c r="EW24" s="106">
        <f t="shared" si="52"/>
        <v>0.64263959390862935</v>
      </c>
      <c r="EX24" s="109">
        <f t="shared" si="52"/>
        <v>0.66567695961995244</v>
      </c>
      <c r="EY24" s="106">
        <f t="shared" si="52"/>
        <v>0.65674477517416086</v>
      </c>
      <c r="EZ24" s="110">
        <f t="shared" si="52"/>
        <v>0.61616161616161613</v>
      </c>
      <c r="FA24" s="106">
        <f t="shared" si="52"/>
        <v>0.63533997401472497</v>
      </c>
      <c r="FB24" s="107">
        <f t="shared" si="52"/>
        <v>0.6165685830692621</v>
      </c>
      <c r="FC24" s="107">
        <f t="shared" ref="FC24:HF24" si="54">FC23/FC2</f>
        <v>0.63307349665924273</v>
      </c>
      <c r="FD24" s="107">
        <f t="shared" si="54"/>
        <v>0.5996940336562977</v>
      </c>
      <c r="FE24" s="107">
        <f t="shared" si="54"/>
        <v>0.5843902439024391</v>
      </c>
      <c r="FF24" s="107">
        <f t="shared" si="54"/>
        <v>0.57991708889912486</v>
      </c>
      <c r="FG24" s="116">
        <f t="shared" si="54"/>
        <v>0.4447036864209053</v>
      </c>
      <c r="FH24" s="115">
        <f t="shared" si="54"/>
        <v>0.45916114790286977</v>
      </c>
      <c r="FI24" s="116">
        <f t="shared" si="54"/>
        <v>0.42448132780082981</v>
      </c>
      <c r="FJ24" s="227">
        <f t="shared" si="54"/>
        <v>0.44144144144144137</v>
      </c>
      <c r="FK24" s="116">
        <f t="shared" si="54"/>
        <v>0.44999999999999996</v>
      </c>
      <c r="FL24" s="228">
        <f t="shared" si="54"/>
        <v>0.54534676941315952</v>
      </c>
      <c r="FM24" s="116">
        <f t="shared" si="54"/>
        <v>0.42735042735042733</v>
      </c>
      <c r="FN24" s="115">
        <f t="shared" si="54"/>
        <v>0.43246753246753245</v>
      </c>
      <c r="FO24" s="116">
        <f t="shared" si="54"/>
        <v>0.46911196911196906</v>
      </c>
      <c r="FP24" s="117">
        <f t="shared" si="54"/>
        <v>0.52919516044187265</v>
      </c>
      <c r="FQ24" s="116">
        <f t="shared" si="54"/>
        <v>0.46666666666666662</v>
      </c>
      <c r="FR24" s="118">
        <f>FR23/FR2</f>
        <v>0.64311377245508994</v>
      </c>
      <c r="FS24" s="118">
        <f t="shared" si="54"/>
        <v>0.61032213370280575</v>
      </c>
      <c r="FT24" s="118">
        <f t="shared" si="54"/>
        <v>0.68931234465617242</v>
      </c>
      <c r="FU24" s="118">
        <f t="shared" si="54"/>
        <v>0.62934027777777768</v>
      </c>
      <c r="FV24" s="118">
        <f t="shared" si="54"/>
        <v>0.60510638297872332</v>
      </c>
      <c r="FW24" s="118">
        <f t="shared" si="54"/>
        <v>0.68194706994328924</v>
      </c>
      <c r="FX24" s="118">
        <f t="shared" si="54"/>
        <v>0.57392571012381643</v>
      </c>
      <c r="FY24" s="118">
        <f t="shared" si="54"/>
        <v>0.65024555525945105</v>
      </c>
      <c r="FZ24" s="118">
        <f t="shared" si="54"/>
        <v>0.69914596273291918</v>
      </c>
      <c r="GA24" s="118">
        <f t="shared" si="54"/>
        <v>0.65808170515097697</v>
      </c>
      <c r="GB24" s="118">
        <f t="shared" si="54"/>
        <v>0.55518394648829428</v>
      </c>
      <c r="GC24" s="118">
        <f t="shared" si="54"/>
        <v>0.62271062271062272</v>
      </c>
      <c r="GD24" s="229">
        <f t="shared" si="54"/>
        <v>0.66971777269260113</v>
      </c>
      <c r="GE24" s="229">
        <f t="shared" si="54"/>
        <v>0.64611111111111108</v>
      </c>
      <c r="GF24" s="126">
        <f t="shared" si="54"/>
        <v>0.61256544502617805</v>
      </c>
      <c r="GG24" s="124">
        <f t="shared" si="54"/>
        <v>0.77601270849880866</v>
      </c>
      <c r="GH24" s="127">
        <f t="shared" si="54"/>
        <v>0.73975557153127236</v>
      </c>
      <c r="GI24" s="124">
        <f t="shared" si="54"/>
        <v>0.60218181818181815</v>
      </c>
      <c r="GJ24" s="128">
        <f t="shared" si="54"/>
        <v>0.66830165542611897</v>
      </c>
      <c r="GK24" s="229">
        <f t="shared" si="54"/>
        <v>0.74285714285714288</v>
      </c>
      <c r="GL24" s="229">
        <f t="shared" si="54"/>
        <v>0.58992805755395672</v>
      </c>
      <c r="GM24" s="229">
        <f t="shared" si="54"/>
        <v>0.71111111111111103</v>
      </c>
      <c r="GN24" s="229">
        <f t="shared" si="54"/>
        <v>0.62580645161290327</v>
      </c>
      <c r="GO24" s="229">
        <f t="shared" si="54"/>
        <v>0.68461538461538463</v>
      </c>
      <c r="GP24" s="229">
        <f t="shared" si="54"/>
        <v>0.67808219178082196</v>
      </c>
      <c r="GQ24" s="229">
        <f t="shared" si="54"/>
        <v>0.70769230769230784</v>
      </c>
      <c r="GR24" s="229">
        <f t="shared" si="54"/>
        <v>0.69841269841269837</v>
      </c>
      <c r="GS24" s="229">
        <f t="shared" si="54"/>
        <v>0.56666666666666665</v>
      </c>
      <c r="GT24" s="92">
        <f t="shared" si="54"/>
        <v>0.46728971962616828</v>
      </c>
      <c r="GU24" s="92">
        <f t="shared" si="54"/>
        <v>0.41155234657039702</v>
      </c>
      <c r="GV24" s="130">
        <f t="shared" si="54"/>
        <v>0.48297703879651627</v>
      </c>
      <c r="GW24" s="91">
        <f t="shared" si="54"/>
        <v>0.5625</v>
      </c>
      <c r="GX24" s="94">
        <f t="shared" si="54"/>
        <v>0.59400179051029545</v>
      </c>
      <c r="GY24" s="92">
        <f t="shared" si="54"/>
        <v>0.50824402308326466</v>
      </c>
      <c r="GZ24" s="90">
        <f t="shared" si="54"/>
        <v>0.50124955373081048</v>
      </c>
      <c r="HA24" s="92">
        <f t="shared" si="54"/>
        <v>0.55454545454545445</v>
      </c>
      <c r="HB24" s="91">
        <f t="shared" si="54"/>
        <v>0.55120213713268029</v>
      </c>
      <c r="HC24" s="93">
        <f t="shared" si="54"/>
        <v>0.48630742049469966</v>
      </c>
      <c r="HD24" s="92">
        <f t="shared" si="54"/>
        <v>0.52144939608496466</v>
      </c>
      <c r="HE24" s="94">
        <f t="shared" si="54"/>
        <v>0.59918864097363089</v>
      </c>
      <c r="HF24" s="92">
        <f t="shared" si="54"/>
        <v>0.53980099502487566</v>
      </c>
      <c r="HG24" s="18"/>
      <c r="HH24" s="18"/>
    </row>
    <row r="25" spans="1:216" customFormat="1" x14ac:dyDescent="0.25">
      <c r="A25" t="s">
        <v>9</v>
      </c>
      <c r="B25" s="48">
        <v>0.105</v>
      </c>
      <c r="C25" s="24">
        <v>0.13500000000000001</v>
      </c>
      <c r="D25" s="49">
        <v>0.105</v>
      </c>
      <c r="E25" s="50">
        <v>0.128</v>
      </c>
      <c r="F25" s="24">
        <v>0.11899999999999999</v>
      </c>
      <c r="G25" s="51">
        <v>8.7999999999999995E-2</v>
      </c>
      <c r="H25" s="24">
        <v>8.1000000000000003E-2</v>
      </c>
      <c r="I25" s="49">
        <v>0.1</v>
      </c>
      <c r="J25" s="24">
        <v>8.5000000000000006E-2</v>
      </c>
      <c r="K25" s="48">
        <v>0.125</v>
      </c>
      <c r="L25" s="24">
        <v>0.124</v>
      </c>
      <c r="M25" s="50">
        <v>0.11600000000000001</v>
      </c>
      <c r="N25" s="24">
        <v>9.1999999999999998E-2</v>
      </c>
      <c r="O25" s="51">
        <v>9.5000000000000001E-2</v>
      </c>
      <c r="P25" s="24">
        <v>8.4000000000000005E-2</v>
      </c>
      <c r="Q25" s="24">
        <v>7.9000000000000001E-2</v>
      </c>
      <c r="R25" s="52">
        <v>0.128</v>
      </c>
      <c r="S25" s="53">
        <v>0.11700000000000001</v>
      </c>
      <c r="T25" s="22">
        <v>0.106</v>
      </c>
      <c r="U25" s="54">
        <v>0.107</v>
      </c>
      <c r="V25" s="22">
        <v>0.108</v>
      </c>
      <c r="W25" s="55">
        <v>0.115</v>
      </c>
      <c r="X25" s="22">
        <v>0.107</v>
      </c>
      <c r="Y25" s="52">
        <v>0.12</v>
      </c>
      <c r="Z25" s="22">
        <v>0.11</v>
      </c>
      <c r="AA25" s="56">
        <v>0.09</v>
      </c>
      <c r="AB25" s="22">
        <v>0.09</v>
      </c>
      <c r="AC25" s="22">
        <v>0.1</v>
      </c>
      <c r="AD25" s="22">
        <v>0.1</v>
      </c>
      <c r="AE25" s="22">
        <v>0.1</v>
      </c>
      <c r="AF25" s="22">
        <v>0.08</v>
      </c>
      <c r="AG25" s="57">
        <v>8.8999999999999996E-2</v>
      </c>
      <c r="AH25" s="60">
        <v>9.0999999999999998E-2</v>
      </c>
      <c r="AI25" s="59">
        <v>8.1000000000000003E-2</v>
      </c>
      <c r="AJ25" s="60">
        <v>8.2000000000000003E-2</v>
      </c>
      <c r="AK25" s="61">
        <v>8.1000000000000003E-2</v>
      </c>
      <c r="AL25" s="60">
        <v>7.6999999999999999E-2</v>
      </c>
      <c r="AM25" s="60">
        <v>8.4000000000000005E-2</v>
      </c>
      <c r="AN25" s="60">
        <v>9.1999999999999998E-2</v>
      </c>
      <c r="AO25" s="62">
        <v>7.1999999999999995E-2</v>
      </c>
      <c r="AP25" s="63">
        <v>8.7999999999999995E-2</v>
      </c>
      <c r="AQ25" s="64">
        <v>0.115</v>
      </c>
      <c r="AR25" s="65">
        <v>0.12</v>
      </c>
      <c r="AS25" s="64">
        <v>0.121</v>
      </c>
      <c r="AT25" s="66">
        <v>0.12</v>
      </c>
      <c r="AU25" s="64">
        <v>0.11</v>
      </c>
      <c r="AV25" s="67">
        <v>0.11600000000000001</v>
      </c>
      <c r="AW25" s="63">
        <v>0.115</v>
      </c>
      <c r="AX25" s="68">
        <v>9.6000000000000002E-2</v>
      </c>
      <c r="AY25" s="69">
        <v>9.9000000000000005E-2</v>
      </c>
      <c r="AZ25" s="68">
        <v>9.5000000000000001E-2</v>
      </c>
      <c r="BA25" s="70">
        <v>0.1</v>
      </c>
      <c r="BB25" s="68">
        <v>9.8000000000000004E-2</v>
      </c>
      <c r="BC25" s="71">
        <v>7.8E-2</v>
      </c>
      <c r="BD25" s="68">
        <v>9.0999999999999998E-2</v>
      </c>
      <c r="BE25" s="72">
        <v>0.115</v>
      </c>
      <c r="BF25" s="68">
        <v>0.11</v>
      </c>
      <c r="BG25" s="73">
        <v>0.12</v>
      </c>
      <c r="BH25" s="74">
        <v>0.125</v>
      </c>
      <c r="BI25" s="75">
        <v>0.113</v>
      </c>
      <c r="BJ25" s="41">
        <v>0.125</v>
      </c>
      <c r="BK25" s="76">
        <v>0.123</v>
      </c>
      <c r="BL25" s="41">
        <v>0.111</v>
      </c>
      <c r="BM25" s="77">
        <v>0.122</v>
      </c>
      <c r="BN25" s="77">
        <v>0.1</v>
      </c>
      <c r="BO25" s="77">
        <v>0.1</v>
      </c>
      <c r="BP25" s="77">
        <v>0.1</v>
      </c>
      <c r="BQ25" s="77">
        <v>0.1</v>
      </c>
      <c r="BR25" s="77">
        <v>0.1</v>
      </c>
      <c r="BS25" s="78"/>
      <c r="BT25" s="79">
        <v>9.9000000000000005E-2</v>
      </c>
      <c r="BU25" s="80">
        <v>0.107</v>
      </c>
      <c r="BV25" s="81">
        <v>9.0999999999999998E-2</v>
      </c>
      <c r="BW25" s="20">
        <v>0.12</v>
      </c>
      <c r="BX25" s="82">
        <v>0.09</v>
      </c>
      <c r="BY25" s="20">
        <v>0.09</v>
      </c>
      <c r="BZ25" s="83">
        <v>0.09</v>
      </c>
      <c r="CA25" s="20">
        <v>0.09</v>
      </c>
      <c r="CB25" s="20">
        <v>0.09</v>
      </c>
      <c r="CC25" s="84">
        <v>9.6000000000000002E-2</v>
      </c>
      <c r="CD25" s="85">
        <v>0.12</v>
      </c>
      <c r="CE25" s="84">
        <v>0.1</v>
      </c>
      <c r="CF25" s="219">
        <v>0.11</v>
      </c>
      <c r="CG25" s="84">
        <v>0.09</v>
      </c>
      <c r="CH25" s="84">
        <v>0.11</v>
      </c>
      <c r="CI25" s="84">
        <v>0.12</v>
      </c>
      <c r="CJ25" s="86">
        <v>0.11</v>
      </c>
      <c r="CK25" s="84">
        <v>0.11</v>
      </c>
      <c r="CL25" s="84">
        <v>0.11</v>
      </c>
      <c r="CM25" s="87">
        <v>0.11</v>
      </c>
      <c r="CN25" s="88">
        <v>0.11</v>
      </c>
      <c r="CO25" s="89">
        <v>0.1</v>
      </c>
      <c r="CP25" s="88">
        <v>9.8000000000000004E-2</v>
      </c>
      <c r="CQ25" s="90">
        <v>9.2999999999999999E-2</v>
      </c>
      <c r="CR25" s="91">
        <v>0.105</v>
      </c>
      <c r="CS25" s="92">
        <v>0.114</v>
      </c>
      <c r="CT25" s="93">
        <v>0.1</v>
      </c>
      <c r="CU25" s="92">
        <v>0.11</v>
      </c>
      <c r="CV25" s="94">
        <v>0.11</v>
      </c>
      <c r="CW25" s="243">
        <v>0.105</v>
      </c>
      <c r="CX25" s="244">
        <v>9.0999999999999998E-2</v>
      </c>
      <c r="CY25" s="245">
        <v>0.1</v>
      </c>
      <c r="CZ25" s="246">
        <v>0.113</v>
      </c>
      <c r="DA25" s="247">
        <v>9.4E-2</v>
      </c>
      <c r="DB25" s="246">
        <v>0.109</v>
      </c>
      <c r="DC25" s="248">
        <v>9.9000000000000005E-2</v>
      </c>
      <c r="DD25" s="249">
        <v>0.09</v>
      </c>
      <c r="DE25" s="249">
        <v>0.1</v>
      </c>
      <c r="DF25" s="249">
        <v>0.09</v>
      </c>
      <c r="DG25" s="249">
        <v>0.09</v>
      </c>
      <c r="DH25" s="249">
        <v>0.09</v>
      </c>
      <c r="DI25" s="249">
        <v>0.08</v>
      </c>
      <c r="DJ25" s="95">
        <v>0.11</v>
      </c>
      <c r="DK25" s="96">
        <v>0.11</v>
      </c>
      <c r="DL25" s="97">
        <v>0.12</v>
      </c>
      <c r="DM25" s="98">
        <v>0.13</v>
      </c>
      <c r="DN25" s="96">
        <v>0.11</v>
      </c>
      <c r="DO25" s="99">
        <v>0.13</v>
      </c>
      <c r="DP25" s="96">
        <v>0.1</v>
      </c>
      <c r="DQ25" s="96">
        <v>0.11</v>
      </c>
      <c r="DR25" s="96">
        <v>0.11</v>
      </c>
      <c r="DS25" s="96">
        <v>0.11700000000000001</v>
      </c>
      <c r="DT25" s="41">
        <v>9.2999999999999999E-2</v>
      </c>
      <c r="DU25" s="41">
        <v>8.7999999999999995E-2</v>
      </c>
      <c r="DV25" s="41">
        <v>8.6999999999999994E-2</v>
      </c>
      <c r="DW25" s="41">
        <v>0.09</v>
      </c>
      <c r="DX25" s="41">
        <v>0.08</v>
      </c>
      <c r="DY25" s="41">
        <v>8.5000000000000006E-2</v>
      </c>
      <c r="DZ25" s="41">
        <v>0.09</v>
      </c>
      <c r="EA25" s="41">
        <v>8.1000000000000003E-2</v>
      </c>
      <c r="EB25" s="41">
        <v>9.4E-2</v>
      </c>
      <c r="EC25" s="41">
        <v>8.5999999999999993E-2</v>
      </c>
      <c r="ED25" s="41">
        <v>7.8E-2</v>
      </c>
      <c r="EE25" s="100">
        <v>0.106</v>
      </c>
      <c r="EF25" s="101">
        <v>0.11799999999999999</v>
      </c>
      <c r="EG25" s="100">
        <v>0.128</v>
      </c>
      <c r="EH25" s="102">
        <v>0.127</v>
      </c>
      <c r="EI25" s="100">
        <v>0.10199999999999999</v>
      </c>
      <c r="EJ25" s="103">
        <v>0.11700000000000001</v>
      </c>
      <c r="EK25" s="100">
        <v>0.111</v>
      </c>
      <c r="EL25" s="104">
        <v>0.105</v>
      </c>
      <c r="EM25" s="100">
        <v>9.6000000000000002E-2</v>
      </c>
      <c r="EN25" s="105">
        <v>0.10199999999999999</v>
      </c>
      <c r="EO25" s="100">
        <v>0.112</v>
      </c>
      <c r="EP25" s="100">
        <v>0.115</v>
      </c>
      <c r="EQ25" s="100">
        <v>0.107</v>
      </c>
      <c r="ER25" s="100">
        <v>0.113</v>
      </c>
      <c r="ES25" s="106">
        <v>0.123</v>
      </c>
      <c r="ET25" s="107">
        <v>0.111</v>
      </c>
      <c r="EU25" s="106">
        <v>0.108</v>
      </c>
      <c r="EV25" s="108">
        <v>0.11</v>
      </c>
      <c r="EW25" s="106">
        <v>0.106</v>
      </c>
      <c r="EX25" s="109">
        <v>9.5000000000000001E-2</v>
      </c>
      <c r="EY25" s="106">
        <v>9.6000000000000002E-2</v>
      </c>
      <c r="EZ25" s="110">
        <v>0.108</v>
      </c>
      <c r="FA25" s="106">
        <v>0.112</v>
      </c>
      <c r="FB25" s="107">
        <v>0.11600000000000001</v>
      </c>
      <c r="FC25" s="106">
        <v>0.11</v>
      </c>
      <c r="FD25" s="106">
        <v>0.11799999999999999</v>
      </c>
      <c r="FE25" s="106">
        <v>9.8000000000000004E-2</v>
      </c>
      <c r="FF25" s="106">
        <v>0.11</v>
      </c>
      <c r="FG25" s="111">
        <v>0.121</v>
      </c>
      <c r="FH25" s="112">
        <v>0.16</v>
      </c>
      <c r="FI25" s="111">
        <v>0.12</v>
      </c>
      <c r="FJ25" s="113">
        <v>0.11</v>
      </c>
      <c r="FK25" s="111">
        <v>0.113</v>
      </c>
      <c r="FL25" s="114">
        <v>0.108</v>
      </c>
      <c r="FM25" s="111">
        <v>0.12</v>
      </c>
      <c r="FN25" s="115">
        <v>0.11700000000000001</v>
      </c>
      <c r="FO25" s="116">
        <v>0.10299999999999999</v>
      </c>
      <c r="FP25" s="117">
        <v>0.11700000000000001</v>
      </c>
      <c r="FQ25" s="116">
        <v>0.107</v>
      </c>
      <c r="FR25" s="118">
        <v>0.12</v>
      </c>
      <c r="FS25" s="119">
        <v>0.11600000000000001</v>
      </c>
      <c r="FT25" s="118">
        <v>0.11700000000000001</v>
      </c>
      <c r="FU25" s="120">
        <v>0.113</v>
      </c>
      <c r="FV25" s="118">
        <v>0.115</v>
      </c>
      <c r="FW25" s="121">
        <v>0.111</v>
      </c>
      <c r="FX25" s="118">
        <v>0.123</v>
      </c>
      <c r="FY25" s="122">
        <v>0.11600000000000001</v>
      </c>
      <c r="FZ25" s="118">
        <v>0.12</v>
      </c>
      <c r="GA25" s="123">
        <v>0.111</v>
      </c>
      <c r="GB25" s="118">
        <v>0.127</v>
      </c>
      <c r="GC25" s="118">
        <v>0.11700000000000001</v>
      </c>
      <c r="GD25" s="124">
        <v>7.8E-2</v>
      </c>
      <c r="GE25" s="125">
        <v>8.5999999999999993E-2</v>
      </c>
      <c r="GF25" s="126">
        <v>8.7999999999999995E-2</v>
      </c>
      <c r="GG25" s="124">
        <v>8.1000000000000003E-2</v>
      </c>
      <c r="GH25" s="127">
        <v>8.7999999999999995E-2</v>
      </c>
      <c r="GI25" s="124">
        <v>8.5000000000000006E-2</v>
      </c>
      <c r="GJ25" s="128">
        <v>8.8999999999999996E-2</v>
      </c>
      <c r="GK25" s="124">
        <v>0.09</v>
      </c>
      <c r="GL25" s="124">
        <v>0.08</v>
      </c>
      <c r="GM25" s="124">
        <v>0.08</v>
      </c>
      <c r="GN25" s="124">
        <v>0.09</v>
      </c>
      <c r="GO25" s="124">
        <v>0.08</v>
      </c>
      <c r="GP25" s="124">
        <v>0.08</v>
      </c>
      <c r="GQ25" s="124">
        <v>0.08</v>
      </c>
      <c r="GR25" s="124">
        <v>0.08</v>
      </c>
      <c r="GS25" s="124">
        <v>0.08</v>
      </c>
      <c r="GT25" s="92"/>
      <c r="GU25" s="92"/>
      <c r="GV25" s="130"/>
      <c r="GW25" s="91">
        <v>0.111</v>
      </c>
      <c r="GX25" s="94">
        <v>0.11799999999999999</v>
      </c>
      <c r="GY25" s="92">
        <v>0.11899999999999999</v>
      </c>
      <c r="GZ25" s="90">
        <v>0.13100000000000001</v>
      </c>
      <c r="HA25" s="92">
        <v>0.13600000000000001</v>
      </c>
      <c r="HB25" s="91">
        <v>0.13</v>
      </c>
      <c r="HC25" s="93">
        <v>9.7000000000000003E-2</v>
      </c>
      <c r="HD25" s="92">
        <v>0.124</v>
      </c>
      <c r="HE25" s="94">
        <v>0.121</v>
      </c>
      <c r="HF25" s="92">
        <v>0.124</v>
      </c>
      <c r="HG25" s="18"/>
      <c r="HH25" s="18"/>
    </row>
    <row r="26" spans="1:216" customFormat="1" x14ac:dyDescent="0.25">
      <c r="A26" t="s">
        <v>36</v>
      </c>
      <c r="B26" s="48">
        <f>B25/B7</f>
        <v>0.12367491166077739</v>
      </c>
      <c r="C26" s="48">
        <f t="shared" ref="C26:BW26" si="55">C25/C7</f>
        <v>0.14121338912133893</v>
      </c>
      <c r="D26" s="48">
        <f t="shared" si="55"/>
        <v>9.7674418604651161E-2</v>
      </c>
      <c r="E26" s="48">
        <f t="shared" si="55"/>
        <v>0.13675213675213674</v>
      </c>
      <c r="F26" s="48">
        <f t="shared" si="55"/>
        <v>0.12217659137577001</v>
      </c>
      <c r="G26" s="48">
        <f t="shared" si="55"/>
        <v>0.10653753026634383</v>
      </c>
      <c r="H26" s="48">
        <f t="shared" si="55"/>
        <v>0.1062992125984252</v>
      </c>
      <c r="I26" s="48">
        <f t="shared" si="55"/>
        <v>0.12091898428053206</v>
      </c>
      <c r="J26" s="48">
        <f t="shared" si="55"/>
        <v>0.10911424903722722</v>
      </c>
      <c r="K26" s="48">
        <f t="shared" si="55"/>
        <v>0.11737089201877934</v>
      </c>
      <c r="L26" s="48">
        <f t="shared" si="55"/>
        <v>0.11171171171171169</v>
      </c>
      <c r="M26" s="48">
        <f t="shared" si="55"/>
        <v>0.12095933263816476</v>
      </c>
      <c r="N26" s="48">
        <f t="shared" si="55"/>
        <v>0.11386138613861385</v>
      </c>
      <c r="O26" s="48">
        <f t="shared" si="55"/>
        <v>0.1207115628970775</v>
      </c>
      <c r="P26" s="48">
        <f t="shared" si="55"/>
        <v>0.10783055198973043</v>
      </c>
      <c r="Q26" s="48">
        <f t="shared" si="55"/>
        <v>0.11126760563380282</v>
      </c>
      <c r="R26" s="208">
        <f t="shared" si="55"/>
        <v>0.13333333333333333</v>
      </c>
      <c r="S26" s="208">
        <f t="shared" si="55"/>
        <v>0.13</v>
      </c>
      <c r="T26" s="208">
        <f>T25/T7</f>
        <v>0.1139784946236559</v>
      </c>
      <c r="U26" s="208">
        <f t="shared" ref="U26" si="56">U25/U7</f>
        <v>0.10615079365079365</v>
      </c>
      <c r="V26" s="208">
        <f t="shared" si="55"/>
        <v>0.1245674740484429</v>
      </c>
      <c r="W26" s="208">
        <f t="shared" si="55"/>
        <v>0.12459371614301191</v>
      </c>
      <c r="X26" s="208">
        <f t="shared" si="55"/>
        <v>0.14285714285714285</v>
      </c>
      <c r="Y26" s="208">
        <f t="shared" si="55"/>
        <v>0.13043478260869565</v>
      </c>
      <c r="Z26" s="208">
        <f t="shared" si="55"/>
        <v>0.10891089108910891</v>
      </c>
      <c r="AA26" s="208">
        <f t="shared" si="55"/>
        <v>0.11538461538461538</v>
      </c>
      <c r="AB26" s="208">
        <f t="shared" si="55"/>
        <v>0.12</v>
      </c>
      <c r="AC26" s="208">
        <f t="shared" si="55"/>
        <v>0.17182130584192443</v>
      </c>
      <c r="AD26" s="208">
        <f t="shared" si="55"/>
        <v>0.14492753623188409</v>
      </c>
      <c r="AE26" s="208">
        <f t="shared" si="55"/>
        <v>0.1297016861219196</v>
      </c>
      <c r="AF26" s="208">
        <f t="shared" si="55"/>
        <v>0.10958904109589042</v>
      </c>
      <c r="AG26" s="209">
        <f t="shared" si="55"/>
        <v>0.11788079470198674</v>
      </c>
      <c r="AH26" s="209">
        <f t="shared" si="55"/>
        <v>0.11973684210526316</v>
      </c>
      <c r="AI26" s="209">
        <f t="shared" si="55"/>
        <v>0.14542190305206462</v>
      </c>
      <c r="AJ26" s="209">
        <f t="shared" si="55"/>
        <v>0.13643926788685526</v>
      </c>
      <c r="AK26" s="209">
        <f t="shared" si="55"/>
        <v>0.11505681818181819</v>
      </c>
      <c r="AL26" s="209">
        <f t="shared" si="55"/>
        <v>0.11340206185567009</v>
      </c>
      <c r="AM26" s="209">
        <f t="shared" si="55"/>
        <v>0.12444444444444444</v>
      </c>
      <c r="AN26" s="209">
        <f t="shared" si="55"/>
        <v>0.12777777777777777</v>
      </c>
      <c r="AO26" s="65">
        <f t="shared" si="55"/>
        <v>0.10909090909090907</v>
      </c>
      <c r="AP26" s="65">
        <f t="shared" si="55"/>
        <v>0.13968253968253969</v>
      </c>
      <c r="AQ26" s="65">
        <f t="shared" si="55"/>
        <v>0.15231788079470199</v>
      </c>
      <c r="AR26" s="65">
        <f t="shared" si="55"/>
        <v>0.16783216783216784</v>
      </c>
      <c r="AS26" s="65">
        <f t="shared" si="55"/>
        <v>0.16198125836680052</v>
      </c>
      <c r="AT26" s="65">
        <f t="shared" si="55"/>
        <v>0.16689847009735745</v>
      </c>
      <c r="AU26" s="65">
        <f t="shared" si="55"/>
        <v>0.16058394160583941</v>
      </c>
      <c r="AV26" s="65">
        <f t="shared" si="55"/>
        <v>0.15243101182654403</v>
      </c>
      <c r="AW26" s="65">
        <f t="shared" si="55"/>
        <v>0.1777434312210201</v>
      </c>
      <c r="AX26" s="210">
        <f>AX25/AX7</f>
        <v>0.11162790697674418</v>
      </c>
      <c r="AY26" s="210">
        <f t="shared" si="55"/>
        <v>0.11</v>
      </c>
      <c r="AZ26" s="210">
        <f t="shared" si="55"/>
        <v>0.10451045104510451</v>
      </c>
      <c r="BA26" s="210">
        <f t="shared" si="55"/>
        <v>0.117096018735363</v>
      </c>
      <c r="BB26" s="210">
        <f t="shared" si="55"/>
        <v>9.4869312681510179E-2</v>
      </c>
      <c r="BC26" s="210">
        <f t="shared" si="55"/>
        <v>8.3422459893048126E-2</v>
      </c>
      <c r="BD26" s="210">
        <f t="shared" si="55"/>
        <v>9.5387840670859536E-2</v>
      </c>
      <c r="BE26" s="210">
        <f t="shared" si="55"/>
        <v>0.11941848390446522</v>
      </c>
      <c r="BF26" s="210">
        <f t="shared" si="55"/>
        <v>0.11815252416756175</v>
      </c>
      <c r="BG26" s="76">
        <f t="shared" si="55"/>
        <v>0.10256410256410256</v>
      </c>
      <c r="BH26" s="76">
        <f t="shared" si="55"/>
        <v>0.12376237623762376</v>
      </c>
      <c r="BI26" s="76">
        <f t="shared" si="55"/>
        <v>9.8260869565217401E-2</v>
      </c>
      <c r="BJ26" s="76">
        <f t="shared" si="55"/>
        <v>0.12794268167860798</v>
      </c>
      <c r="BK26" s="76">
        <f t="shared" si="55"/>
        <v>0.12399193548387097</v>
      </c>
      <c r="BL26" s="76">
        <f t="shared" si="55"/>
        <v>0.1102284011916584</v>
      </c>
      <c r="BM26" s="76">
        <f t="shared" si="55"/>
        <v>0.12474437627811862</v>
      </c>
      <c r="BN26" s="76">
        <f t="shared" si="55"/>
        <v>0.11273957158962797</v>
      </c>
      <c r="BO26" s="76">
        <f t="shared" si="55"/>
        <v>0.10649627263045795</v>
      </c>
      <c r="BP26" s="76">
        <f t="shared" si="55"/>
        <v>0.10256410256410257</v>
      </c>
      <c r="BQ26" s="76">
        <f t="shared" si="55"/>
        <v>9.6246390760346495E-2</v>
      </c>
      <c r="BR26" s="76">
        <f t="shared" si="55"/>
        <v>0.10204081632653061</v>
      </c>
      <c r="BS26" s="211"/>
      <c r="BT26" s="211">
        <f t="shared" si="55"/>
        <v>9.1328413284132839E-2</v>
      </c>
      <c r="BU26" s="211">
        <f t="shared" si="55"/>
        <v>0.11263157894736843</v>
      </c>
      <c r="BV26" s="211">
        <f t="shared" si="55"/>
        <v>0.11234567901234567</v>
      </c>
      <c r="BW26" s="211">
        <f t="shared" si="55"/>
        <v>0.1348314606741573</v>
      </c>
      <c r="BX26" s="211">
        <f t="shared" ref="BX26:FB26" si="57">BX25/BX7</f>
        <v>0.10465116279069767</v>
      </c>
      <c r="BY26" s="211">
        <f t="shared" si="57"/>
        <v>0.11688311688311688</v>
      </c>
      <c r="BZ26" s="211">
        <f t="shared" si="57"/>
        <v>0.13043478260869565</v>
      </c>
      <c r="CA26" s="211">
        <f t="shared" si="57"/>
        <v>0.11842105263157894</v>
      </c>
      <c r="CB26" s="211">
        <f t="shared" si="57"/>
        <v>8.2568807339449532E-2</v>
      </c>
      <c r="CC26" s="212">
        <f t="shared" si="57"/>
        <v>0.12151898734177215</v>
      </c>
      <c r="CD26" s="212">
        <f t="shared" si="57"/>
        <v>0.13793103448275862</v>
      </c>
      <c r="CE26" s="212">
        <f t="shared" si="57"/>
        <v>0.10989010989010989</v>
      </c>
      <c r="CF26" s="212">
        <f t="shared" si="57"/>
        <v>9.4827586206896561E-2</v>
      </c>
      <c r="CG26" s="212">
        <f t="shared" si="57"/>
        <v>8.9108910891089105E-2</v>
      </c>
      <c r="CH26" s="212">
        <f t="shared" si="57"/>
        <v>0.11111111111111112</v>
      </c>
      <c r="CI26" s="212">
        <f t="shared" si="57"/>
        <v>0.10909090909090907</v>
      </c>
      <c r="CJ26" s="212">
        <f t="shared" si="57"/>
        <v>0.10679611650485436</v>
      </c>
      <c r="CK26" s="212">
        <f t="shared" si="57"/>
        <v>0.11</v>
      </c>
      <c r="CL26" s="212">
        <f t="shared" si="57"/>
        <v>0.11</v>
      </c>
      <c r="CM26" s="94">
        <f t="shared" si="57"/>
        <v>0.12359550561797752</v>
      </c>
      <c r="CN26" s="94">
        <f t="shared" si="57"/>
        <v>0.12643678160919541</v>
      </c>
      <c r="CO26" s="94">
        <f t="shared" si="57"/>
        <v>9.1157702825888795E-2</v>
      </c>
      <c r="CP26" s="94">
        <f t="shared" si="57"/>
        <v>0.10315789473684212</v>
      </c>
      <c r="CQ26" s="94">
        <f t="shared" si="57"/>
        <v>9.5482546201232033E-2</v>
      </c>
      <c r="CR26" s="94">
        <f t="shared" si="57"/>
        <v>0.11266094420600857</v>
      </c>
      <c r="CS26" s="94">
        <f t="shared" si="57"/>
        <v>0.12404787812840043</v>
      </c>
      <c r="CT26" s="94">
        <f t="shared" si="57"/>
        <v>0.1149425287356322</v>
      </c>
      <c r="CU26" s="94">
        <f t="shared" si="57"/>
        <v>0.12087912087912088</v>
      </c>
      <c r="CV26" s="94">
        <f t="shared" si="57"/>
        <v>0.11111111111111112</v>
      </c>
      <c r="CW26" s="254">
        <f t="shared" si="57"/>
        <v>0.11797752808988764</v>
      </c>
      <c r="CX26" s="254">
        <f t="shared" si="57"/>
        <v>0.12297297297297297</v>
      </c>
      <c r="CY26" s="254">
        <f t="shared" si="57"/>
        <v>9.5877277085330795E-2</v>
      </c>
      <c r="CZ26" s="254">
        <f t="shared" si="57"/>
        <v>0.11232604373757456</v>
      </c>
      <c r="DA26" s="254">
        <f t="shared" si="57"/>
        <v>0.10942956926658906</v>
      </c>
      <c r="DB26" s="254">
        <f t="shared" si="57"/>
        <v>0.11213991769547325</v>
      </c>
      <c r="DC26" s="254">
        <f t="shared" si="57"/>
        <v>0.10831509846827134</v>
      </c>
      <c r="DD26" s="254">
        <f t="shared" si="57"/>
        <v>0.10227272727272727</v>
      </c>
      <c r="DE26" s="254">
        <f t="shared" si="57"/>
        <v>0.11235955056179776</v>
      </c>
      <c r="DF26" s="254">
        <f t="shared" si="57"/>
        <v>0.10465116279069767</v>
      </c>
      <c r="DG26" s="254">
        <f t="shared" si="57"/>
        <v>0.10714285714285714</v>
      </c>
      <c r="DH26" s="254">
        <f t="shared" si="57"/>
        <v>0.11249999999999999</v>
      </c>
      <c r="DI26" s="254">
        <f t="shared" si="57"/>
        <v>9.5238095238095247E-2</v>
      </c>
      <c r="DJ26" s="213">
        <f t="shared" si="57"/>
        <v>0.11702127659574468</v>
      </c>
      <c r="DK26" s="213">
        <f t="shared" si="57"/>
        <v>0.11578947368421053</v>
      </c>
      <c r="DL26" s="213">
        <f t="shared" si="57"/>
        <v>0.12631578947368421</v>
      </c>
      <c r="DM26" s="213">
        <f t="shared" si="57"/>
        <v>0.13541666666666669</v>
      </c>
      <c r="DN26" s="213">
        <f t="shared" si="57"/>
        <v>0.11603375527426162</v>
      </c>
      <c r="DO26" s="213">
        <f t="shared" si="57"/>
        <v>0.12871287128712872</v>
      </c>
      <c r="DP26" s="213">
        <f t="shared" si="57"/>
        <v>0.12345679012345678</v>
      </c>
      <c r="DQ26" s="213">
        <f t="shared" si="57"/>
        <v>9.105960264900663E-2</v>
      </c>
      <c r="DR26" s="213">
        <f t="shared" si="57"/>
        <v>0.10669253152279341</v>
      </c>
      <c r="DS26" s="213">
        <f t="shared" si="57"/>
        <v>9.948979591836736E-2</v>
      </c>
      <c r="DT26" s="76">
        <f t="shared" si="57"/>
        <v>0.12601626016260162</v>
      </c>
      <c r="DU26" s="76">
        <f t="shared" si="57"/>
        <v>0.10389610389610389</v>
      </c>
      <c r="DV26" s="76">
        <f t="shared" si="57"/>
        <v>9.9201824401368294E-2</v>
      </c>
      <c r="DW26" s="76">
        <f t="shared" si="57"/>
        <v>0.1111111111111111</v>
      </c>
      <c r="DX26" s="76">
        <f t="shared" si="57"/>
        <v>9.3896713615023483E-2</v>
      </c>
      <c r="DY26" s="76">
        <f t="shared" si="57"/>
        <v>0.10403916768665852</v>
      </c>
      <c r="DZ26" s="76">
        <f t="shared" si="57"/>
        <v>0.10935601458080195</v>
      </c>
      <c r="EA26" s="76">
        <f t="shared" si="57"/>
        <v>9.7826086956521743E-2</v>
      </c>
      <c r="EB26" s="76">
        <f t="shared" si="57"/>
        <v>0.12097812097812098</v>
      </c>
      <c r="EC26" s="76">
        <f t="shared" si="57"/>
        <v>0.11653116531165311</v>
      </c>
      <c r="ED26" s="76">
        <f t="shared" si="57"/>
        <v>0.10512129380053908</v>
      </c>
      <c r="EE26" s="214">
        <f t="shared" si="57"/>
        <v>9.6451319381255687E-2</v>
      </c>
      <c r="EF26" s="214">
        <f t="shared" si="57"/>
        <v>0.10323709536307961</v>
      </c>
      <c r="EG26" s="214">
        <f t="shared" si="57"/>
        <v>0.13141683778234087</v>
      </c>
      <c r="EH26" s="214">
        <f t="shared" si="57"/>
        <v>0.11053089643167972</v>
      </c>
      <c r="EI26" s="214">
        <f t="shared" si="57"/>
        <v>0.11473565804274465</v>
      </c>
      <c r="EJ26" s="214">
        <f t="shared" si="57"/>
        <v>0.10955056179775281</v>
      </c>
      <c r="EK26" s="214">
        <f t="shared" si="57"/>
        <v>0.14490861618798956</v>
      </c>
      <c r="EL26" s="214">
        <f t="shared" si="57"/>
        <v>0.10447761194029852</v>
      </c>
      <c r="EM26" s="214">
        <f t="shared" si="57"/>
        <v>9.746192893401015E-2</v>
      </c>
      <c r="EN26" s="214">
        <f t="shared" si="57"/>
        <v>0.11003236245954691</v>
      </c>
      <c r="EO26" s="214">
        <f t="shared" si="57"/>
        <v>0.11789473684210527</v>
      </c>
      <c r="EP26" s="214">
        <f t="shared" si="57"/>
        <v>0.12679162072767364</v>
      </c>
      <c r="EQ26" s="214">
        <f t="shared" si="57"/>
        <v>0.10929519918283963</v>
      </c>
      <c r="ER26" s="214">
        <f t="shared" si="57"/>
        <v>0.11661506707946337</v>
      </c>
      <c r="ES26" s="215">
        <f t="shared" si="57"/>
        <v>0.12772585669781933</v>
      </c>
      <c r="ET26" s="215">
        <f t="shared" si="57"/>
        <v>0.12078346028291621</v>
      </c>
      <c r="EU26" s="215">
        <f t="shared" si="57"/>
        <v>0.12413793103448276</v>
      </c>
      <c r="EV26" s="215">
        <f t="shared" si="57"/>
        <v>0.1292596944770858</v>
      </c>
      <c r="EW26" s="215">
        <f t="shared" si="57"/>
        <v>0.11572052401746724</v>
      </c>
      <c r="EX26" s="215">
        <f t="shared" si="57"/>
        <v>0.11874999999999999</v>
      </c>
      <c r="EY26" s="215">
        <f t="shared" si="57"/>
        <v>0.11925465838509317</v>
      </c>
      <c r="EZ26" s="215">
        <f t="shared" si="57"/>
        <v>0.10179076343072574</v>
      </c>
      <c r="FA26" s="215">
        <f t="shared" si="57"/>
        <v>0.10606060606060606</v>
      </c>
      <c r="FB26" s="215">
        <f t="shared" si="57"/>
        <v>0.12172088142707241</v>
      </c>
      <c r="FC26" s="215">
        <f t="shared" ref="FC26:GS26" si="58">FC25/FC7</f>
        <v>0.12087912087912088</v>
      </c>
      <c r="FD26" s="215">
        <f t="shared" si="58"/>
        <v>0.1433778857837181</v>
      </c>
      <c r="FE26" s="215">
        <f t="shared" si="58"/>
        <v>0.11542991755005889</v>
      </c>
      <c r="FF26" s="215">
        <f t="shared" si="58"/>
        <v>0.12318029115341546</v>
      </c>
      <c r="FG26" s="216">
        <f t="shared" si="58"/>
        <v>0.16198125836680052</v>
      </c>
      <c r="FH26" s="216">
        <f t="shared" si="58"/>
        <v>0.18823529411764706</v>
      </c>
      <c r="FI26" s="216">
        <f t="shared" si="58"/>
        <v>0.15789473684210525</v>
      </c>
      <c r="FJ26" s="216">
        <f t="shared" si="58"/>
        <v>0.14666666666666667</v>
      </c>
      <c r="FK26" s="216">
        <f t="shared" si="58"/>
        <v>0.15066666666666667</v>
      </c>
      <c r="FL26" s="216">
        <f t="shared" si="58"/>
        <v>0.15384615384615385</v>
      </c>
      <c r="FM26" s="216">
        <f t="shared" si="58"/>
        <v>0.16666666666666666</v>
      </c>
      <c r="FN26" s="216">
        <f t="shared" si="58"/>
        <v>0.16204986149584488</v>
      </c>
      <c r="FO26" s="216">
        <f t="shared" si="58"/>
        <v>0.12716049382716049</v>
      </c>
      <c r="FP26" s="216">
        <f t="shared" si="58"/>
        <v>0.14661654135338345</v>
      </c>
      <c r="FQ26" s="216">
        <f t="shared" si="58"/>
        <v>0.13665389527458494</v>
      </c>
      <c r="FR26" s="217">
        <f t="shared" si="58"/>
        <v>0.10212765957446808</v>
      </c>
      <c r="FS26" s="217">
        <f t="shared" si="58"/>
        <v>8.8752869166029077E-2</v>
      </c>
      <c r="FT26" s="217">
        <f t="shared" si="58"/>
        <v>0.10068846815834769</v>
      </c>
      <c r="FU26" s="217">
        <f t="shared" si="58"/>
        <v>0.10053380782918149</v>
      </c>
      <c r="FV26" s="217">
        <f t="shared" si="58"/>
        <v>0.10560146923783288</v>
      </c>
      <c r="FW26" s="217">
        <f t="shared" si="58"/>
        <v>9.87544483985765E-2</v>
      </c>
      <c r="FX26" s="217">
        <f t="shared" si="58"/>
        <v>0.10761154855643044</v>
      </c>
      <c r="FY26" s="217">
        <f t="shared" si="58"/>
        <v>8.7087087087087081E-2</v>
      </c>
      <c r="FZ26" s="217">
        <f t="shared" si="58"/>
        <v>9.3095422808378583E-2</v>
      </c>
      <c r="GA26" s="217">
        <f t="shared" si="58"/>
        <v>9.4067796610169493E-2</v>
      </c>
      <c r="GB26" s="217">
        <f t="shared" si="58"/>
        <v>0.1016</v>
      </c>
      <c r="GC26" s="217">
        <f t="shared" si="58"/>
        <v>0.10636363636363635</v>
      </c>
      <c r="GD26" s="218">
        <f t="shared" si="58"/>
        <v>0.10833333333333334</v>
      </c>
      <c r="GE26" s="218">
        <f t="shared" si="58"/>
        <v>9.6629213483146056E-2</v>
      </c>
      <c r="GF26" s="218">
        <f t="shared" si="58"/>
        <v>0.11153358681875791</v>
      </c>
      <c r="GG26" s="218">
        <f t="shared" si="58"/>
        <v>9.963099630996311E-2</v>
      </c>
      <c r="GH26" s="218">
        <f t="shared" si="58"/>
        <v>0.11354838709677419</v>
      </c>
      <c r="GI26" s="218">
        <f t="shared" si="58"/>
        <v>0.10981912144702843</v>
      </c>
      <c r="GJ26" s="218">
        <f t="shared" si="58"/>
        <v>0.10289017341040461</v>
      </c>
      <c r="GK26" s="218">
        <f t="shared" si="58"/>
        <v>0.11392405063291139</v>
      </c>
      <c r="GL26" s="218">
        <f t="shared" si="58"/>
        <v>0.10810810810810811</v>
      </c>
      <c r="GM26" s="218">
        <f t="shared" si="58"/>
        <v>9.9999999999999992E-2</v>
      </c>
      <c r="GN26" s="218">
        <f t="shared" si="58"/>
        <v>0.12</v>
      </c>
      <c r="GO26" s="218">
        <f t="shared" si="58"/>
        <v>0.11267605633802817</v>
      </c>
      <c r="GP26" s="218">
        <f t="shared" si="58"/>
        <v>0.10126582278481013</v>
      </c>
      <c r="GQ26" s="218">
        <f t="shared" si="58"/>
        <v>0.10126582278481013</v>
      </c>
      <c r="GR26" s="218">
        <f t="shared" si="58"/>
        <v>0.10958904109589042</v>
      </c>
      <c r="GS26" s="218">
        <f t="shared" si="58"/>
        <v>0.11111111111111112</v>
      </c>
      <c r="GT26" s="94"/>
      <c r="GU26" s="94"/>
      <c r="GV26" s="94"/>
      <c r="GW26" s="94">
        <f t="shared" ref="GW26:HF26" si="59">GW25/GW7</f>
        <v>0.12862108922363846</v>
      </c>
      <c r="GX26" s="94">
        <f t="shared" si="59"/>
        <v>0.13363533408833522</v>
      </c>
      <c r="GY26" s="94">
        <f t="shared" si="59"/>
        <v>0.13538111490329921</v>
      </c>
      <c r="GZ26" s="94">
        <f t="shared" si="59"/>
        <v>0.14702581369248036</v>
      </c>
      <c r="HA26" s="94">
        <f t="shared" si="59"/>
        <v>0.14498933901918978</v>
      </c>
      <c r="HB26" s="94">
        <f t="shared" si="59"/>
        <v>0.14023732470334413</v>
      </c>
      <c r="HC26" s="94">
        <f t="shared" si="59"/>
        <v>0.12646675358539766</v>
      </c>
      <c r="HD26" s="94">
        <f t="shared" si="59"/>
        <v>0.14691943127962084</v>
      </c>
      <c r="HE26" s="94">
        <f t="shared" si="59"/>
        <v>0.12448559670781893</v>
      </c>
      <c r="HF26" s="94">
        <f t="shared" si="59"/>
        <v>0.1399548532731377</v>
      </c>
      <c r="HG26" s="18"/>
      <c r="HH26" s="18"/>
    </row>
    <row r="27" spans="1:216" customFormat="1" x14ac:dyDescent="0.25">
      <c r="A27" t="s">
        <v>8</v>
      </c>
      <c r="B27" s="48">
        <f>B25/B11</f>
        <v>0.8076923076923076</v>
      </c>
      <c r="C27" s="48">
        <f t="shared" ref="C27:BW27" si="60">C25/C11</f>
        <v>0.95744680851063846</v>
      </c>
      <c r="D27" s="48">
        <f t="shared" si="60"/>
        <v>0.84677419354838712</v>
      </c>
      <c r="E27" s="48">
        <f t="shared" si="60"/>
        <v>0.88888888888888895</v>
      </c>
      <c r="F27" s="48">
        <f t="shared" si="60"/>
        <v>0.86231884057971009</v>
      </c>
      <c r="G27" s="48">
        <f t="shared" si="60"/>
        <v>0.76521739130434774</v>
      </c>
      <c r="H27" s="48">
        <f t="shared" si="60"/>
        <v>0.63779527559055116</v>
      </c>
      <c r="I27" s="48">
        <f t="shared" si="60"/>
        <v>0.78125</v>
      </c>
      <c r="J27" s="48">
        <f t="shared" si="60"/>
        <v>0.6640625</v>
      </c>
      <c r="K27" s="48">
        <f t="shared" si="60"/>
        <v>0.80645161290322587</v>
      </c>
      <c r="L27" s="48">
        <f t="shared" si="60"/>
        <v>0.83783783783783783</v>
      </c>
      <c r="M27" s="48">
        <f t="shared" si="60"/>
        <v>0.82269503546099298</v>
      </c>
      <c r="N27" s="48">
        <f t="shared" si="60"/>
        <v>0.71875</v>
      </c>
      <c r="O27" s="48">
        <f t="shared" si="60"/>
        <v>0.78512396694214881</v>
      </c>
      <c r="P27" s="48">
        <f t="shared" si="60"/>
        <v>0.71186440677966112</v>
      </c>
      <c r="Q27" s="48">
        <f t="shared" si="60"/>
        <v>0.66386554621848748</v>
      </c>
      <c r="R27" s="208">
        <f t="shared" si="60"/>
        <v>0.85333333333333339</v>
      </c>
      <c r="S27" s="208">
        <f t="shared" si="60"/>
        <v>0.67630057803468213</v>
      </c>
      <c r="T27" s="208">
        <f>T25/T11</f>
        <v>0.67948717948717952</v>
      </c>
      <c r="U27" s="208">
        <f t="shared" ref="U27" si="61">U25/U11</f>
        <v>0.71333333333333337</v>
      </c>
      <c r="V27" s="208">
        <f t="shared" si="60"/>
        <v>0.63529411764705879</v>
      </c>
      <c r="W27" s="208">
        <f t="shared" si="60"/>
        <v>0.78767123287671237</v>
      </c>
      <c r="X27" s="208">
        <f t="shared" si="60"/>
        <v>0.71333333333333337</v>
      </c>
      <c r="Y27" s="208">
        <f t="shared" si="60"/>
        <v>0.8</v>
      </c>
      <c r="Z27" s="208">
        <f t="shared" si="60"/>
        <v>0.73333333333333339</v>
      </c>
      <c r="AA27" s="208">
        <f t="shared" si="60"/>
        <v>0.69230769230769229</v>
      </c>
      <c r="AB27" s="208">
        <f t="shared" si="60"/>
        <v>0.64285714285714279</v>
      </c>
      <c r="AC27" s="208"/>
      <c r="AD27" s="208">
        <f t="shared" ref="AD27" si="62">AD25/AD11</f>
        <v>0.66666666666666674</v>
      </c>
      <c r="AE27" s="208"/>
      <c r="AF27" s="208">
        <f t="shared" ref="AF27" si="63">AF25/AF11</f>
        <v>0.61538461538461542</v>
      </c>
      <c r="AG27" s="209">
        <f t="shared" si="60"/>
        <v>0.7416666666666667</v>
      </c>
      <c r="AH27" s="209">
        <f t="shared" si="60"/>
        <v>0.7</v>
      </c>
      <c r="AI27" s="209">
        <f t="shared" si="60"/>
        <v>0.7168141592920354</v>
      </c>
      <c r="AJ27" s="209">
        <f t="shared" si="60"/>
        <v>0.66666666666666674</v>
      </c>
      <c r="AK27" s="209">
        <f t="shared" si="60"/>
        <v>0.57857142857142851</v>
      </c>
      <c r="AL27" s="209">
        <f t="shared" si="60"/>
        <v>0.57894736842105254</v>
      </c>
      <c r="AM27" s="209">
        <f t="shared" si="60"/>
        <v>0.67200000000000004</v>
      </c>
      <c r="AN27" s="209">
        <f t="shared" si="60"/>
        <v>0.70229007633587781</v>
      </c>
      <c r="AO27" s="65">
        <f t="shared" si="60"/>
        <v>0.92307692307692302</v>
      </c>
      <c r="AP27" s="65">
        <f t="shared" si="60"/>
        <v>1</v>
      </c>
      <c r="AQ27" s="65">
        <f t="shared" si="60"/>
        <v>0.94262295081967218</v>
      </c>
      <c r="AR27" s="65">
        <f t="shared" si="60"/>
        <v>0.89552238805970141</v>
      </c>
      <c r="AS27" s="65">
        <f t="shared" si="60"/>
        <v>0.96031746031746024</v>
      </c>
      <c r="AT27" s="65">
        <f t="shared" si="60"/>
        <v>0.88888888888888884</v>
      </c>
      <c r="AU27" s="65">
        <f t="shared" si="60"/>
        <v>0.82089552238805963</v>
      </c>
      <c r="AV27" s="65">
        <f t="shared" si="60"/>
        <v>0.84671532846715325</v>
      </c>
      <c r="AW27" s="65">
        <f t="shared" si="60"/>
        <v>0.83941605839416056</v>
      </c>
      <c r="AX27" s="210">
        <f>AX25/AX11</f>
        <v>0.7384615384615385</v>
      </c>
      <c r="AY27" s="210">
        <f t="shared" si="60"/>
        <v>0.81818181818181823</v>
      </c>
      <c r="AZ27" s="210">
        <f t="shared" si="60"/>
        <v>0.67375886524822703</v>
      </c>
      <c r="BA27" s="210">
        <f t="shared" si="60"/>
        <v>0.72463768115942029</v>
      </c>
      <c r="BB27" s="210">
        <f t="shared" si="60"/>
        <v>0.71532846715328469</v>
      </c>
      <c r="BC27" s="210">
        <f t="shared" si="60"/>
        <v>0.57352941176470584</v>
      </c>
      <c r="BD27" s="210">
        <f t="shared" si="60"/>
        <v>0.61073825503355705</v>
      </c>
      <c r="BE27" s="210">
        <f t="shared" si="60"/>
        <v>0.85820895522388063</v>
      </c>
      <c r="BF27" s="210">
        <f t="shared" si="60"/>
        <v>0.66666666666666663</v>
      </c>
      <c r="BG27" s="76">
        <f t="shared" si="60"/>
        <v>0.8</v>
      </c>
      <c r="BH27" s="76">
        <f t="shared" si="60"/>
        <v>0.80128205128205132</v>
      </c>
      <c r="BI27" s="76">
        <f t="shared" si="60"/>
        <v>0.59473684210526312</v>
      </c>
      <c r="BJ27" s="76">
        <f t="shared" si="60"/>
        <v>0.83892617449664431</v>
      </c>
      <c r="BK27" s="76">
        <f t="shared" si="60"/>
        <v>0.86619718309859162</v>
      </c>
      <c r="BL27" s="76">
        <f t="shared" si="60"/>
        <v>0.68098159509202449</v>
      </c>
      <c r="BM27" s="76">
        <f t="shared" si="60"/>
        <v>0.82993197278911568</v>
      </c>
      <c r="BN27" s="76">
        <f t="shared" si="60"/>
        <v>0.68493150684931514</v>
      </c>
      <c r="BO27" s="76">
        <f t="shared" si="60"/>
        <v>0.74626865671641796</v>
      </c>
      <c r="BP27" s="76">
        <f t="shared" si="60"/>
        <v>0.65359477124183007</v>
      </c>
      <c r="BQ27" s="76">
        <f t="shared" si="60"/>
        <v>0.625</v>
      </c>
      <c r="BR27" s="76">
        <f t="shared" si="60"/>
        <v>0.625</v>
      </c>
      <c r="BS27" s="211"/>
      <c r="BT27" s="211">
        <f t="shared" si="60"/>
        <v>0.7734375</v>
      </c>
      <c r="BU27" s="211">
        <f t="shared" si="60"/>
        <v>0.82307692307692304</v>
      </c>
      <c r="BV27" s="211">
        <f t="shared" si="60"/>
        <v>0.82727272727272727</v>
      </c>
      <c r="BW27" s="211">
        <f t="shared" si="60"/>
        <v>1</v>
      </c>
      <c r="BX27" s="211">
        <f t="shared" ref="BX27:FB27" si="64">BX25/BX11</f>
        <v>0.81818181818181812</v>
      </c>
      <c r="BY27" s="211">
        <f t="shared" si="64"/>
        <v>0.81818181818181812</v>
      </c>
      <c r="BZ27" s="211">
        <f t="shared" si="64"/>
        <v>0.89999999999999991</v>
      </c>
      <c r="CA27" s="211">
        <f t="shared" si="64"/>
        <v>0.75</v>
      </c>
      <c r="CB27" s="211">
        <f t="shared" si="64"/>
        <v>0.62937062937062938</v>
      </c>
      <c r="CC27" s="212">
        <f t="shared" si="64"/>
        <v>0.64</v>
      </c>
      <c r="CD27" s="212">
        <f t="shared" si="64"/>
        <v>0.8</v>
      </c>
      <c r="CE27" s="212">
        <f t="shared" si="64"/>
        <v>0.66666666666666674</v>
      </c>
      <c r="CF27" s="212">
        <f t="shared" si="64"/>
        <v>0.73333333333333339</v>
      </c>
      <c r="CG27" s="212">
        <f t="shared" si="64"/>
        <v>0.6</v>
      </c>
      <c r="CH27" s="212">
        <f t="shared" si="64"/>
        <v>0.73333333333333339</v>
      </c>
      <c r="CI27" s="212">
        <f t="shared" si="64"/>
        <v>0.70588235294117641</v>
      </c>
      <c r="CJ27" s="212">
        <f t="shared" si="64"/>
        <v>0.73333333333333339</v>
      </c>
      <c r="CK27" s="212">
        <f t="shared" si="64"/>
        <v>0.7857142857142857</v>
      </c>
      <c r="CL27" s="212">
        <f t="shared" si="64"/>
        <v>0.73333333333333339</v>
      </c>
      <c r="CM27" s="94">
        <f t="shared" si="64"/>
        <v>0.73333333333333339</v>
      </c>
      <c r="CN27" s="94">
        <f t="shared" si="64"/>
        <v>0.7857142857142857</v>
      </c>
      <c r="CO27" s="94">
        <f t="shared" si="64"/>
        <v>0.66666666666666674</v>
      </c>
      <c r="CP27" s="94">
        <f t="shared" si="64"/>
        <v>0.65333333333333343</v>
      </c>
      <c r="CQ27" s="94">
        <f t="shared" si="64"/>
        <v>0.62</v>
      </c>
      <c r="CR27" s="94">
        <f t="shared" si="64"/>
        <v>0.67307692307692302</v>
      </c>
      <c r="CS27" s="94">
        <f t="shared" si="64"/>
        <v>0.82608695652173914</v>
      </c>
      <c r="CT27" s="94">
        <f t="shared" si="64"/>
        <v>0.66666666666666674</v>
      </c>
      <c r="CU27" s="94">
        <f t="shared" si="64"/>
        <v>0.7857142857142857</v>
      </c>
      <c r="CV27" s="94">
        <f t="shared" si="64"/>
        <v>0.7857142857142857</v>
      </c>
      <c r="CW27" s="254">
        <f t="shared" si="64"/>
        <v>0.89743589743589736</v>
      </c>
      <c r="CX27" s="254">
        <f t="shared" si="64"/>
        <v>0.85849056603773588</v>
      </c>
      <c r="CY27" s="254">
        <f t="shared" si="64"/>
        <v>0.78740157480314965</v>
      </c>
      <c r="CZ27" s="254">
        <f t="shared" si="64"/>
        <v>0.83088235294117641</v>
      </c>
      <c r="DA27" s="254">
        <f t="shared" si="64"/>
        <v>0.70676691729323304</v>
      </c>
      <c r="DB27" s="254">
        <f t="shared" si="64"/>
        <v>0.76760563380281699</v>
      </c>
      <c r="DC27" s="254">
        <f t="shared" si="64"/>
        <v>0.7734375</v>
      </c>
      <c r="DD27" s="254">
        <f t="shared" si="64"/>
        <v>0.69230769230769229</v>
      </c>
      <c r="DE27" s="254">
        <f t="shared" si="64"/>
        <v>0.90909090909090917</v>
      </c>
      <c r="DF27" s="254">
        <f t="shared" si="64"/>
        <v>0.81818181818181812</v>
      </c>
      <c r="DG27" s="254">
        <f t="shared" si="64"/>
        <v>0.75</v>
      </c>
      <c r="DH27" s="254">
        <f t="shared" si="64"/>
        <v>0.81818181818181812</v>
      </c>
      <c r="DI27" s="254">
        <f t="shared" si="64"/>
        <v>0.66666666666666674</v>
      </c>
      <c r="DJ27" s="213">
        <f t="shared" si="64"/>
        <v>0.84615384615384615</v>
      </c>
      <c r="DK27" s="213">
        <f t="shared" si="64"/>
        <v>0.84615384615384615</v>
      </c>
      <c r="DL27" s="213">
        <f t="shared" si="64"/>
        <v>0.85714285714285698</v>
      </c>
      <c r="DM27" s="213">
        <f t="shared" si="64"/>
        <v>1.0833333333333335</v>
      </c>
      <c r="DN27" s="213">
        <f t="shared" si="64"/>
        <v>0.84615384615384615</v>
      </c>
      <c r="DO27" s="213">
        <f t="shared" si="64"/>
        <v>1</v>
      </c>
      <c r="DP27" s="213">
        <f t="shared" si="64"/>
        <v>0.83333333333333337</v>
      </c>
      <c r="DQ27" s="213">
        <f t="shared" si="64"/>
        <v>0.73333333333333339</v>
      </c>
      <c r="DR27" s="213">
        <f t="shared" si="64"/>
        <v>0.73333333333333339</v>
      </c>
      <c r="DS27" s="213">
        <f t="shared" si="64"/>
        <v>0.83571428571428563</v>
      </c>
      <c r="DT27" s="76">
        <f t="shared" si="64"/>
        <v>0.79487179487179482</v>
      </c>
      <c r="DU27" s="76">
        <f t="shared" si="64"/>
        <v>0.64705882352941169</v>
      </c>
      <c r="DV27" s="76">
        <f t="shared" si="64"/>
        <v>0.76315789473684204</v>
      </c>
      <c r="DW27" s="76">
        <f t="shared" si="64"/>
        <v>0.76923076923076916</v>
      </c>
      <c r="DX27" s="76">
        <f t="shared" si="64"/>
        <v>0.72727272727272729</v>
      </c>
      <c r="DY27" s="76"/>
      <c r="DZ27" s="76">
        <f t="shared" si="64"/>
        <v>0.86538461538461542</v>
      </c>
      <c r="EA27" s="76"/>
      <c r="EB27" s="76"/>
      <c r="EC27" s="76">
        <f t="shared" si="64"/>
        <v>0.69354838709677413</v>
      </c>
      <c r="ED27" s="76">
        <f t="shared" si="64"/>
        <v>0.70909090909090911</v>
      </c>
      <c r="EE27" s="214">
        <f t="shared" si="64"/>
        <v>0.55789473684210522</v>
      </c>
      <c r="EF27" s="214">
        <f t="shared" si="64"/>
        <v>0.63783783783783776</v>
      </c>
      <c r="EG27" s="214">
        <f t="shared" si="64"/>
        <v>0.68817204301075274</v>
      </c>
      <c r="EH27" s="214">
        <f t="shared" si="64"/>
        <v>0.7055555555555556</v>
      </c>
      <c r="EI27" s="214">
        <f t="shared" si="64"/>
        <v>0.68456375838926176</v>
      </c>
      <c r="EJ27" s="214">
        <f t="shared" si="64"/>
        <v>0.75974025974025983</v>
      </c>
      <c r="EK27" s="214">
        <f t="shared" si="64"/>
        <v>0.74496644295302017</v>
      </c>
      <c r="EL27" s="214">
        <f t="shared" si="64"/>
        <v>0.69536423841059603</v>
      </c>
      <c r="EM27" s="214">
        <f t="shared" si="64"/>
        <v>0.62337662337662336</v>
      </c>
      <c r="EN27" s="214">
        <f t="shared" si="64"/>
        <v>0.7727272727272726</v>
      </c>
      <c r="EO27" s="214">
        <f t="shared" si="64"/>
        <v>0.69565217391304346</v>
      </c>
      <c r="EP27" s="214">
        <f t="shared" si="64"/>
        <v>0.76666666666666672</v>
      </c>
      <c r="EQ27" s="214">
        <f t="shared" si="64"/>
        <v>0.62941176470588234</v>
      </c>
      <c r="ER27" s="214">
        <f t="shared" si="64"/>
        <v>0.59473684210526312</v>
      </c>
      <c r="ES27" s="215">
        <f t="shared" si="64"/>
        <v>0.91111111111111098</v>
      </c>
      <c r="ET27" s="215">
        <f t="shared" si="64"/>
        <v>0.92500000000000004</v>
      </c>
      <c r="EU27" s="215">
        <f>EU25/EU11</f>
        <v>0.93103448275862066</v>
      </c>
      <c r="EV27" s="215">
        <f t="shared" si="64"/>
        <v>0.97345132743362828</v>
      </c>
      <c r="EW27" s="215">
        <f t="shared" si="64"/>
        <v>0.86885245901639341</v>
      </c>
      <c r="EX27" s="215">
        <f t="shared" si="64"/>
        <v>0.88785046728971961</v>
      </c>
      <c r="EY27" s="215">
        <f t="shared" si="64"/>
        <v>0.81355932203389836</v>
      </c>
      <c r="EZ27" s="215">
        <f t="shared" si="64"/>
        <v>0.8307692307692307</v>
      </c>
      <c r="FA27" s="215">
        <f t="shared" si="64"/>
        <v>0.875</v>
      </c>
      <c r="FB27" s="215">
        <f t="shared" si="64"/>
        <v>1.0642201834862386</v>
      </c>
      <c r="FC27" s="215">
        <f t="shared" ref="FC27:GS27" si="65">FC25/FC11</f>
        <v>1</v>
      </c>
      <c r="FD27" s="215">
        <f t="shared" si="65"/>
        <v>1</v>
      </c>
      <c r="FE27" s="215">
        <f t="shared" si="65"/>
        <v>0.80327868852459017</v>
      </c>
      <c r="FF27" s="215">
        <f t="shared" si="65"/>
        <v>0.859375</v>
      </c>
      <c r="FG27" s="216">
        <f t="shared" si="65"/>
        <v>0.90977443609022546</v>
      </c>
      <c r="FH27" s="216">
        <f t="shared" si="65"/>
        <v>1.2307692307692308</v>
      </c>
      <c r="FI27" s="216">
        <f t="shared" si="65"/>
        <v>0.88888888888888884</v>
      </c>
      <c r="FJ27" s="216">
        <f t="shared" si="65"/>
        <v>0.84615384615384615</v>
      </c>
      <c r="FK27" s="216">
        <f t="shared" si="65"/>
        <v>0.94166666666666676</v>
      </c>
      <c r="FL27" s="216">
        <f t="shared" si="65"/>
        <v>0.8307692307692307</v>
      </c>
      <c r="FM27" s="216">
        <f t="shared" si="65"/>
        <v>1</v>
      </c>
      <c r="FN27" s="216">
        <f t="shared" si="65"/>
        <v>0.87969924812030076</v>
      </c>
      <c r="FO27" s="216">
        <f t="shared" si="65"/>
        <v>0.76865671641791034</v>
      </c>
      <c r="FP27" s="216">
        <f t="shared" si="65"/>
        <v>0.8666666666666667</v>
      </c>
      <c r="FQ27" s="216">
        <f t="shared" si="65"/>
        <v>0.82945736434108519</v>
      </c>
      <c r="FR27" s="217">
        <f t="shared" si="65"/>
        <v>0.78947368421052633</v>
      </c>
      <c r="FS27" s="217">
        <f t="shared" si="65"/>
        <v>0.66285714285714292</v>
      </c>
      <c r="FT27" s="217">
        <f t="shared" si="65"/>
        <v>0.78</v>
      </c>
      <c r="FU27" s="217">
        <f t="shared" si="65"/>
        <v>0.7635135135135136</v>
      </c>
      <c r="FV27" s="217">
        <f t="shared" si="65"/>
        <v>0.7142857142857143</v>
      </c>
      <c r="FW27" s="217">
        <f t="shared" si="65"/>
        <v>0.84732824427480913</v>
      </c>
      <c r="FX27" s="217">
        <f t="shared" si="65"/>
        <v>0.79870129870129869</v>
      </c>
      <c r="FY27" s="217">
        <f t="shared" si="65"/>
        <v>0.70731707317073167</v>
      </c>
      <c r="FZ27" s="217">
        <f t="shared" si="65"/>
        <v>0.76433121019108274</v>
      </c>
      <c r="GA27" s="217">
        <f t="shared" si="65"/>
        <v>0.82835820895522383</v>
      </c>
      <c r="GB27" s="217">
        <f t="shared" si="65"/>
        <v>0.84666666666666668</v>
      </c>
      <c r="GC27" s="217">
        <f t="shared" si="65"/>
        <v>0.78</v>
      </c>
      <c r="GD27" s="218">
        <f t="shared" si="65"/>
        <v>0.82978723404255317</v>
      </c>
      <c r="GE27" s="218">
        <f t="shared" si="65"/>
        <v>0.71666666666666667</v>
      </c>
      <c r="GF27" s="218">
        <f t="shared" si="65"/>
        <v>0.77876106194690253</v>
      </c>
      <c r="GG27" s="218">
        <f t="shared" si="65"/>
        <v>0.65853658536585369</v>
      </c>
      <c r="GH27" s="218">
        <f t="shared" si="65"/>
        <v>0.67692307692307685</v>
      </c>
      <c r="GI27" s="218">
        <f t="shared" si="65"/>
        <v>0.8173076923076924</v>
      </c>
      <c r="GJ27" s="218">
        <f t="shared" si="65"/>
        <v>0.72950819672131151</v>
      </c>
      <c r="GK27" s="218">
        <f t="shared" si="65"/>
        <v>0.75</v>
      </c>
      <c r="GL27" s="218">
        <f t="shared" si="65"/>
        <v>0.72727272727272729</v>
      </c>
      <c r="GM27" s="218">
        <f t="shared" si="65"/>
        <v>0.66666666666666674</v>
      </c>
      <c r="GN27" s="218">
        <f t="shared" si="65"/>
        <v>0.75</v>
      </c>
      <c r="GO27" s="218">
        <f t="shared" si="65"/>
        <v>0.72727272727272729</v>
      </c>
      <c r="GP27" s="218">
        <f t="shared" si="65"/>
        <v>0.66666666666666674</v>
      </c>
      <c r="GQ27" s="218">
        <f t="shared" si="65"/>
        <v>0.79999999999999993</v>
      </c>
      <c r="GR27" s="218">
        <f t="shared" si="65"/>
        <v>0.66666666666666674</v>
      </c>
      <c r="GS27" s="218">
        <f t="shared" si="65"/>
        <v>0.79999999999999993</v>
      </c>
      <c r="GT27" s="94"/>
      <c r="GU27" s="94"/>
      <c r="GV27" s="94"/>
      <c r="GW27" s="94">
        <f t="shared" ref="GW27:HF27" si="66">GW25/GW11</f>
        <v>0.72077922077922085</v>
      </c>
      <c r="GX27" s="94">
        <f t="shared" si="66"/>
        <v>0.6900584795321637</v>
      </c>
      <c r="GY27" s="94">
        <f t="shared" si="66"/>
        <v>0.84397163120567376</v>
      </c>
      <c r="GZ27" s="94">
        <f t="shared" si="66"/>
        <v>0.87333333333333341</v>
      </c>
      <c r="HA27" s="94">
        <f t="shared" si="66"/>
        <v>0.88311688311688319</v>
      </c>
      <c r="HB27" s="94">
        <f t="shared" si="66"/>
        <v>0.7975460122699386</v>
      </c>
      <c r="HC27" s="94">
        <f t="shared" si="66"/>
        <v>0.71851851851851845</v>
      </c>
      <c r="HD27" s="94">
        <f t="shared" si="66"/>
        <v>0.83221476510067116</v>
      </c>
      <c r="HE27" s="94">
        <f t="shared" si="66"/>
        <v>0.71176470588235285</v>
      </c>
      <c r="HF27" s="94">
        <f t="shared" si="66"/>
        <v>0.73809523809523803</v>
      </c>
      <c r="HG27" s="18"/>
      <c r="HH27" s="18"/>
    </row>
    <row r="28" spans="1:216" customFormat="1" x14ac:dyDescent="0.25">
      <c r="A28" t="s">
        <v>7</v>
      </c>
      <c r="B28" s="48"/>
      <c r="C28" s="48">
        <f t="shared" ref="C28:V28" si="67">C25/C10</f>
        <v>9.3684941013185294E-2</v>
      </c>
      <c r="D28" s="48">
        <f t="shared" si="67"/>
        <v>6.5015479876160978E-2</v>
      </c>
      <c r="E28" s="48">
        <f t="shared" si="67"/>
        <v>9.0395480225988714E-2</v>
      </c>
      <c r="F28" s="48">
        <f t="shared" si="67"/>
        <v>0.10867579908675799</v>
      </c>
      <c r="G28" s="48">
        <f t="shared" si="67"/>
        <v>7.0119521912350602E-2</v>
      </c>
      <c r="H28" s="48"/>
      <c r="I28" s="48">
        <f t="shared" si="67"/>
        <v>7.1994240460763137E-2</v>
      </c>
      <c r="J28" s="48">
        <f t="shared" si="67"/>
        <v>6.4589665653495429E-2</v>
      </c>
      <c r="K28" s="48">
        <f t="shared" si="67"/>
        <v>7.2046109510086456E-2</v>
      </c>
      <c r="L28" s="48"/>
      <c r="M28" s="48">
        <f t="shared" si="67"/>
        <v>9.2800000000000007E-2</v>
      </c>
      <c r="N28" s="48">
        <f t="shared" si="67"/>
        <v>6.5620542082738931E-2</v>
      </c>
      <c r="O28" s="48">
        <f t="shared" si="67"/>
        <v>7.1806500377928947E-2</v>
      </c>
      <c r="P28" s="48">
        <f t="shared" si="67"/>
        <v>6.4367816091954022E-2</v>
      </c>
      <c r="Q28" s="48"/>
      <c r="R28" s="208">
        <f t="shared" si="67"/>
        <v>0.1219047619047619</v>
      </c>
      <c r="S28" s="208">
        <f t="shared" si="67"/>
        <v>8.8235294117647065E-2</v>
      </c>
      <c r="T28" s="208"/>
      <c r="U28" s="208">
        <f t="shared" ref="U28" si="68">U25/U10</f>
        <v>7.9259259259259265E-2</v>
      </c>
      <c r="V28" s="208">
        <f t="shared" si="67"/>
        <v>8.294930875576037E-2</v>
      </c>
      <c r="W28" s="208"/>
      <c r="X28" s="208">
        <f t="shared" ref="X28:CS28" si="69">X25/X10</f>
        <v>9.8617511520737333E-2</v>
      </c>
      <c r="Y28" s="208"/>
      <c r="Z28" s="208">
        <f t="shared" si="69"/>
        <v>8.0882352941176475E-2</v>
      </c>
      <c r="AA28" s="208">
        <f t="shared" si="69"/>
        <v>0.09</v>
      </c>
      <c r="AB28" s="208">
        <f t="shared" si="69"/>
        <v>7.4999999999999983E-2</v>
      </c>
      <c r="AC28" s="208"/>
      <c r="AD28" s="208">
        <f t="shared" ref="AD28" si="70">AD25/AD10</f>
        <v>8.1699346405228759E-2</v>
      </c>
      <c r="AE28" s="208"/>
      <c r="AF28" s="208">
        <f t="shared" ref="AF28" si="71">AF25/AF10</f>
        <v>8.7241003271537623E-2</v>
      </c>
      <c r="AG28" s="209">
        <f t="shared" si="69"/>
        <v>4.285026480500722E-2</v>
      </c>
      <c r="AH28" s="209">
        <f t="shared" si="69"/>
        <v>4.4390243902439015E-2</v>
      </c>
      <c r="AI28" s="209">
        <f t="shared" si="69"/>
        <v>4.1752577319587633E-2</v>
      </c>
      <c r="AJ28" s="209">
        <f t="shared" si="69"/>
        <v>4.843473124630833E-2</v>
      </c>
      <c r="AK28" s="209">
        <f t="shared" si="69"/>
        <v>4.2925278219395867E-2</v>
      </c>
      <c r="AL28" s="209">
        <f t="shared" si="69"/>
        <v>3.7234042553191488E-2</v>
      </c>
      <c r="AM28" s="209">
        <f t="shared" si="69"/>
        <v>4.0038131553860823E-2</v>
      </c>
      <c r="AN28" s="209">
        <f t="shared" si="69"/>
        <v>4.5009784735812131E-2</v>
      </c>
      <c r="AO28" s="65">
        <f t="shared" si="69"/>
        <v>0.10169491525423728</v>
      </c>
      <c r="AP28" s="65">
        <f t="shared" si="69"/>
        <v>0.1116751269035533</v>
      </c>
      <c r="AQ28" s="65">
        <f t="shared" si="69"/>
        <v>0.12994350282485875</v>
      </c>
      <c r="AR28" s="65">
        <f t="shared" si="69"/>
        <v>0.11616650532429816</v>
      </c>
      <c r="AS28" s="65">
        <f t="shared" si="69"/>
        <v>0.14720194647201948</v>
      </c>
      <c r="AT28" s="65">
        <f t="shared" si="69"/>
        <v>0.11940298507462688</v>
      </c>
      <c r="AU28" s="65">
        <f t="shared" si="69"/>
        <v>0.11554621848739496</v>
      </c>
      <c r="AV28" s="65">
        <f t="shared" si="69"/>
        <v>0.11897435897435898</v>
      </c>
      <c r="AW28" s="65">
        <f t="shared" si="69"/>
        <v>0.13625592417061613</v>
      </c>
      <c r="AX28" s="210">
        <f>AX25/AX10</f>
        <v>0.11201866977829639</v>
      </c>
      <c r="AY28" s="210">
        <f t="shared" si="69"/>
        <v>6.2977099236641215E-2</v>
      </c>
      <c r="AZ28" s="210">
        <f t="shared" si="69"/>
        <v>7.8060805258833188E-2</v>
      </c>
      <c r="BA28" s="210">
        <f t="shared" si="69"/>
        <v>7.3583517292126574E-2</v>
      </c>
      <c r="BB28" s="210"/>
      <c r="BC28" s="210">
        <f t="shared" si="69"/>
        <v>6.8122270742358076E-2</v>
      </c>
      <c r="BD28" s="210"/>
      <c r="BE28" s="210">
        <f t="shared" si="69"/>
        <v>8.6142322097378279E-2</v>
      </c>
      <c r="BF28" s="210">
        <f t="shared" si="69"/>
        <v>5.8417419012214554E-2</v>
      </c>
      <c r="BG28" s="76">
        <f t="shared" si="69"/>
        <v>7.2289156626506021E-2</v>
      </c>
      <c r="BH28" s="76">
        <f t="shared" si="69"/>
        <v>7.8616352201257858E-2</v>
      </c>
      <c r="BI28" s="76"/>
      <c r="BJ28" s="76">
        <f t="shared" si="69"/>
        <v>8.1645983017635537E-2</v>
      </c>
      <c r="BK28" s="76">
        <f t="shared" si="69"/>
        <v>9.4470046082949316E-2</v>
      </c>
      <c r="BL28" s="76">
        <f t="shared" si="69"/>
        <v>7.2549019607843143E-2</v>
      </c>
      <c r="BM28" s="76"/>
      <c r="BN28" s="76">
        <f t="shared" ref="BN28:BR28" si="72">BN25/BN10</f>
        <v>5.7836899942163109E-2</v>
      </c>
      <c r="BO28" s="76">
        <f t="shared" si="72"/>
        <v>5.7504312823461766E-2</v>
      </c>
      <c r="BP28" s="76">
        <f t="shared" si="72"/>
        <v>5.8072009291521488E-2</v>
      </c>
      <c r="BQ28" s="76">
        <f t="shared" si="72"/>
        <v>5.1020408163265307E-2</v>
      </c>
      <c r="BR28" s="76">
        <f t="shared" si="72"/>
        <v>6.1728395061728406E-2</v>
      </c>
      <c r="BS28" s="211"/>
      <c r="BT28" s="211">
        <f t="shared" si="69"/>
        <v>5.8649289099526061E-2</v>
      </c>
      <c r="BU28" s="211"/>
      <c r="BV28" s="211">
        <f t="shared" si="69"/>
        <v>7.279999999999999E-2</v>
      </c>
      <c r="BW28" s="211">
        <f t="shared" si="69"/>
        <v>8.2758620689655157E-2</v>
      </c>
      <c r="BX28" s="211"/>
      <c r="BY28" s="211">
        <f t="shared" si="69"/>
        <v>5.5214723926380362E-2</v>
      </c>
      <c r="BZ28" s="211"/>
      <c r="CA28" s="211">
        <f t="shared" si="69"/>
        <v>6.6666666666666666E-2</v>
      </c>
      <c r="CB28" s="211">
        <f t="shared" si="69"/>
        <v>4.9916805324459232E-2</v>
      </c>
      <c r="CC28" s="212">
        <f t="shared" si="69"/>
        <v>6.5753424657534254E-2</v>
      </c>
      <c r="CD28" s="212">
        <f t="shared" si="69"/>
        <v>7.0588235294117646E-2</v>
      </c>
      <c r="CE28" s="212">
        <f t="shared" si="69"/>
        <v>6.8965517241379309E-2</v>
      </c>
      <c r="CF28" s="212">
        <f t="shared" si="69"/>
        <v>6.9620253164556972E-2</v>
      </c>
      <c r="CG28" s="212">
        <f t="shared" si="69"/>
        <v>4.3062200956937802E-2</v>
      </c>
      <c r="CH28" s="212">
        <f t="shared" si="69"/>
        <v>5.9459459459459463E-2</v>
      </c>
      <c r="CI28" s="212">
        <f t="shared" si="69"/>
        <v>8.7591240875912413E-2</v>
      </c>
      <c r="CJ28" s="212">
        <f t="shared" si="69"/>
        <v>5.9459459459459463E-2</v>
      </c>
      <c r="CK28" s="212">
        <f t="shared" si="69"/>
        <v>7.2368421052631582E-2</v>
      </c>
      <c r="CL28" s="212">
        <f t="shared" si="69"/>
        <v>5.8201058201058205E-2</v>
      </c>
      <c r="CM28" s="94">
        <f t="shared" si="69"/>
        <v>0.10869565217391304</v>
      </c>
      <c r="CN28" s="94">
        <f t="shared" si="69"/>
        <v>0.11387163561076605</v>
      </c>
      <c r="CO28" s="94">
        <f t="shared" si="69"/>
        <v>5.1975051975051978E-2</v>
      </c>
      <c r="CP28" s="94"/>
      <c r="CQ28" s="94">
        <f t="shared" si="69"/>
        <v>4.6153846153846163E-2</v>
      </c>
      <c r="CR28" s="94">
        <f t="shared" si="69"/>
        <v>5.6179775280898875E-2</v>
      </c>
      <c r="CS28" s="94">
        <f t="shared" si="69"/>
        <v>5.5420515313563457E-2</v>
      </c>
      <c r="CT28" s="94">
        <f t="shared" ref="CT28:GS28" si="73">CT25/CT10</f>
        <v>6.2500000000000014E-2</v>
      </c>
      <c r="CU28" s="94">
        <f t="shared" si="73"/>
        <v>7.1895424836601315E-2</v>
      </c>
      <c r="CV28" s="94">
        <f t="shared" si="73"/>
        <v>6.0773480662983423E-2</v>
      </c>
      <c r="CW28" s="254">
        <f t="shared" si="73"/>
        <v>6.336753168376584E-2</v>
      </c>
      <c r="CX28" s="254">
        <f t="shared" si="73"/>
        <v>5.9129304743339835E-2</v>
      </c>
      <c r="CY28" s="254">
        <f t="shared" si="73"/>
        <v>6.0569351907934589E-2</v>
      </c>
      <c r="CZ28" s="254">
        <f t="shared" si="73"/>
        <v>5.7302231237322518E-2</v>
      </c>
      <c r="DA28" s="254">
        <f t="shared" si="73"/>
        <v>5.598570577724836E-2</v>
      </c>
      <c r="DB28" s="254">
        <f t="shared" si="73"/>
        <v>5.7733050847457633E-2</v>
      </c>
      <c r="DC28" s="254">
        <f t="shared" si="73"/>
        <v>5.0795279630579789E-2</v>
      </c>
      <c r="DD28" s="254">
        <f t="shared" si="73"/>
        <v>0.05</v>
      </c>
      <c r="DE28" s="254">
        <f t="shared" si="73"/>
        <v>5.6401579244218847E-2</v>
      </c>
      <c r="DF28" s="254">
        <f t="shared" si="73"/>
        <v>5.389221556886227E-2</v>
      </c>
      <c r="DG28" s="254">
        <f t="shared" si="73"/>
        <v>4.8913043478260872E-2</v>
      </c>
      <c r="DH28" s="254">
        <f t="shared" si="73"/>
        <v>5.2600818234950317E-2</v>
      </c>
      <c r="DI28" s="254">
        <f t="shared" si="73"/>
        <v>7.1428571428571425E-2</v>
      </c>
      <c r="DJ28" s="213">
        <f t="shared" si="73"/>
        <v>7.5342465753424653E-2</v>
      </c>
      <c r="DK28" s="213"/>
      <c r="DL28" s="213">
        <f t="shared" si="73"/>
        <v>7.8947368421052627E-2</v>
      </c>
      <c r="DM28" s="213"/>
      <c r="DN28" s="213">
        <f t="shared" si="73"/>
        <v>7.5653370013755147E-2</v>
      </c>
      <c r="DO28" s="213">
        <f t="shared" si="73"/>
        <v>8.7837837837837843E-2</v>
      </c>
      <c r="DP28" s="213"/>
      <c r="DQ28" s="213">
        <f t="shared" si="73"/>
        <v>5.9588299024918745E-2</v>
      </c>
      <c r="DR28" s="213">
        <f t="shared" si="73"/>
        <v>6.5320665083135401E-2</v>
      </c>
      <c r="DS28" s="213">
        <f t="shared" si="73"/>
        <v>7.134146341463414E-2</v>
      </c>
      <c r="DT28" s="76">
        <f t="shared" si="73"/>
        <v>4.8361934477379097E-2</v>
      </c>
      <c r="DU28" s="76">
        <f t="shared" si="73"/>
        <v>5.8009228740936059E-2</v>
      </c>
      <c r="DV28" s="76"/>
      <c r="DW28" s="76"/>
      <c r="DX28" s="76"/>
      <c r="DY28" s="76"/>
      <c r="DZ28" s="76"/>
      <c r="EA28" s="76"/>
      <c r="EB28" s="76"/>
      <c r="EC28" s="76">
        <f t="shared" si="73"/>
        <v>5.5376690276883446E-2</v>
      </c>
      <c r="ED28" s="76">
        <f t="shared" si="73"/>
        <v>6.8241469816272965E-2</v>
      </c>
      <c r="EE28" s="214">
        <f t="shared" si="73"/>
        <v>7.3560027758501054E-2</v>
      </c>
      <c r="EF28" s="214">
        <f t="shared" si="73"/>
        <v>6.5995525727069348E-2</v>
      </c>
      <c r="EG28" s="214">
        <f t="shared" si="73"/>
        <v>6.9264069264069264E-2</v>
      </c>
      <c r="EH28" s="214">
        <f t="shared" si="73"/>
        <v>8.3773087071240107E-2</v>
      </c>
      <c r="EI28" s="214">
        <f t="shared" si="73"/>
        <v>6.9152542372881348E-2</v>
      </c>
      <c r="EJ28" s="214">
        <f t="shared" si="73"/>
        <v>7.8787878787878796E-2</v>
      </c>
      <c r="EK28" s="214">
        <f t="shared" si="73"/>
        <v>0.10632183908045977</v>
      </c>
      <c r="EL28" s="214">
        <f t="shared" si="73"/>
        <v>6.9078947368421045E-2</v>
      </c>
      <c r="EM28" s="214">
        <f t="shared" si="73"/>
        <v>7.6800000000000007E-2</v>
      </c>
      <c r="EN28" s="214">
        <f t="shared" si="73"/>
        <v>7.2494669509594878E-2</v>
      </c>
      <c r="EO28" s="214">
        <f t="shared" si="73"/>
        <v>7.4866310160427815E-2</v>
      </c>
      <c r="EP28" s="214">
        <f t="shared" si="73"/>
        <v>0.1012323943661972</v>
      </c>
      <c r="EQ28" s="214">
        <f t="shared" si="73"/>
        <v>6.5204143814747109E-2</v>
      </c>
      <c r="ER28" s="214">
        <f t="shared" si="73"/>
        <v>8.7124132613723981E-2</v>
      </c>
      <c r="ES28" s="215">
        <f t="shared" si="73"/>
        <v>9.3111279333838004E-2</v>
      </c>
      <c r="ET28" s="215">
        <f t="shared" si="73"/>
        <v>9.0317331163547593E-2</v>
      </c>
      <c r="EU28" s="215"/>
      <c r="EV28" s="215">
        <f t="shared" si="73"/>
        <v>7.488087134104833E-2</v>
      </c>
      <c r="EW28" s="215">
        <f t="shared" si="73"/>
        <v>6.6374452097683154E-2</v>
      </c>
      <c r="EX28" s="215">
        <f t="shared" si="73"/>
        <v>6.0819462227912929E-2</v>
      </c>
      <c r="EY28" s="215">
        <f t="shared" si="73"/>
        <v>6.0415355569540592E-2</v>
      </c>
      <c r="EZ28" s="215">
        <f t="shared" si="73"/>
        <v>6.7039106145251381E-2</v>
      </c>
      <c r="FA28" s="215">
        <f t="shared" si="73"/>
        <v>6.9135802469135824E-2</v>
      </c>
      <c r="FB28" s="215">
        <f t="shared" si="73"/>
        <v>7.7488309953239826E-2</v>
      </c>
      <c r="FC28" s="215">
        <f t="shared" si="73"/>
        <v>7.1428571428571425E-2</v>
      </c>
      <c r="FD28" s="215"/>
      <c r="FE28" s="215">
        <f t="shared" si="73"/>
        <v>6.1442006269592474E-2</v>
      </c>
      <c r="FF28" s="215">
        <f t="shared" si="73"/>
        <v>6.5671641791044788E-2</v>
      </c>
      <c r="FG28" s="216">
        <f t="shared" si="73"/>
        <v>0.13860252004581902</v>
      </c>
      <c r="FH28" s="216">
        <f t="shared" si="73"/>
        <v>0.18713450292397663</v>
      </c>
      <c r="FI28" s="216">
        <f t="shared" si="73"/>
        <v>0.1362088535754824</v>
      </c>
      <c r="FJ28" s="216">
        <f t="shared" si="73"/>
        <v>0.1134020618556701</v>
      </c>
      <c r="FK28" s="216">
        <f t="shared" si="73"/>
        <v>0.11649484536082474</v>
      </c>
      <c r="FL28" s="216">
        <f t="shared" si="73"/>
        <v>0.14794520547945206</v>
      </c>
      <c r="FM28" s="216">
        <f t="shared" si="73"/>
        <v>0.125</v>
      </c>
      <c r="FN28" s="216">
        <f t="shared" si="73"/>
        <v>0.12828947368421054</v>
      </c>
      <c r="FO28" s="216">
        <f t="shared" si="73"/>
        <v>0.11717861205915812</v>
      </c>
      <c r="FP28" s="216">
        <f t="shared" si="73"/>
        <v>0.12289915966386555</v>
      </c>
      <c r="FQ28" s="216">
        <f t="shared" si="73"/>
        <v>0.11719605695509309</v>
      </c>
      <c r="FR28" s="217">
        <f>FR25/FR10</f>
        <v>5.4200542005420051E-2</v>
      </c>
      <c r="FS28" s="217">
        <f>FS25/FS10</f>
        <v>5.164737310774712E-2</v>
      </c>
      <c r="FT28" s="217">
        <f>FT25/FT10</f>
        <v>6.5108514190317199E-2</v>
      </c>
      <c r="FU28" s="217">
        <f>FU25/FU10</f>
        <v>5.1177536231884056E-2</v>
      </c>
      <c r="FV28" s="217"/>
      <c r="FW28" s="217">
        <f>FW25/FW10</f>
        <v>5.6088933804952001E-2</v>
      </c>
      <c r="FX28" s="217">
        <f>FX25/FX10</f>
        <v>5.3246753246753258E-2</v>
      </c>
      <c r="FY28" s="217">
        <f>FY25/FY10</f>
        <v>5.1532652154597965E-2</v>
      </c>
      <c r="FZ28" s="217">
        <f>FZ25/FZ10</f>
        <v>5.1480051480051477E-2</v>
      </c>
      <c r="GA28" s="217">
        <f>GA25/GA10</f>
        <v>5.3008595988538687E-2</v>
      </c>
      <c r="GB28" s="217">
        <f t="shared" ref="GB28:GC28" si="74">GB25/GB10</f>
        <v>6.5463917525773199E-2</v>
      </c>
      <c r="GC28" s="217">
        <f t="shared" si="74"/>
        <v>6.2234042553191496E-2</v>
      </c>
      <c r="GD28" s="218">
        <f t="shared" si="73"/>
        <v>4.7531992687385741E-2</v>
      </c>
      <c r="GE28" s="218">
        <f t="shared" si="73"/>
        <v>5.9722222222222218E-2</v>
      </c>
      <c r="GF28" s="218">
        <f t="shared" si="73"/>
        <v>5.1252184041933602E-2</v>
      </c>
      <c r="GG28" s="218">
        <f t="shared" si="73"/>
        <v>4.366576819407008E-2</v>
      </c>
      <c r="GH28" s="218">
        <f t="shared" si="73"/>
        <v>4.1745730550284625E-2</v>
      </c>
      <c r="GI28" s="218">
        <f t="shared" si="73"/>
        <v>4.8460661345496016E-2</v>
      </c>
      <c r="GJ28" s="218">
        <f t="shared" si="73"/>
        <v>6.6716641679160416E-2</v>
      </c>
      <c r="GK28" s="218">
        <f t="shared" si="73"/>
        <v>4.3689320388349509E-2</v>
      </c>
      <c r="GL28" s="218">
        <f t="shared" si="73"/>
        <v>4.5454545454545456E-2</v>
      </c>
      <c r="GM28" s="218">
        <f t="shared" si="73"/>
        <v>5.7971014492753631E-2</v>
      </c>
      <c r="GN28" s="218">
        <f t="shared" si="73"/>
        <v>5.3254437869822487E-2</v>
      </c>
      <c r="GO28" s="218">
        <f t="shared" si="73"/>
        <v>6.1068702290076333E-2</v>
      </c>
      <c r="GP28" s="218">
        <f t="shared" si="73"/>
        <v>4.0816326530612249E-2</v>
      </c>
      <c r="GQ28" s="218">
        <f t="shared" si="73"/>
        <v>4.7904191616766463E-2</v>
      </c>
      <c r="GR28" s="218">
        <f t="shared" si="73"/>
        <v>6.3492063492063502E-2</v>
      </c>
      <c r="GS28" s="218">
        <f t="shared" si="73"/>
        <v>4.49438202247191E-2</v>
      </c>
      <c r="GT28" s="94"/>
      <c r="GU28" s="94"/>
      <c r="GV28" s="94"/>
      <c r="GW28" s="94">
        <f t="shared" ref="GW28:HF28" si="75">GW25/GW10</f>
        <v>9.9551569506726459E-2</v>
      </c>
      <c r="GX28" s="94">
        <f t="shared" si="75"/>
        <v>0.10146173688736027</v>
      </c>
      <c r="GY28" s="94">
        <f t="shared" si="75"/>
        <v>0.12499999999999999</v>
      </c>
      <c r="GZ28" s="94">
        <f t="shared" si="75"/>
        <v>0.1099916036943745</v>
      </c>
      <c r="HA28" s="94">
        <f t="shared" si="75"/>
        <v>0.10717100078802208</v>
      </c>
      <c r="HB28" s="94">
        <f t="shared" si="75"/>
        <v>0.11092150170648465</v>
      </c>
      <c r="HC28" s="94">
        <f t="shared" si="75"/>
        <v>0.10221285563751319</v>
      </c>
      <c r="HD28" s="94">
        <f t="shared" si="75"/>
        <v>9.2953523238380797E-2</v>
      </c>
      <c r="HE28" s="94">
        <f t="shared" si="75"/>
        <v>8.0882352941176475E-2</v>
      </c>
      <c r="HF28" s="94">
        <f t="shared" si="75"/>
        <v>0.12338308457711444</v>
      </c>
      <c r="HG28" s="18"/>
      <c r="HH28" s="18"/>
    </row>
    <row r="29" spans="1:216" customFormat="1" x14ac:dyDescent="0.25">
      <c r="A29" t="s">
        <v>6</v>
      </c>
      <c r="B29" s="48">
        <v>0.09</v>
      </c>
      <c r="C29" s="24"/>
      <c r="D29" s="49">
        <v>9.8000000000000004E-2</v>
      </c>
      <c r="E29" s="50">
        <v>0.10100000000000001</v>
      </c>
      <c r="F29" s="24">
        <v>0.104</v>
      </c>
      <c r="G29" s="51"/>
      <c r="H29" s="24">
        <v>8.5999999999999993E-2</v>
      </c>
      <c r="I29" s="49">
        <v>9.9000000000000005E-2</v>
      </c>
      <c r="J29" s="24">
        <v>9.2999999999999999E-2</v>
      </c>
      <c r="K29" s="48">
        <v>9.7000000000000003E-2</v>
      </c>
      <c r="L29" s="24">
        <v>0.104</v>
      </c>
      <c r="M29" s="50">
        <v>0.107</v>
      </c>
      <c r="N29" s="24"/>
      <c r="O29" s="51">
        <v>8.8999999999999996E-2</v>
      </c>
      <c r="P29" s="24"/>
      <c r="Q29" s="24">
        <v>9.0999999999999998E-2</v>
      </c>
      <c r="R29" s="52">
        <v>9.9000000000000005E-2</v>
      </c>
      <c r="S29" s="53">
        <v>9.9000000000000005E-2</v>
      </c>
      <c r="T29" s="22"/>
      <c r="U29" s="54"/>
      <c r="V29" s="22"/>
      <c r="W29" s="55"/>
      <c r="X29" s="22"/>
      <c r="Y29" s="52">
        <v>0.09</v>
      </c>
      <c r="Z29" s="22">
        <v>0.09</v>
      </c>
      <c r="AA29" s="56">
        <v>0.09</v>
      </c>
      <c r="AB29" s="22">
        <v>0.09</v>
      </c>
      <c r="AC29" s="21">
        <v>0.08</v>
      </c>
      <c r="AD29" s="21">
        <v>0.09</v>
      </c>
      <c r="AE29" s="21">
        <v>0.09</v>
      </c>
      <c r="AF29" s="21">
        <v>0.08</v>
      </c>
      <c r="AG29" s="57">
        <v>9.8000000000000004E-2</v>
      </c>
      <c r="AH29" s="60">
        <v>9.1999999999999998E-2</v>
      </c>
      <c r="AI29" s="59">
        <v>8.7999999999999995E-2</v>
      </c>
      <c r="AJ29" s="60">
        <v>9.0999999999999998E-2</v>
      </c>
      <c r="AK29" s="61">
        <v>9.7000000000000003E-2</v>
      </c>
      <c r="AL29" s="60">
        <v>9.2999999999999999E-2</v>
      </c>
      <c r="AM29" s="60"/>
      <c r="AN29" s="60"/>
      <c r="AO29" s="62">
        <v>7.4999999999999997E-2</v>
      </c>
      <c r="AP29" s="63">
        <v>7.2999999999999995E-2</v>
      </c>
      <c r="AQ29" s="64">
        <v>0.08</v>
      </c>
      <c r="AR29" s="65">
        <v>8.8999999999999996E-2</v>
      </c>
      <c r="AS29" s="64">
        <v>8.4000000000000005E-2</v>
      </c>
      <c r="AT29" s="66">
        <v>8.5999999999999993E-2</v>
      </c>
      <c r="AU29" s="64">
        <v>8.5000000000000006E-2</v>
      </c>
      <c r="AV29" s="67">
        <v>8.5999999999999993E-2</v>
      </c>
      <c r="AW29" s="63">
        <v>8.5000000000000006E-2</v>
      </c>
      <c r="AX29" s="68">
        <v>8.3000000000000004E-2</v>
      </c>
      <c r="AY29" s="69"/>
      <c r="AZ29" s="68">
        <v>9.0999999999999998E-2</v>
      </c>
      <c r="BA29" s="70">
        <v>8.6999999999999994E-2</v>
      </c>
      <c r="BB29" s="68">
        <v>0.10100000000000001</v>
      </c>
      <c r="BC29" s="71">
        <v>9.0999999999999998E-2</v>
      </c>
      <c r="BD29" s="68">
        <v>9.1999999999999998E-2</v>
      </c>
      <c r="BE29" s="72">
        <v>9.5000000000000001E-2</v>
      </c>
      <c r="BF29" s="68">
        <v>9.5000000000000001E-2</v>
      </c>
      <c r="BG29" s="73"/>
      <c r="BH29" s="74"/>
      <c r="BI29" s="75"/>
      <c r="BJ29" s="41">
        <v>9.0999999999999998E-2</v>
      </c>
      <c r="BK29" s="76">
        <v>8.5999999999999993E-2</v>
      </c>
      <c r="BL29" s="41"/>
      <c r="BM29" s="77">
        <v>9.2999999999999999E-2</v>
      </c>
      <c r="BN29" s="41">
        <v>9.6000000000000002E-2</v>
      </c>
      <c r="BO29" s="41">
        <v>9.1999999999999998E-2</v>
      </c>
      <c r="BP29" s="41">
        <v>8.5999999999999993E-2</v>
      </c>
      <c r="BQ29" s="41">
        <v>9.4E-2</v>
      </c>
      <c r="BR29" s="41">
        <v>9.2999999999999999E-2</v>
      </c>
      <c r="BS29" s="78">
        <v>0.09</v>
      </c>
      <c r="BT29" s="79"/>
      <c r="BU29" s="80">
        <v>0.09</v>
      </c>
      <c r="BV29" s="81"/>
      <c r="BW29" s="20"/>
      <c r="BX29" s="82">
        <v>0.09</v>
      </c>
      <c r="BY29" s="20">
        <v>0.09</v>
      </c>
      <c r="BZ29" s="83">
        <v>0.09</v>
      </c>
      <c r="CA29" s="20">
        <v>0.08</v>
      </c>
      <c r="CB29" s="20">
        <v>0.1</v>
      </c>
      <c r="CC29" s="84">
        <v>8.5999999999999993E-2</v>
      </c>
      <c r="CD29" s="37">
        <v>0.09</v>
      </c>
      <c r="CE29" s="84"/>
      <c r="CF29" s="84">
        <v>0.1</v>
      </c>
      <c r="CG29" s="84">
        <v>0.1</v>
      </c>
      <c r="CH29" s="84">
        <v>0.1</v>
      </c>
      <c r="CI29" s="84">
        <v>0.1</v>
      </c>
      <c r="CJ29" s="84">
        <v>0.1</v>
      </c>
      <c r="CK29" s="84">
        <v>0.1</v>
      </c>
      <c r="CL29" s="84">
        <v>0.1</v>
      </c>
      <c r="CM29" s="87">
        <v>0.109</v>
      </c>
      <c r="CN29" s="88"/>
      <c r="CO29" s="89">
        <v>0.12</v>
      </c>
      <c r="CP29" s="88">
        <v>0.108</v>
      </c>
      <c r="CQ29" s="90">
        <v>0.111</v>
      </c>
      <c r="CR29" s="91">
        <v>0.11600000000000001</v>
      </c>
      <c r="CS29" s="92">
        <v>0.106</v>
      </c>
      <c r="CT29" s="93">
        <v>0.11</v>
      </c>
      <c r="CU29" s="92">
        <v>0.12</v>
      </c>
      <c r="CV29" s="94">
        <v>0.1</v>
      </c>
      <c r="CW29" s="243">
        <v>0.09</v>
      </c>
      <c r="CX29" s="244">
        <v>9.4E-2</v>
      </c>
      <c r="CY29" s="245">
        <v>9.9000000000000005E-2</v>
      </c>
      <c r="CZ29" s="246">
        <v>9.1999999999999998E-2</v>
      </c>
      <c r="DA29" s="247">
        <v>8.5999999999999993E-2</v>
      </c>
      <c r="DB29" s="246">
        <v>9.2999999999999999E-2</v>
      </c>
      <c r="DC29" s="248">
        <v>9.7000000000000003E-2</v>
      </c>
      <c r="DD29" s="253">
        <v>0.09</v>
      </c>
      <c r="DE29" s="253">
        <v>0.09</v>
      </c>
      <c r="DF29" s="253">
        <v>0.09</v>
      </c>
      <c r="DG29" s="246">
        <v>0.1</v>
      </c>
      <c r="DH29" s="246">
        <v>0.1</v>
      </c>
      <c r="DI29" s="253">
        <v>0.09</v>
      </c>
      <c r="DJ29" s="95"/>
      <c r="DK29" s="96"/>
      <c r="DL29" s="97">
        <v>0.105</v>
      </c>
      <c r="DM29" s="98"/>
      <c r="DN29" s="96"/>
      <c r="DO29" s="99">
        <v>0.1</v>
      </c>
      <c r="DP29" s="96">
        <v>0.09</v>
      </c>
      <c r="DQ29" s="96">
        <v>0.1</v>
      </c>
      <c r="DR29" s="96">
        <v>0.1</v>
      </c>
      <c r="DS29" s="96">
        <v>0.1</v>
      </c>
      <c r="DT29" s="41">
        <v>0.09</v>
      </c>
      <c r="DU29" s="41">
        <v>9.1999999999999998E-2</v>
      </c>
      <c r="DV29" s="41">
        <v>8.2000000000000003E-2</v>
      </c>
      <c r="DW29" s="41">
        <v>9.0999999999999998E-2</v>
      </c>
      <c r="DX29" s="41">
        <v>9.1999999999999998E-2</v>
      </c>
      <c r="DY29" s="41">
        <v>8.4000000000000005E-2</v>
      </c>
      <c r="DZ29" s="41">
        <v>8.5000000000000006E-2</v>
      </c>
      <c r="EA29" s="41">
        <v>0.09</v>
      </c>
      <c r="EB29" s="41">
        <v>0.09</v>
      </c>
      <c r="EC29" s="41">
        <v>8.3000000000000004E-2</v>
      </c>
      <c r="ED29" s="41">
        <v>8.6999999999999994E-2</v>
      </c>
      <c r="EE29" s="100">
        <v>0.13</v>
      </c>
      <c r="EF29" s="101">
        <v>0.14299999999999999</v>
      </c>
      <c r="EG29" s="100">
        <v>0.13500000000000001</v>
      </c>
      <c r="EH29" s="102">
        <v>0.13600000000000001</v>
      </c>
      <c r="EI29" s="100"/>
      <c r="EJ29" s="103">
        <v>0.125</v>
      </c>
      <c r="EK29" s="100"/>
      <c r="EL29" s="104">
        <v>0.13500000000000001</v>
      </c>
      <c r="EM29" s="100">
        <v>0.127</v>
      </c>
      <c r="EN29" s="105">
        <v>0.126</v>
      </c>
      <c r="EO29" s="100">
        <v>0.125</v>
      </c>
      <c r="EP29" s="100">
        <v>0.124</v>
      </c>
      <c r="EQ29" s="100">
        <v>0.13</v>
      </c>
      <c r="ER29" s="100">
        <v>0.123</v>
      </c>
      <c r="ES29" s="106"/>
      <c r="ET29" s="107"/>
      <c r="EU29" s="106">
        <v>9.1999999999999998E-2</v>
      </c>
      <c r="EV29" s="108">
        <v>9.7000000000000003E-2</v>
      </c>
      <c r="EW29" s="106">
        <v>9.7000000000000003E-2</v>
      </c>
      <c r="EX29" s="109">
        <v>9.1999999999999998E-2</v>
      </c>
      <c r="EY29" s="106">
        <v>9.6000000000000002E-2</v>
      </c>
      <c r="EZ29" s="110">
        <v>0.10100000000000001</v>
      </c>
      <c r="FA29" s="106">
        <v>9.6000000000000002E-2</v>
      </c>
      <c r="FB29" s="107">
        <v>9.0999999999999998E-2</v>
      </c>
      <c r="FC29" s="106">
        <v>0.1</v>
      </c>
      <c r="FD29" s="106">
        <v>0.106</v>
      </c>
      <c r="FE29" s="106">
        <v>9.8000000000000004E-2</v>
      </c>
      <c r="FF29" s="106">
        <v>9.8000000000000004E-2</v>
      </c>
      <c r="FG29" s="111"/>
      <c r="FH29" s="112"/>
      <c r="FI29" s="111">
        <v>0.08</v>
      </c>
      <c r="FJ29" s="113"/>
      <c r="FK29" s="111"/>
      <c r="FL29" s="114">
        <v>0.08</v>
      </c>
      <c r="FM29" s="111">
        <v>0.08</v>
      </c>
      <c r="FN29" s="115"/>
      <c r="FO29" s="116">
        <v>8.1000000000000003E-2</v>
      </c>
      <c r="FP29" s="117">
        <v>8.7999999999999995E-2</v>
      </c>
      <c r="FQ29" s="116"/>
      <c r="FR29" s="118">
        <v>0.11</v>
      </c>
      <c r="FS29" s="119">
        <v>0.108</v>
      </c>
      <c r="FT29" s="118">
        <v>0.109</v>
      </c>
      <c r="FU29" s="120">
        <v>9.8000000000000004E-2</v>
      </c>
      <c r="FV29" s="118">
        <v>0.104</v>
      </c>
      <c r="FW29" s="121">
        <v>0.10299999999999999</v>
      </c>
      <c r="FX29" s="118">
        <v>0.10199999999999999</v>
      </c>
      <c r="FY29" s="122"/>
      <c r="FZ29" s="118">
        <v>9.9000000000000005E-2</v>
      </c>
      <c r="GA29" s="123">
        <v>0.107</v>
      </c>
      <c r="GB29" s="118">
        <v>0.11</v>
      </c>
      <c r="GC29" s="45">
        <v>0.11</v>
      </c>
      <c r="GD29" s="124"/>
      <c r="GE29" s="125"/>
      <c r="GF29" s="126"/>
      <c r="GG29" s="124">
        <v>9.2999999999999999E-2</v>
      </c>
      <c r="GH29" s="127">
        <v>8.6999999999999994E-2</v>
      </c>
      <c r="GI29" s="124">
        <v>8.8999999999999996E-2</v>
      </c>
      <c r="GJ29" s="128">
        <v>9.2999999999999999E-2</v>
      </c>
      <c r="GK29" s="124">
        <v>0.09</v>
      </c>
      <c r="GL29" s="124"/>
      <c r="GM29" s="124">
        <v>0.09</v>
      </c>
      <c r="GN29" s="124"/>
      <c r="GO29" s="124">
        <v>0.09</v>
      </c>
      <c r="GP29" s="124">
        <v>0.09</v>
      </c>
      <c r="GQ29" s="124">
        <v>0.09</v>
      </c>
      <c r="GR29" s="124">
        <v>0.09</v>
      </c>
      <c r="GS29" s="124">
        <v>0.08</v>
      </c>
      <c r="GT29" s="92">
        <v>9.9000000000000005E-2</v>
      </c>
      <c r="GU29" s="92">
        <v>9.9000000000000005E-2</v>
      </c>
      <c r="GV29" s="130">
        <v>0.1</v>
      </c>
      <c r="GW29" s="91"/>
      <c r="GX29" s="94"/>
      <c r="GY29" s="92"/>
      <c r="GZ29" s="90">
        <v>9.7000000000000003E-2</v>
      </c>
      <c r="HA29" s="92">
        <v>9.9000000000000005E-2</v>
      </c>
      <c r="HB29" s="91">
        <v>9.5000000000000001E-2</v>
      </c>
      <c r="HC29" s="93">
        <v>8.4000000000000005E-2</v>
      </c>
      <c r="HD29" s="92">
        <v>9.8000000000000004E-2</v>
      </c>
      <c r="HE29" s="94">
        <v>0.105</v>
      </c>
      <c r="HF29" s="92">
        <v>8.2000000000000003E-2</v>
      </c>
      <c r="HG29" s="18"/>
      <c r="HH29" s="18"/>
    </row>
    <row r="30" spans="1:216" customFormat="1" x14ac:dyDescent="0.25">
      <c r="A30" t="s">
        <v>5</v>
      </c>
      <c r="B30" s="48">
        <v>5.7000000000000002E-2</v>
      </c>
      <c r="C30" s="24"/>
      <c r="D30" s="49">
        <v>6.8000000000000005E-2</v>
      </c>
      <c r="E30" s="50">
        <v>6.9000000000000006E-2</v>
      </c>
      <c r="F30" s="24">
        <v>7.9000000000000001E-2</v>
      </c>
      <c r="G30" s="51"/>
      <c r="H30" s="24">
        <v>6.2E-2</v>
      </c>
      <c r="I30" s="49">
        <v>0.06</v>
      </c>
      <c r="J30" s="24">
        <v>6.7000000000000004E-2</v>
      </c>
      <c r="K30" s="48">
        <v>5.8000000000000003E-2</v>
      </c>
      <c r="L30" s="24">
        <v>6.0999999999999999E-2</v>
      </c>
      <c r="M30" s="50">
        <v>5.3999999999999999E-2</v>
      </c>
      <c r="N30" s="24"/>
      <c r="O30" s="51">
        <v>4.9000000000000002E-2</v>
      </c>
      <c r="P30" s="24"/>
      <c r="Q30" s="24">
        <v>5.6000000000000001E-2</v>
      </c>
      <c r="R30" s="52">
        <v>0.06</v>
      </c>
      <c r="S30" s="53">
        <v>5.7000000000000002E-2</v>
      </c>
      <c r="T30" s="22"/>
      <c r="U30" s="54"/>
      <c r="V30" s="22"/>
      <c r="W30" s="55"/>
      <c r="X30" s="22"/>
      <c r="Y30" s="52">
        <v>0.08</v>
      </c>
      <c r="Z30" s="22">
        <v>7.0000000000000007E-2</v>
      </c>
      <c r="AA30" s="56">
        <v>0.06</v>
      </c>
      <c r="AB30" s="22">
        <v>0.05</v>
      </c>
      <c r="AC30" s="21">
        <v>0.05</v>
      </c>
      <c r="AD30" s="21">
        <v>7.0000000000000007E-2</v>
      </c>
      <c r="AE30" s="21">
        <v>0.06</v>
      </c>
      <c r="AF30" s="21">
        <v>7.0000000000000007E-2</v>
      </c>
      <c r="AG30" s="57">
        <v>6.0999999999999999E-2</v>
      </c>
      <c r="AH30" s="60">
        <v>6.4000000000000001E-2</v>
      </c>
      <c r="AI30" s="59">
        <v>6.0999999999999999E-2</v>
      </c>
      <c r="AJ30" s="60">
        <v>6.0999999999999999E-2</v>
      </c>
      <c r="AK30" s="61">
        <v>6.7000000000000004E-2</v>
      </c>
      <c r="AL30" s="60">
        <v>0.06</v>
      </c>
      <c r="AM30" s="60"/>
      <c r="AN30" s="60"/>
      <c r="AO30" s="62">
        <v>5.3999999999999999E-2</v>
      </c>
      <c r="AP30" s="63">
        <v>5.8000000000000003E-2</v>
      </c>
      <c r="AQ30" s="64">
        <v>5.3999999999999999E-2</v>
      </c>
      <c r="AR30" s="65">
        <v>5.1999999999999998E-2</v>
      </c>
      <c r="AS30" s="64">
        <v>5.3999999999999999E-2</v>
      </c>
      <c r="AT30" s="66">
        <v>4.8000000000000001E-2</v>
      </c>
      <c r="AU30" s="64">
        <v>0.06</v>
      </c>
      <c r="AV30" s="67">
        <v>5.8000000000000003E-2</v>
      </c>
      <c r="AW30" s="63">
        <v>0.05</v>
      </c>
      <c r="AX30" s="68"/>
      <c r="AY30" s="69"/>
      <c r="AZ30" s="68">
        <v>5.2999999999999999E-2</v>
      </c>
      <c r="BA30" s="70">
        <v>5.8999999999999997E-2</v>
      </c>
      <c r="BB30" s="68">
        <v>6.3E-2</v>
      </c>
      <c r="BC30" s="71">
        <v>5.0999999999999997E-2</v>
      </c>
      <c r="BD30" s="68">
        <v>5.3999999999999999E-2</v>
      </c>
      <c r="BE30" s="72">
        <v>0.06</v>
      </c>
      <c r="BF30" s="68">
        <v>5.2999999999999999E-2</v>
      </c>
      <c r="BG30" s="73"/>
      <c r="BH30" s="74"/>
      <c r="BI30" s="75"/>
      <c r="BJ30" s="41">
        <v>6.9000000000000006E-2</v>
      </c>
      <c r="BK30" s="76">
        <v>6.6000000000000003E-2</v>
      </c>
      <c r="BL30" s="41"/>
      <c r="BM30" s="77">
        <v>8.4000000000000005E-2</v>
      </c>
      <c r="BN30" s="41">
        <v>6.9000000000000006E-2</v>
      </c>
      <c r="BO30" s="41">
        <v>6.4000000000000001E-2</v>
      </c>
      <c r="BP30" s="41">
        <v>7.4999999999999997E-2</v>
      </c>
      <c r="BQ30" s="41">
        <v>6.7000000000000004E-2</v>
      </c>
      <c r="BR30" s="41">
        <v>0.83</v>
      </c>
      <c r="BS30" s="78"/>
      <c r="BT30" s="79"/>
      <c r="BU30" s="80">
        <v>6.8000000000000005E-2</v>
      </c>
      <c r="BV30" s="81"/>
      <c r="BW30" s="20"/>
      <c r="BX30" s="82">
        <v>7.0000000000000007E-2</v>
      </c>
      <c r="BY30" s="20">
        <v>0.06</v>
      </c>
      <c r="BZ30" s="83">
        <v>0.06</v>
      </c>
      <c r="CA30" s="20">
        <v>0.06</v>
      </c>
      <c r="CB30" s="20">
        <v>6.6000000000000003E-2</v>
      </c>
      <c r="CC30" s="84">
        <v>7.0999999999999994E-2</v>
      </c>
      <c r="CD30" s="37">
        <v>0.06</v>
      </c>
      <c r="CE30" s="84"/>
      <c r="CF30" s="84">
        <v>7.0000000000000007E-2</v>
      </c>
      <c r="CG30" s="84">
        <v>0.06</v>
      </c>
      <c r="CH30" s="84">
        <v>0.06</v>
      </c>
      <c r="CI30" s="84">
        <v>7.0000000000000007E-2</v>
      </c>
      <c r="CJ30" s="84">
        <v>0.06</v>
      </c>
      <c r="CK30" s="84">
        <v>0.06</v>
      </c>
      <c r="CL30" s="84">
        <v>7.0000000000000007E-2</v>
      </c>
      <c r="CM30" s="87">
        <v>6.2E-2</v>
      </c>
      <c r="CN30" s="88"/>
      <c r="CO30" s="89">
        <v>6.5000000000000002E-2</v>
      </c>
      <c r="CP30" s="88">
        <v>7.2999999999999995E-2</v>
      </c>
      <c r="CQ30" s="90">
        <v>8.3000000000000004E-2</v>
      </c>
      <c r="CR30" s="91">
        <v>6.2E-2</v>
      </c>
      <c r="CS30" s="92">
        <v>8.3000000000000004E-2</v>
      </c>
      <c r="CT30" s="93">
        <v>7.0000000000000007E-2</v>
      </c>
      <c r="CU30" s="92">
        <v>7.0000000000000007E-2</v>
      </c>
      <c r="CV30" s="94">
        <v>0.05</v>
      </c>
      <c r="CW30" s="243">
        <v>6.7000000000000004E-2</v>
      </c>
      <c r="CX30" s="244">
        <v>5.6000000000000001E-2</v>
      </c>
      <c r="CY30" s="245">
        <v>5.8999999999999997E-2</v>
      </c>
      <c r="CZ30" s="246">
        <v>5.7000000000000002E-2</v>
      </c>
      <c r="DA30" s="247">
        <v>5.8000000000000003E-2</v>
      </c>
      <c r="DB30" s="246">
        <v>6.0999999999999999E-2</v>
      </c>
      <c r="DC30" s="248">
        <v>5.7000000000000002E-2</v>
      </c>
      <c r="DD30" s="253">
        <v>0.05</v>
      </c>
      <c r="DE30" s="253">
        <v>0.06</v>
      </c>
      <c r="DF30" s="253">
        <v>0.06</v>
      </c>
      <c r="DG30" s="246">
        <v>7.0000000000000007E-2</v>
      </c>
      <c r="DH30" s="246">
        <v>7.0000000000000007E-2</v>
      </c>
      <c r="DI30" s="253">
        <v>0.08</v>
      </c>
      <c r="DJ30" s="95"/>
      <c r="DK30" s="96"/>
      <c r="DL30" s="97">
        <v>5.3999999999999999E-2</v>
      </c>
      <c r="DM30" s="98"/>
      <c r="DN30" s="96"/>
      <c r="DO30" s="99">
        <v>0.05</v>
      </c>
      <c r="DP30" s="96">
        <v>0.06</v>
      </c>
      <c r="DQ30" s="230">
        <v>7.0000000000000007E-2</v>
      </c>
      <c r="DR30" s="230">
        <v>0.06</v>
      </c>
      <c r="DS30" s="230">
        <v>7.0000000000000007E-2</v>
      </c>
      <c r="DT30" s="41">
        <v>4.5999999999999999E-2</v>
      </c>
      <c r="DU30" s="41">
        <v>5.0999999999999997E-2</v>
      </c>
      <c r="DV30" s="41">
        <v>5.7000000000000002E-2</v>
      </c>
      <c r="DW30" s="41">
        <v>0.06</v>
      </c>
      <c r="DX30" s="41">
        <v>5.6000000000000001E-2</v>
      </c>
      <c r="DY30" s="41">
        <v>5.2999999999999999E-2</v>
      </c>
      <c r="DZ30" s="41">
        <v>5.8000000000000003E-2</v>
      </c>
      <c r="EA30" s="41">
        <v>4.9000000000000002E-2</v>
      </c>
      <c r="EB30" s="41">
        <v>5.3999999999999999E-2</v>
      </c>
      <c r="EC30" s="41">
        <v>5.5E-2</v>
      </c>
      <c r="ED30" s="41">
        <v>5.8999999999999997E-2</v>
      </c>
      <c r="EE30" s="100">
        <v>6.7000000000000004E-2</v>
      </c>
      <c r="EF30" s="101">
        <v>7.6999999999999999E-2</v>
      </c>
      <c r="EG30" s="100">
        <v>6.9000000000000006E-2</v>
      </c>
      <c r="EH30" s="102">
        <v>7.4999999999999997E-2</v>
      </c>
      <c r="EI30" s="100"/>
      <c r="EJ30" s="103">
        <v>7.0000000000000007E-2</v>
      </c>
      <c r="EK30" s="100"/>
      <c r="EL30" s="104">
        <v>7.4999999999999997E-2</v>
      </c>
      <c r="EM30" s="100">
        <v>8.5999999999999993E-2</v>
      </c>
      <c r="EN30" s="105">
        <v>7.0000000000000007E-2</v>
      </c>
      <c r="EO30" s="100">
        <v>7.0000000000000007E-2</v>
      </c>
      <c r="EP30" s="100">
        <v>7.9000000000000001E-2</v>
      </c>
      <c r="EQ30" s="100">
        <v>7.8E-2</v>
      </c>
      <c r="ER30" s="100">
        <v>6.6000000000000003E-2</v>
      </c>
      <c r="ES30" s="106"/>
      <c r="ET30" s="107"/>
      <c r="EU30" s="106">
        <v>5.8999999999999997E-2</v>
      </c>
      <c r="EV30" s="108">
        <v>6.9000000000000006E-2</v>
      </c>
      <c r="EW30" s="106">
        <v>7.1999999999999995E-2</v>
      </c>
      <c r="EX30" s="109">
        <v>5.8000000000000003E-2</v>
      </c>
      <c r="EY30" s="106">
        <v>0.06</v>
      </c>
      <c r="EZ30" s="110">
        <v>7.4999999999999997E-2</v>
      </c>
      <c r="FA30" s="106">
        <v>5.6000000000000001E-2</v>
      </c>
      <c r="FB30" s="107">
        <v>7.0999999999999994E-2</v>
      </c>
      <c r="FC30" s="106">
        <v>7.0000000000000007E-2</v>
      </c>
      <c r="FD30" s="106">
        <v>6.4000000000000001E-2</v>
      </c>
      <c r="FE30" s="106">
        <v>5.8000000000000003E-2</v>
      </c>
      <c r="FF30" s="106">
        <v>6.0999999999999999E-2</v>
      </c>
      <c r="FG30" s="111"/>
      <c r="FH30" s="112"/>
      <c r="FI30" s="111"/>
      <c r="FJ30" s="113"/>
      <c r="FK30" s="111"/>
      <c r="FL30" s="114">
        <v>6.3E-2</v>
      </c>
      <c r="FM30" s="111">
        <v>6.3E-2</v>
      </c>
      <c r="FN30" s="115"/>
      <c r="FO30" s="116">
        <v>5.8000000000000003E-2</v>
      </c>
      <c r="FP30" s="117">
        <v>0.06</v>
      </c>
      <c r="FQ30" s="116"/>
      <c r="FR30" s="118">
        <v>6.6000000000000003E-2</v>
      </c>
      <c r="FS30" s="119">
        <v>0.06</v>
      </c>
      <c r="FT30" s="118">
        <v>8.3000000000000004E-2</v>
      </c>
      <c r="FU30" s="120">
        <v>5.6000000000000001E-2</v>
      </c>
      <c r="FV30" s="118">
        <v>6.5000000000000002E-2</v>
      </c>
      <c r="FW30" s="121">
        <v>5.8999999999999997E-2</v>
      </c>
      <c r="FX30" s="118">
        <v>7.0000000000000007E-2</v>
      </c>
      <c r="FY30" s="122"/>
      <c r="FZ30" s="118">
        <v>6.5000000000000002E-2</v>
      </c>
      <c r="GA30" s="123">
        <v>6.2E-2</v>
      </c>
      <c r="GB30" s="118">
        <v>8.5999999999999993E-2</v>
      </c>
      <c r="GC30" s="45">
        <v>7.0000000000000007E-2</v>
      </c>
      <c r="GD30" s="124"/>
      <c r="GE30" s="125"/>
      <c r="GF30" s="126"/>
      <c r="GG30" s="124">
        <v>5.6000000000000001E-2</v>
      </c>
      <c r="GH30" s="127">
        <v>5.2999999999999999E-2</v>
      </c>
      <c r="GI30" s="124">
        <v>5.7000000000000002E-2</v>
      </c>
      <c r="GJ30" s="128">
        <v>6.0999999999999999E-2</v>
      </c>
      <c r="GK30" s="124">
        <v>0.06</v>
      </c>
      <c r="GL30" s="124"/>
      <c r="GM30" s="124">
        <v>0.06</v>
      </c>
      <c r="GN30" s="124"/>
      <c r="GO30" s="124">
        <v>0.06</v>
      </c>
      <c r="GP30" s="124">
        <v>0.06</v>
      </c>
      <c r="GQ30" s="124">
        <v>0.06</v>
      </c>
      <c r="GR30" s="124">
        <v>0.06</v>
      </c>
      <c r="GS30" s="124">
        <v>0.05</v>
      </c>
      <c r="GT30" s="92">
        <v>6.5000000000000002E-2</v>
      </c>
      <c r="GU30" s="92">
        <v>6.4000000000000001E-2</v>
      </c>
      <c r="GV30" s="130">
        <v>6.0999999999999999E-2</v>
      </c>
      <c r="GW30" s="91"/>
      <c r="GX30" s="94"/>
      <c r="GY30" s="92"/>
      <c r="GZ30" s="90">
        <v>6.8000000000000005E-2</v>
      </c>
      <c r="HA30" s="92">
        <v>6.2E-2</v>
      </c>
      <c r="HB30" s="91">
        <v>7.0999999999999994E-2</v>
      </c>
      <c r="HC30" s="93">
        <v>6.0999999999999999E-2</v>
      </c>
      <c r="HD30" s="92">
        <v>6.2E-2</v>
      </c>
      <c r="HE30" s="94">
        <v>6.2E-2</v>
      </c>
      <c r="HF30" s="92">
        <v>5.6000000000000001E-2</v>
      </c>
      <c r="HG30" s="18"/>
      <c r="HH30" s="18"/>
    </row>
    <row r="31" spans="1:216" customFormat="1" x14ac:dyDescent="0.25">
      <c r="A31" t="s">
        <v>4</v>
      </c>
      <c r="B31" s="48">
        <f>B29/B30</f>
        <v>1.5789473684210524</v>
      </c>
      <c r="C31" s="24"/>
      <c r="D31" s="49">
        <f t="shared" ref="D31:S31" si="76">D29/D30</f>
        <v>1.4411764705882353</v>
      </c>
      <c r="E31" s="50">
        <f t="shared" si="76"/>
        <v>1.463768115942029</v>
      </c>
      <c r="F31" s="24">
        <f t="shared" si="76"/>
        <v>1.3164556962025316</v>
      </c>
      <c r="G31" s="51"/>
      <c r="H31" s="24">
        <f t="shared" si="76"/>
        <v>1.3870967741935483</v>
      </c>
      <c r="I31" s="49">
        <f t="shared" si="76"/>
        <v>1.6500000000000001</v>
      </c>
      <c r="J31" s="24">
        <f t="shared" si="76"/>
        <v>1.3880597014925373</v>
      </c>
      <c r="K31" s="48">
        <f t="shared" si="76"/>
        <v>1.6724137931034482</v>
      </c>
      <c r="L31" s="24">
        <f t="shared" si="76"/>
        <v>1.7049180327868851</v>
      </c>
      <c r="M31" s="50">
        <f t="shared" si="76"/>
        <v>1.9814814814814814</v>
      </c>
      <c r="N31" s="24"/>
      <c r="O31" s="51">
        <f t="shared" si="76"/>
        <v>1.8163265306122447</v>
      </c>
      <c r="P31" s="24"/>
      <c r="Q31" s="24">
        <f t="shared" si="76"/>
        <v>1.625</v>
      </c>
      <c r="R31" s="52">
        <f t="shared" si="76"/>
        <v>1.6500000000000001</v>
      </c>
      <c r="S31" s="53">
        <f t="shared" si="76"/>
        <v>1.736842105263158</v>
      </c>
      <c r="T31" s="22"/>
      <c r="U31" s="54"/>
      <c r="V31" s="22"/>
      <c r="W31" s="55"/>
      <c r="X31" s="22"/>
      <c r="Y31" s="52">
        <f t="shared" ref="Y31:CT31" si="77">Y29/Y30</f>
        <v>1.125</v>
      </c>
      <c r="Z31" s="22">
        <f t="shared" si="77"/>
        <v>1.2857142857142856</v>
      </c>
      <c r="AA31" s="56">
        <f t="shared" si="77"/>
        <v>1.5</v>
      </c>
      <c r="AB31" s="22">
        <f t="shared" si="77"/>
        <v>1.7999999999999998</v>
      </c>
      <c r="AC31" s="22">
        <f t="shared" si="77"/>
        <v>1.5999999999999999</v>
      </c>
      <c r="AD31" s="22">
        <f t="shared" si="77"/>
        <v>1.2857142857142856</v>
      </c>
      <c r="AE31" s="22">
        <f t="shared" si="77"/>
        <v>1.5</v>
      </c>
      <c r="AF31" s="22">
        <f t="shared" si="77"/>
        <v>1.1428571428571428</v>
      </c>
      <c r="AG31" s="57">
        <f t="shared" si="77"/>
        <v>1.6065573770491803</v>
      </c>
      <c r="AH31" s="60">
        <f t="shared" si="77"/>
        <v>1.4375</v>
      </c>
      <c r="AI31" s="59">
        <f t="shared" si="77"/>
        <v>1.4426229508196722</v>
      </c>
      <c r="AJ31" s="60">
        <f t="shared" si="77"/>
        <v>1.4918032786885247</v>
      </c>
      <c r="AK31" s="61">
        <f t="shared" si="77"/>
        <v>1.4477611940298507</v>
      </c>
      <c r="AL31" s="60">
        <f t="shared" si="77"/>
        <v>1.55</v>
      </c>
      <c r="AM31" s="60"/>
      <c r="AN31" s="60"/>
      <c r="AO31" s="62">
        <f t="shared" si="77"/>
        <v>1.3888888888888888</v>
      </c>
      <c r="AP31" s="63">
        <f t="shared" si="77"/>
        <v>1.2586206896551724</v>
      </c>
      <c r="AQ31" s="64">
        <f t="shared" si="77"/>
        <v>1.4814814814814816</v>
      </c>
      <c r="AR31" s="65">
        <f t="shared" si="77"/>
        <v>1.7115384615384615</v>
      </c>
      <c r="AS31" s="64">
        <f t="shared" si="77"/>
        <v>1.5555555555555556</v>
      </c>
      <c r="AT31" s="66">
        <f t="shared" si="77"/>
        <v>1.7916666666666665</v>
      </c>
      <c r="AU31" s="64">
        <f t="shared" si="77"/>
        <v>1.4166666666666667</v>
      </c>
      <c r="AV31" s="67">
        <f t="shared" si="77"/>
        <v>1.482758620689655</v>
      </c>
      <c r="AW31" s="63">
        <f t="shared" si="77"/>
        <v>1.7</v>
      </c>
      <c r="AX31" s="68"/>
      <c r="AY31" s="69"/>
      <c r="AZ31" s="68">
        <f t="shared" si="77"/>
        <v>1.7169811320754718</v>
      </c>
      <c r="BA31" s="70">
        <f t="shared" si="77"/>
        <v>1.4745762711864407</v>
      </c>
      <c r="BB31" s="68">
        <f t="shared" si="77"/>
        <v>1.6031746031746033</v>
      </c>
      <c r="BC31" s="71">
        <f t="shared" si="77"/>
        <v>1.7843137254901962</v>
      </c>
      <c r="BD31" s="68">
        <f t="shared" si="77"/>
        <v>1.7037037037037037</v>
      </c>
      <c r="BE31" s="72">
        <f t="shared" si="77"/>
        <v>1.5833333333333335</v>
      </c>
      <c r="BF31" s="68">
        <f t="shared" si="77"/>
        <v>1.7924528301886793</v>
      </c>
      <c r="BG31" s="221"/>
      <c r="BH31" s="222"/>
      <c r="BI31" s="223"/>
      <c r="BJ31" s="41">
        <f t="shared" si="77"/>
        <v>1.3188405797101448</v>
      </c>
      <c r="BK31" s="76">
        <f t="shared" si="77"/>
        <v>1.3030303030303028</v>
      </c>
      <c r="BL31" s="41"/>
      <c r="BM31" s="77">
        <f t="shared" si="77"/>
        <v>1.107142857142857</v>
      </c>
      <c r="BN31" s="77">
        <f t="shared" si="77"/>
        <v>1.3913043478260869</v>
      </c>
      <c r="BO31" s="77">
        <f t="shared" si="77"/>
        <v>1.4375</v>
      </c>
      <c r="BP31" s="77">
        <f t="shared" si="77"/>
        <v>1.1466666666666667</v>
      </c>
      <c r="BQ31" s="77">
        <f t="shared" si="77"/>
        <v>1.4029850746268655</v>
      </c>
      <c r="BR31" s="77">
        <f t="shared" si="77"/>
        <v>0.11204819277108434</v>
      </c>
      <c r="BS31" s="224"/>
      <c r="BT31" s="20"/>
      <c r="BU31" s="225">
        <f t="shared" si="77"/>
        <v>1.3235294117647058</v>
      </c>
      <c r="BV31" s="211"/>
      <c r="BW31" s="20"/>
      <c r="BX31" s="82">
        <f t="shared" si="77"/>
        <v>1.2857142857142856</v>
      </c>
      <c r="BY31" s="20">
        <f t="shared" si="77"/>
        <v>1.5</v>
      </c>
      <c r="BZ31" s="83">
        <f t="shared" si="77"/>
        <v>1.5</v>
      </c>
      <c r="CA31" s="20">
        <f t="shared" si="77"/>
        <v>1.3333333333333335</v>
      </c>
      <c r="CB31" s="20">
        <f t="shared" si="77"/>
        <v>1.5151515151515151</v>
      </c>
      <c r="CC31" s="84">
        <f t="shared" si="77"/>
        <v>1.2112676056338028</v>
      </c>
      <c r="CD31" s="85">
        <f t="shared" si="77"/>
        <v>1.5</v>
      </c>
      <c r="CE31" s="84"/>
      <c r="CF31" s="219">
        <f t="shared" si="77"/>
        <v>1.4285714285714286</v>
      </c>
      <c r="CG31" s="219">
        <f t="shared" si="77"/>
        <v>1.6666666666666667</v>
      </c>
      <c r="CH31" s="219">
        <f t="shared" si="77"/>
        <v>1.6666666666666667</v>
      </c>
      <c r="CI31" s="219">
        <f t="shared" si="77"/>
        <v>1.4285714285714286</v>
      </c>
      <c r="CJ31" s="219">
        <f t="shared" si="77"/>
        <v>1.6666666666666667</v>
      </c>
      <c r="CK31" s="219">
        <f t="shared" si="77"/>
        <v>1.6666666666666667</v>
      </c>
      <c r="CL31" s="219">
        <f t="shared" si="77"/>
        <v>1.4285714285714286</v>
      </c>
      <c r="CM31" s="94">
        <f t="shared" si="77"/>
        <v>1.7580645161290323</v>
      </c>
      <c r="CN31" s="92"/>
      <c r="CO31" s="226">
        <f t="shared" si="77"/>
        <v>1.846153846153846</v>
      </c>
      <c r="CP31" s="92">
        <f t="shared" si="77"/>
        <v>1.4794520547945207</v>
      </c>
      <c r="CQ31" s="90">
        <f t="shared" si="77"/>
        <v>1.3373493975903614</v>
      </c>
      <c r="CR31" s="91">
        <f t="shared" si="77"/>
        <v>1.870967741935484</v>
      </c>
      <c r="CS31" s="92">
        <f t="shared" si="77"/>
        <v>1.2771084337349397</v>
      </c>
      <c r="CT31" s="93">
        <f t="shared" si="77"/>
        <v>1.5714285714285714</v>
      </c>
      <c r="CU31" s="92">
        <f t="shared" ref="CU31:DL31" si="78">CU29/CU30</f>
        <v>1.714285714285714</v>
      </c>
      <c r="CV31" s="94">
        <f t="shared" si="78"/>
        <v>2</v>
      </c>
      <c r="CW31" s="248">
        <f t="shared" si="78"/>
        <v>1.3432835820895521</v>
      </c>
      <c r="CX31" s="246">
        <f t="shared" si="78"/>
        <v>1.6785714285714286</v>
      </c>
      <c r="CY31" s="255">
        <f t="shared" si="78"/>
        <v>1.6779661016949154</v>
      </c>
      <c r="CZ31" s="246">
        <f t="shared" si="78"/>
        <v>1.6140350877192982</v>
      </c>
      <c r="DA31" s="247">
        <f t="shared" si="78"/>
        <v>1.482758620689655</v>
      </c>
      <c r="DB31" s="246">
        <f t="shared" si="78"/>
        <v>1.5245901639344261</v>
      </c>
      <c r="DC31" s="248">
        <f t="shared" si="78"/>
        <v>1.7017543859649122</v>
      </c>
      <c r="DD31" s="248">
        <f t="shared" si="78"/>
        <v>1.7999999999999998</v>
      </c>
      <c r="DE31" s="248">
        <f t="shared" si="78"/>
        <v>1.5</v>
      </c>
      <c r="DF31" s="248">
        <f t="shared" si="78"/>
        <v>1.5</v>
      </c>
      <c r="DG31" s="248">
        <f t="shared" si="78"/>
        <v>1.4285714285714286</v>
      </c>
      <c r="DH31" s="248">
        <f t="shared" si="78"/>
        <v>1.4285714285714286</v>
      </c>
      <c r="DI31" s="248">
        <f t="shared" si="78"/>
        <v>1.125</v>
      </c>
      <c r="DJ31" s="95"/>
      <c r="DK31" s="96"/>
      <c r="DL31" s="97">
        <f t="shared" si="78"/>
        <v>1.9444444444444444</v>
      </c>
      <c r="DM31" s="98"/>
      <c r="DN31" s="96"/>
      <c r="DO31" s="99">
        <f t="shared" ref="DO31:HD31" si="79">DO29/DO30</f>
        <v>2</v>
      </c>
      <c r="DP31" s="96">
        <f t="shared" si="79"/>
        <v>1.5</v>
      </c>
      <c r="DQ31" s="96">
        <f t="shared" si="79"/>
        <v>1.4285714285714286</v>
      </c>
      <c r="DR31" s="96">
        <f t="shared" si="79"/>
        <v>1.6666666666666667</v>
      </c>
      <c r="DS31" s="96">
        <f t="shared" si="79"/>
        <v>1.4285714285714286</v>
      </c>
      <c r="DT31" s="41">
        <f t="shared" si="79"/>
        <v>1.9565217391304348</v>
      </c>
      <c r="DU31" s="41">
        <f t="shared" si="79"/>
        <v>1.803921568627451</v>
      </c>
      <c r="DV31" s="41">
        <f t="shared" si="79"/>
        <v>1.4385964912280702</v>
      </c>
      <c r="DW31" s="41">
        <f t="shared" si="79"/>
        <v>1.5166666666666666</v>
      </c>
      <c r="DX31" s="41">
        <f t="shared" si="79"/>
        <v>1.6428571428571428</v>
      </c>
      <c r="DY31" s="41">
        <f t="shared" si="79"/>
        <v>1.5849056603773586</v>
      </c>
      <c r="DZ31" s="41">
        <f t="shared" si="79"/>
        <v>1.4655172413793103</v>
      </c>
      <c r="EA31" s="41">
        <f t="shared" si="79"/>
        <v>1.8367346938775508</v>
      </c>
      <c r="EB31" s="41">
        <f t="shared" si="79"/>
        <v>1.6666666666666665</v>
      </c>
      <c r="EC31" s="41">
        <f t="shared" si="79"/>
        <v>1.5090909090909093</v>
      </c>
      <c r="ED31" s="41">
        <f t="shared" si="79"/>
        <v>1.4745762711864407</v>
      </c>
      <c r="EE31" s="100">
        <f t="shared" si="79"/>
        <v>1.9402985074626866</v>
      </c>
      <c r="EF31" s="101">
        <f t="shared" si="79"/>
        <v>1.857142857142857</v>
      </c>
      <c r="EG31" s="100">
        <f t="shared" si="79"/>
        <v>1.9565217391304348</v>
      </c>
      <c r="EH31" s="102">
        <f t="shared" si="79"/>
        <v>1.8133333333333335</v>
      </c>
      <c r="EI31" s="100"/>
      <c r="EJ31" s="103">
        <f t="shared" si="79"/>
        <v>1.7857142857142856</v>
      </c>
      <c r="EK31" s="100"/>
      <c r="EL31" s="104">
        <f t="shared" si="79"/>
        <v>1.8000000000000003</v>
      </c>
      <c r="EM31" s="100">
        <f t="shared" si="79"/>
        <v>1.4767441860465118</v>
      </c>
      <c r="EN31" s="105">
        <f t="shared" si="79"/>
        <v>1.7999999999999998</v>
      </c>
      <c r="EO31" s="105">
        <f t="shared" si="79"/>
        <v>1.7857142857142856</v>
      </c>
      <c r="EP31" s="105">
        <f t="shared" si="79"/>
        <v>1.5696202531645569</v>
      </c>
      <c r="EQ31" s="105">
        <f t="shared" si="79"/>
        <v>1.6666666666666667</v>
      </c>
      <c r="ER31" s="105">
        <f t="shared" si="79"/>
        <v>1.8636363636363635</v>
      </c>
      <c r="ES31" s="106"/>
      <c r="ET31" s="107"/>
      <c r="EU31" s="106">
        <f t="shared" si="79"/>
        <v>1.5593220338983051</v>
      </c>
      <c r="EV31" s="108">
        <f t="shared" si="79"/>
        <v>1.4057971014492754</v>
      </c>
      <c r="EW31" s="106">
        <f t="shared" si="79"/>
        <v>1.3472222222222223</v>
      </c>
      <c r="EX31" s="109">
        <f t="shared" si="79"/>
        <v>1.586206896551724</v>
      </c>
      <c r="EY31" s="106">
        <f t="shared" si="79"/>
        <v>1.6</v>
      </c>
      <c r="EZ31" s="110">
        <f t="shared" si="79"/>
        <v>1.3466666666666669</v>
      </c>
      <c r="FA31" s="106">
        <f t="shared" si="79"/>
        <v>1.7142857142857142</v>
      </c>
      <c r="FB31" s="107">
        <f t="shared" si="79"/>
        <v>1.2816901408450705</v>
      </c>
      <c r="FC31" s="107">
        <f t="shared" si="79"/>
        <v>1.4285714285714286</v>
      </c>
      <c r="FD31" s="107">
        <f t="shared" si="79"/>
        <v>1.65625</v>
      </c>
      <c r="FE31" s="107">
        <f t="shared" si="79"/>
        <v>1.6896551724137931</v>
      </c>
      <c r="FF31" s="107">
        <f t="shared" si="79"/>
        <v>1.6065573770491803</v>
      </c>
      <c r="FG31" s="116"/>
      <c r="FH31" s="115"/>
      <c r="FI31" s="116"/>
      <c r="FJ31" s="227"/>
      <c r="FK31" s="116"/>
      <c r="FL31" s="228">
        <f t="shared" si="79"/>
        <v>1.2698412698412698</v>
      </c>
      <c r="FM31" s="116">
        <f t="shared" si="79"/>
        <v>1.2698412698412698</v>
      </c>
      <c r="FN31" s="115"/>
      <c r="FO31" s="116">
        <f t="shared" si="79"/>
        <v>1.396551724137931</v>
      </c>
      <c r="FP31" s="117">
        <f t="shared" si="79"/>
        <v>1.4666666666666666</v>
      </c>
      <c r="FQ31" s="116"/>
      <c r="FR31" s="118">
        <f t="shared" ref="FR31:FX31" si="80">FR29/FR30</f>
        <v>1.6666666666666665</v>
      </c>
      <c r="FS31" s="119">
        <f t="shared" si="80"/>
        <v>1.8</v>
      </c>
      <c r="FT31" s="118">
        <f t="shared" si="80"/>
        <v>1.3132530120481927</v>
      </c>
      <c r="FU31" s="120">
        <f t="shared" si="80"/>
        <v>1.75</v>
      </c>
      <c r="FV31" s="118">
        <f t="shared" si="80"/>
        <v>1.5999999999999999</v>
      </c>
      <c r="FW31" s="121">
        <f t="shared" si="80"/>
        <v>1.7457627118644068</v>
      </c>
      <c r="FX31" s="118">
        <f t="shared" si="80"/>
        <v>1.4571428571428569</v>
      </c>
      <c r="FY31" s="122"/>
      <c r="FZ31" s="118">
        <f>FZ29/FZ30</f>
        <v>1.523076923076923</v>
      </c>
      <c r="GA31" s="123">
        <f>GA29/GA30</f>
        <v>1.7258064516129032</v>
      </c>
      <c r="GB31" s="123">
        <f t="shared" ref="GB31:GC31" si="81">GB29/GB30</f>
        <v>1.2790697674418605</v>
      </c>
      <c r="GC31" s="123">
        <f t="shared" si="81"/>
        <v>1.5714285714285714</v>
      </c>
      <c r="GD31" s="124"/>
      <c r="GE31" s="124"/>
      <c r="GF31" s="124"/>
      <c r="GG31" s="124">
        <f>GG29/GG30</f>
        <v>1.6607142857142856</v>
      </c>
      <c r="GH31" s="127">
        <f>GH29/GH30</f>
        <v>1.641509433962264</v>
      </c>
      <c r="GI31" s="124">
        <f>GI29/GI30</f>
        <v>1.5614035087719298</v>
      </c>
      <c r="GJ31" s="128">
        <f>GJ29/GJ30</f>
        <v>1.5245901639344261</v>
      </c>
      <c r="GK31" s="124">
        <f t="shared" ref="GK31:GM31" si="82">GK29/GK30</f>
        <v>1.5</v>
      </c>
      <c r="GL31" s="124"/>
      <c r="GM31" s="124">
        <f t="shared" si="82"/>
        <v>1.5</v>
      </c>
      <c r="GN31" s="124"/>
      <c r="GO31" s="124">
        <f t="shared" ref="GO31:GS31" si="83">GO29/GO30</f>
        <v>1.5</v>
      </c>
      <c r="GP31" s="124">
        <f t="shared" si="83"/>
        <v>1.5</v>
      </c>
      <c r="GQ31" s="124">
        <f t="shared" si="83"/>
        <v>1.5</v>
      </c>
      <c r="GR31" s="124">
        <f t="shared" si="83"/>
        <v>1.5</v>
      </c>
      <c r="GS31" s="124">
        <f t="shared" si="83"/>
        <v>1.5999999999999999</v>
      </c>
      <c r="GT31" s="92">
        <f t="shared" si="79"/>
        <v>1.523076923076923</v>
      </c>
      <c r="GU31" s="92">
        <f t="shared" si="79"/>
        <v>1.546875</v>
      </c>
      <c r="GV31" s="130">
        <f t="shared" si="79"/>
        <v>1.639344262295082</v>
      </c>
      <c r="GW31" s="91"/>
      <c r="GX31" s="94"/>
      <c r="GY31" s="92"/>
      <c r="GZ31" s="90">
        <f t="shared" si="79"/>
        <v>1.4264705882352942</v>
      </c>
      <c r="HA31" s="92">
        <f t="shared" si="79"/>
        <v>1.5967741935483872</v>
      </c>
      <c r="HB31" s="91">
        <f t="shared" si="79"/>
        <v>1.3380281690140847</v>
      </c>
      <c r="HC31" s="93">
        <f t="shared" si="79"/>
        <v>1.377049180327869</v>
      </c>
      <c r="HD31" s="92">
        <f t="shared" si="79"/>
        <v>1.5806451612903227</v>
      </c>
      <c r="HE31" s="94">
        <f t="shared" ref="HE31:HF31" si="84">HE29/HE30</f>
        <v>1.6935483870967742</v>
      </c>
      <c r="HF31" s="92">
        <f t="shared" si="84"/>
        <v>1.4642857142857144</v>
      </c>
      <c r="HG31" s="18"/>
      <c r="HH31" s="18"/>
    </row>
    <row r="32" spans="1:216" customFormat="1" x14ac:dyDescent="0.25">
      <c r="A32" t="s">
        <v>35</v>
      </c>
      <c r="B32" s="48">
        <f>B29/B25</f>
        <v>0.8571428571428571</v>
      </c>
      <c r="C32" s="24"/>
      <c r="D32" s="49">
        <f>D29/D25</f>
        <v>0.93333333333333346</v>
      </c>
      <c r="E32" s="50">
        <f>E29/E25</f>
        <v>0.7890625</v>
      </c>
      <c r="F32" s="24">
        <f>F29/F25</f>
        <v>0.87394957983193278</v>
      </c>
      <c r="G32" s="51"/>
      <c r="H32" s="24">
        <f t="shared" ref="H32:M32" si="85">H29/H25</f>
        <v>1.0617283950617282</v>
      </c>
      <c r="I32" s="49">
        <f t="shared" si="85"/>
        <v>0.99</v>
      </c>
      <c r="J32" s="24">
        <f t="shared" si="85"/>
        <v>1.0941176470588234</v>
      </c>
      <c r="K32" s="48">
        <f t="shared" si="85"/>
        <v>0.77600000000000002</v>
      </c>
      <c r="L32" s="24">
        <f t="shared" si="85"/>
        <v>0.83870967741935476</v>
      </c>
      <c r="M32" s="50">
        <f t="shared" si="85"/>
        <v>0.92241379310344818</v>
      </c>
      <c r="N32" s="24"/>
      <c r="O32" s="51">
        <f>O29/O25</f>
        <v>0.93684210526315781</v>
      </c>
      <c r="P32" s="24"/>
      <c r="Q32" s="24">
        <f>Q29/Q25</f>
        <v>1.1518987341772151</v>
      </c>
      <c r="R32" s="52">
        <f>R29/R25</f>
        <v>0.7734375</v>
      </c>
      <c r="S32" s="53">
        <f>S29/S25</f>
        <v>0.84615384615384615</v>
      </c>
      <c r="T32" s="53"/>
      <c r="U32" s="53"/>
      <c r="V32" s="22"/>
      <c r="W32" s="55"/>
      <c r="X32" s="22"/>
      <c r="Y32" s="52">
        <f t="shared" ref="Y32:AL32" si="86">Y29/Y25</f>
        <v>0.75</v>
      </c>
      <c r="Z32" s="22">
        <f t="shared" si="86"/>
        <v>0.81818181818181812</v>
      </c>
      <c r="AA32" s="56">
        <f t="shared" si="86"/>
        <v>1</v>
      </c>
      <c r="AB32" s="22">
        <f t="shared" si="86"/>
        <v>1</v>
      </c>
      <c r="AC32" s="22">
        <f t="shared" si="86"/>
        <v>0.79999999999999993</v>
      </c>
      <c r="AD32" s="22">
        <f t="shared" si="86"/>
        <v>0.89999999999999991</v>
      </c>
      <c r="AE32" s="22">
        <f t="shared" si="86"/>
        <v>0.89999999999999991</v>
      </c>
      <c r="AF32" s="22">
        <f t="shared" si="86"/>
        <v>1</v>
      </c>
      <c r="AG32" s="57">
        <f t="shared" si="86"/>
        <v>1.101123595505618</v>
      </c>
      <c r="AH32" s="60">
        <f t="shared" si="86"/>
        <v>1.0109890109890109</v>
      </c>
      <c r="AI32" s="59">
        <f t="shared" si="86"/>
        <v>1.0864197530864197</v>
      </c>
      <c r="AJ32" s="60">
        <f t="shared" si="86"/>
        <v>1.1097560975609755</v>
      </c>
      <c r="AK32" s="61">
        <f t="shared" si="86"/>
        <v>1.1975308641975309</v>
      </c>
      <c r="AL32" s="60">
        <f t="shared" si="86"/>
        <v>1.2077922077922079</v>
      </c>
      <c r="AM32" s="60"/>
      <c r="AN32" s="60"/>
      <c r="AO32" s="62">
        <f t="shared" ref="AO32:BF32" si="87">AO29/AO25</f>
        <v>1.0416666666666667</v>
      </c>
      <c r="AP32" s="62">
        <f t="shared" si="87"/>
        <v>0.82954545454545459</v>
      </c>
      <c r="AQ32" s="62">
        <f t="shared" si="87"/>
        <v>0.69565217391304346</v>
      </c>
      <c r="AR32" s="62">
        <f t="shared" si="87"/>
        <v>0.7416666666666667</v>
      </c>
      <c r="AS32" s="62">
        <f t="shared" si="87"/>
        <v>0.69421487603305787</v>
      </c>
      <c r="AT32" s="66">
        <f t="shared" si="87"/>
        <v>0.71666666666666667</v>
      </c>
      <c r="AU32" s="64">
        <f t="shared" si="87"/>
        <v>0.77272727272727282</v>
      </c>
      <c r="AV32" s="64">
        <f t="shared" si="87"/>
        <v>0.74137931034482751</v>
      </c>
      <c r="AW32" s="64">
        <f t="shared" si="87"/>
        <v>0.73913043478260876</v>
      </c>
      <c r="AX32" s="68">
        <f t="shared" si="87"/>
        <v>0.86458333333333337</v>
      </c>
      <c r="AY32" s="68"/>
      <c r="AZ32" s="68">
        <f t="shared" si="87"/>
        <v>0.95789473684210524</v>
      </c>
      <c r="BA32" s="68">
        <f t="shared" si="87"/>
        <v>0.86999999999999988</v>
      </c>
      <c r="BB32" s="68">
        <f t="shared" si="87"/>
        <v>1.0306122448979591</v>
      </c>
      <c r="BC32" s="68">
        <f t="shared" si="87"/>
        <v>1.1666666666666667</v>
      </c>
      <c r="BD32" s="68">
        <f t="shared" si="87"/>
        <v>1.0109890109890109</v>
      </c>
      <c r="BE32" s="68">
        <f t="shared" si="87"/>
        <v>0.82608695652173914</v>
      </c>
      <c r="BF32" s="68">
        <f t="shared" si="87"/>
        <v>0.86363636363636365</v>
      </c>
      <c r="BG32" s="221"/>
      <c r="BH32" s="222"/>
      <c r="BI32" s="223"/>
      <c r="BJ32" s="41">
        <f>BJ29/BJ25</f>
        <v>0.72799999999999998</v>
      </c>
      <c r="BK32" s="76">
        <f>BK29/BK25</f>
        <v>0.69918699186991862</v>
      </c>
      <c r="BL32" s="41"/>
      <c r="BM32" s="77">
        <f t="shared" ref="BM32:BR32" si="88">BM29/BM25</f>
        <v>0.76229508196721307</v>
      </c>
      <c r="BN32" s="77">
        <f t="shared" si="88"/>
        <v>0.96</v>
      </c>
      <c r="BO32" s="77">
        <f t="shared" si="88"/>
        <v>0.91999999999999993</v>
      </c>
      <c r="BP32" s="77">
        <f t="shared" si="88"/>
        <v>0.85999999999999988</v>
      </c>
      <c r="BQ32" s="77">
        <f t="shared" si="88"/>
        <v>0.94</v>
      </c>
      <c r="BR32" s="77">
        <f t="shared" si="88"/>
        <v>0.92999999999999994</v>
      </c>
      <c r="BS32" s="224"/>
      <c r="BT32" s="20"/>
      <c r="BU32" s="225">
        <f>BU29/BU25</f>
        <v>0.84112149532710279</v>
      </c>
      <c r="BV32" s="211"/>
      <c r="BW32" s="20"/>
      <c r="BX32" s="82">
        <f t="shared" ref="BX32:CM32" si="89">BX29/BX25</f>
        <v>1</v>
      </c>
      <c r="BY32" s="20">
        <f t="shared" si="89"/>
        <v>1</v>
      </c>
      <c r="BZ32" s="83">
        <f t="shared" si="89"/>
        <v>1</v>
      </c>
      <c r="CA32" s="20">
        <f t="shared" si="89"/>
        <v>0.88888888888888895</v>
      </c>
      <c r="CB32" s="20">
        <f t="shared" si="89"/>
        <v>1.1111111111111112</v>
      </c>
      <c r="CC32" s="84">
        <f t="shared" si="89"/>
        <v>0.89583333333333326</v>
      </c>
      <c r="CD32" s="85">
        <f t="shared" si="89"/>
        <v>0.75</v>
      </c>
      <c r="CE32" s="84"/>
      <c r="CF32" s="219">
        <f t="shared" si="89"/>
        <v>0.90909090909090917</v>
      </c>
      <c r="CG32" s="219">
        <f t="shared" si="89"/>
        <v>1.1111111111111112</v>
      </c>
      <c r="CH32" s="219">
        <f t="shared" si="89"/>
        <v>0.90909090909090917</v>
      </c>
      <c r="CI32" s="219">
        <f t="shared" si="89"/>
        <v>0.83333333333333337</v>
      </c>
      <c r="CJ32" s="219">
        <f t="shared" si="89"/>
        <v>0.90909090909090917</v>
      </c>
      <c r="CK32" s="219">
        <f t="shared" si="89"/>
        <v>0.90909090909090917</v>
      </c>
      <c r="CL32" s="219">
        <f t="shared" si="89"/>
        <v>0.90909090909090917</v>
      </c>
      <c r="CM32" s="94">
        <f t="shared" si="89"/>
        <v>0.99090909090909085</v>
      </c>
      <c r="CN32" s="92"/>
      <c r="CO32" s="226">
        <f t="shared" ref="CO32:DI32" si="90">CO29/CO25</f>
        <v>1.2</v>
      </c>
      <c r="CP32" s="92">
        <f t="shared" si="90"/>
        <v>1.1020408163265305</v>
      </c>
      <c r="CQ32" s="90">
        <f t="shared" si="90"/>
        <v>1.1935483870967742</v>
      </c>
      <c r="CR32" s="91">
        <f t="shared" si="90"/>
        <v>1.1047619047619048</v>
      </c>
      <c r="CS32" s="92">
        <f t="shared" si="90"/>
        <v>0.92982456140350866</v>
      </c>
      <c r="CT32" s="93">
        <f t="shared" si="90"/>
        <v>1.0999999999999999</v>
      </c>
      <c r="CU32" s="92">
        <f t="shared" si="90"/>
        <v>1.0909090909090908</v>
      </c>
      <c r="CV32" s="94">
        <f t="shared" si="90"/>
        <v>0.90909090909090917</v>
      </c>
      <c r="CW32" s="248">
        <f t="shared" si="90"/>
        <v>0.8571428571428571</v>
      </c>
      <c r="CX32" s="246">
        <f t="shared" si="90"/>
        <v>1.0329670329670331</v>
      </c>
      <c r="CY32" s="255">
        <f t="shared" si="90"/>
        <v>0.99</v>
      </c>
      <c r="CZ32" s="246">
        <f t="shared" si="90"/>
        <v>0.81415929203539816</v>
      </c>
      <c r="DA32" s="247">
        <f t="shared" si="90"/>
        <v>0.91489361702127647</v>
      </c>
      <c r="DB32" s="246">
        <f t="shared" si="90"/>
        <v>0.85321100917431192</v>
      </c>
      <c r="DC32" s="248">
        <f t="shared" si="90"/>
        <v>0.97979797979797978</v>
      </c>
      <c r="DD32" s="248">
        <f t="shared" si="90"/>
        <v>1</v>
      </c>
      <c r="DE32" s="248">
        <f t="shared" si="90"/>
        <v>0.89999999999999991</v>
      </c>
      <c r="DF32" s="248">
        <f t="shared" si="90"/>
        <v>1</v>
      </c>
      <c r="DG32" s="248">
        <f t="shared" si="90"/>
        <v>1.1111111111111112</v>
      </c>
      <c r="DH32" s="248">
        <f t="shared" si="90"/>
        <v>1.1111111111111112</v>
      </c>
      <c r="DI32" s="248">
        <f t="shared" si="90"/>
        <v>1.125</v>
      </c>
      <c r="DJ32" s="95"/>
      <c r="DK32" s="96"/>
      <c r="DL32" s="97">
        <f>DL29/DL25</f>
        <v>0.875</v>
      </c>
      <c r="DM32" s="98"/>
      <c r="DN32" s="96"/>
      <c r="DO32" s="99">
        <f t="shared" ref="DO32:EH32" si="91">DO29/DO25</f>
        <v>0.76923076923076927</v>
      </c>
      <c r="DP32" s="96">
        <f t="shared" si="91"/>
        <v>0.89999999999999991</v>
      </c>
      <c r="DQ32" s="96">
        <f t="shared" si="91"/>
        <v>0.90909090909090917</v>
      </c>
      <c r="DR32" s="96">
        <f t="shared" si="91"/>
        <v>0.90909090909090917</v>
      </c>
      <c r="DS32" s="96">
        <f t="shared" si="91"/>
        <v>0.85470085470085466</v>
      </c>
      <c r="DT32" s="41">
        <f t="shared" si="91"/>
        <v>0.96774193548387089</v>
      </c>
      <c r="DU32" s="41">
        <f t="shared" si="91"/>
        <v>1.0454545454545454</v>
      </c>
      <c r="DV32" s="41">
        <f t="shared" si="91"/>
        <v>0.94252873563218398</v>
      </c>
      <c r="DW32" s="41">
        <f t="shared" si="91"/>
        <v>1.0111111111111111</v>
      </c>
      <c r="DX32" s="41">
        <f t="shared" si="91"/>
        <v>1.1499999999999999</v>
      </c>
      <c r="DY32" s="41">
        <f t="shared" si="91"/>
        <v>0.9882352941176471</v>
      </c>
      <c r="DZ32" s="41">
        <f t="shared" si="91"/>
        <v>0.94444444444444453</v>
      </c>
      <c r="EA32" s="41">
        <f t="shared" si="91"/>
        <v>1.1111111111111109</v>
      </c>
      <c r="EB32" s="41">
        <f t="shared" si="91"/>
        <v>0.95744680851063824</v>
      </c>
      <c r="EC32" s="41">
        <f t="shared" si="91"/>
        <v>0.9651162790697676</v>
      </c>
      <c r="ED32" s="41">
        <f t="shared" si="91"/>
        <v>1.1153846153846154</v>
      </c>
      <c r="EE32" s="100">
        <f t="shared" si="91"/>
        <v>1.2264150943396228</v>
      </c>
      <c r="EF32" s="101">
        <f t="shared" si="91"/>
        <v>1.2118644067796609</v>
      </c>
      <c r="EG32" s="100">
        <f t="shared" si="91"/>
        <v>1.0546875</v>
      </c>
      <c r="EH32" s="102">
        <f t="shared" si="91"/>
        <v>1.0708661417322836</v>
      </c>
      <c r="EI32" s="100"/>
      <c r="EJ32" s="103">
        <f>EJ29/EJ25</f>
        <v>1.0683760683760684</v>
      </c>
      <c r="EK32" s="100"/>
      <c r="EL32" s="104">
        <f>EL29/EL25</f>
        <v>1.2857142857142858</v>
      </c>
      <c r="EM32" s="100">
        <f>EM29/EM25</f>
        <v>1.3229166666666667</v>
      </c>
      <c r="EN32" s="105">
        <f>EN29/EN25</f>
        <v>1.2352941176470589</v>
      </c>
      <c r="EO32" s="105">
        <f t="shared" ref="EO32:ER32" si="92">EO29/EO25</f>
        <v>1.1160714285714286</v>
      </c>
      <c r="EP32" s="105">
        <f t="shared" si="92"/>
        <v>1.0782608695652174</v>
      </c>
      <c r="EQ32" s="105">
        <f t="shared" si="92"/>
        <v>1.2149532710280375</v>
      </c>
      <c r="ER32" s="105">
        <f t="shared" si="92"/>
        <v>1.0884955752212389</v>
      </c>
      <c r="ES32" s="106"/>
      <c r="ET32" s="107"/>
      <c r="EU32" s="106">
        <f t="shared" ref="EU32:FF32" si="93">EU29/EU25</f>
        <v>0.85185185185185186</v>
      </c>
      <c r="EV32" s="108">
        <f t="shared" si="93"/>
        <v>0.88181818181818183</v>
      </c>
      <c r="EW32" s="106">
        <f t="shared" si="93"/>
        <v>0.91509433962264153</v>
      </c>
      <c r="EX32" s="109">
        <f t="shared" si="93"/>
        <v>0.96842105263157896</v>
      </c>
      <c r="EY32" s="106">
        <f t="shared" si="93"/>
        <v>1</v>
      </c>
      <c r="EZ32" s="110">
        <f t="shared" si="93"/>
        <v>0.93518518518518523</v>
      </c>
      <c r="FA32" s="106">
        <f t="shared" si="93"/>
        <v>0.8571428571428571</v>
      </c>
      <c r="FB32" s="107">
        <f t="shared" si="93"/>
        <v>0.78448275862068961</v>
      </c>
      <c r="FC32" s="107">
        <f t="shared" si="93"/>
        <v>0.90909090909090917</v>
      </c>
      <c r="FD32" s="107">
        <f t="shared" si="93"/>
        <v>0.89830508474576276</v>
      </c>
      <c r="FE32" s="107">
        <f t="shared" si="93"/>
        <v>1</v>
      </c>
      <c r="FF32" s="107">
        <f t="shared" si="93"/>
        <v>0.89090909090909098</v>
      </c>
      <c r="FG32" s="116"/>
      <c r="FH32" s="115"/>
      <c r="FI32" s="116">
        <f t="shared" ref="FI32:FP32" si="94">FI29/FI25</f>
        <v>0.66666666666666674</v>
      </c>
      <c r="FJ32" s="227"/>
      <c r="FK32" s="116"/>
      <c r="FL32" s="228">
        <f t="shared" si="94"/>
        <v>0.74074074074074081</v>
      </c>
      <c r="FM32" s="116">
        <f t="shared" si="94"/>
        <v>0.66666666666666674</v>
      </c>
      <c r="FN32" s="115"/>
      <c r="FO32" s="116">
        <f t="shared" si="94"/>
        <v>0.78640776699029136</v>
      </c>
      <c r="FP32" s="117">
        <f t="shared" si="94"/>
        <v>0.75213675213675202</v>
      </c>
      <c r="FQ32" s="116"/>
      <c r="FR32" s="118">
        <f t="shared" ref="FR32:FX32" si="95">FR29/FR25</f>
        <v>0.91666666666666674</v>
      </c>
      <c r="FS32" s="119">
        <f t="shared" si="95"/>
        <v>0.93103448275862066</v>
      </c>
      <c r="FT32" s="118">
        <f t="shared" si="95"/>
        <v>0.93162393162393153</v>
      </c>
      <c r="FU32" s="120">
        <f t="shared" si="95"/>
        <v>0.86725663716814161</v>
      </c>
      <c r="FV32" s="118">
        <f t="shared" si="95"/>
        <v>0.90434782608695641</v>
      </c>
      <c r="FW32" s="121">
        <f t="shared" si="95"/>
        <v>0.92792792792792789</v>
      </c>
      <c r="FX32" s="118">
        <f t="shared" si="95"/>
        <v>0.82926829268292679</v>
      </c>
      <c r="FY32" s="122"/>
      <c r="FZ32" s="118">
        <f>FZ29/FZ25</f>
        <v>0.82500000000000007</v>
      </c>
      <c r="GA32" s="123">
        <f>GA29/GA25</f>
        <v>0.96396396396396389</v>
      </c>
      <c r="GB32" s="123">
        <f t="shared" ref="GB32:GC32" si="96">GB29/GB25</f>
        <v>0.86614173228346458</v>
      </c>
      <c r="GC32" s="123">
        <f t="shared" si="96"/>
        <v>0.94017094017094016</v>
      </c>
      <c r="GD32" s="124"/>
      <c r="GE32" s="124"/>
      <c r="GF32" s="124"/>
      <c r="GG32" s="124">
        <f>GG29/GG25</f>
        <v>1.1481481481481481</v>
      </c>
      <c r="GH32" s="127">
        <f>GH29/GH25</f>
        <v>0.98863636363636365</v>
      </c>
      <c r="GI32" s="124">
        <f>GI29/GI25</f>
        <v>1.0470588235294116</v>
      </c>
      <c r="GJ32" s="128">
        <f>GJ29/GJ25</f>
        <v>1.0449438202247192</v>
      </c>
      <c r="GK32" s="124">
        <f t="shared" ref="GK32:GM32" si="97">GK29/GK25</f>
        <v>1</v>
      </c>
      <c r="GL32" s="124"/>
      <c r="GM32" s="124">
        <f t="shared" si="97"/>
        <v>1.125</v>
      </c>
      <c r="GN32" s="124"/>
      <c r="GO32" s="124">
        <f t="shared" ref="GO32:GS32" si="98">GO29/GO25</f>
        <v>1.125</v>
      </c>
      <c r="GP32" s="124">
        <f t="shared" si="98"/>
        <v>1.125</v>
      </c>
      <c r="GQ32" s="124">
        <f t="shared" si="98"/>
        <v>1.125</v>
      </c>
      <c r="GR32" s="124">
        <f t="shared" si="98"/>
        <v>1.125</v>
      </c>
      <c r="GS32" s="124">
        <f t="shared" si="98"/>
        <v>1</v>
      </c>
      <c r="GT32" s="92"/>
      <c r="GU32" s="92"/>
      <c r="GV32" s="130"/>
      <c r="GW32" s="91"/>
      <c r="GX32" s="94"/>
      <c r="GY32" s="92"/>
      <c r="GZ32" s="90">
        <f t="shared" ref="GZ32:HF32" si="99">GZ29/GZ25</f>
        <v>0.74045801526717558</v>
      </c>
      <c r="HA32" s="92">
        <f t="shared" si="99"/>
        <v>0.7279411764705882</v>
      </c>
      <c r="HB32" s="91">
        <f t="shared" si="99"/>
        <v>0.73076923076923073</v>
      </c>
      <c r="HC32" s="93">
        <f t="shared" si="99"/>
        <v>0.865979381443299</v>
      </c>
      <c r="HD32" s="92">
        <f t="shared" si="99"/>
        <v>0.79032258064516137</v>
      </c>
      <c r="HE32" s="94">
        <f t="shared" si="99"/>
        <v>0.86776859504132231</v>
      </c>
      <c r="HF32" s="92">
        <f t="shared" si="99"/>
        <v>0.66129032258064524</v>
      </c>
      <c r="HG32" s="18"/>
      <c r="HH32" s="18"/>
    </row>
    <row r="33" spans="1:216" customFormat="1" x14ac:dyDescent="0.25">
      <c r="A33" t="s">
        <v>33</v>
      </c>
      <c r="B33" s="48">
        <f>B29/B7</f>
        <v>0.10600706713780919</v>
      </c>
      <c r="C33" s="48"/>
      <c r="D33" s="48">
        <f>D29/D7</f>
        <v>9.1162790697674426E-2</v>
      </c>
      <c r="E33" s="48">
        <f>E29/E7</f>
        <v>0.10790598290598291</v>
      </c>
      <c r="F33" s="48">
        <f>F29/F7</f>
        <v>0.10677618069815195</v>
      </c>
      <c r="G33" s="48"/>
      <c r="H33" s="48">
        <f t="shared" ref="H33:M33" si="100">H29/H7</f>
        <v>0.11286089238845143</v>
      </c>
      <c r="I33" s="48">
        <f t="shared" si="100"/>
        <v>0.11970979443772674</v>
      </c>
      <c r="J33" s="48">
        <f t="shared" si="100"/>
        <v>0.11938382541720154</v>
      </c>
      <c r="K33" s="48">
        <f t="shared" si="100"/>
        <v>9.1079812206572783E-2</v>
      </c>
      <c r="L33" s="48">
        <f t="shared" si="100"/>
        <v>9.369369369369368E-2</v>
      </c>
      <c r="M33" s="48">
        <f t="shared" si="100"/>
        <v>0.11157455683003129</v>
      </c>
      <c r="N33" s="48"/>
      <c r="O33" s="48">
        <f>O29/O7</f>
        <v>0.11308767471410418</v>
      </c>
      <c r="P33" s="48"/>
      <c r="Q33" s="48">
        <f>Q29/Q7</f>
        <v>0.12816901408450704</v>
      </c>
      <c r="R33" s="208">
        <f>R29/R7</f>
        <v>0.10312500000000001</v>
      </c>
      <c r="S33" s="208">
        <f>S29/S7</f>
        <v>0.11</v>
      </c>
      <c r="T33" s="208"/>
      <c r="U33" s="208"/>
      <c r="V33" s="208"/>
      <c r="W33" s="208"/>
      <c r="X33" s="208"/>
      <c r="Y33" s="208">
        <f t="shared" ref="Y33:AL33" si="101">Y29/Y7</f>
        <v>9.7826086956521729E-2</v>
      </c>
      <c r="Z33" s="208">
        <f t="shared" si="101"/>
        <v>8.9108910891089105E-2</v>
      </c>
      <c r="AA33" s="208">
        <f t="shared" si="101"/>
        <v>0.11538461538461538</v>
      </c>
      <c r="AB33" s="208">
        <f t="shared" si="101"/>
        <v>0.12</v>
      </c>
      <c r="AC33" s="208">
        <f t="shared" si="101"/>
        <v>0.13745704467353953</v>
      </c>
      <c r="AD33" s="208">
        <f t="shared" si="101"/>
        <v>0.13043478260869565</v>
      </c>
      <c r="AE33" s="208">
        <f t="shared" si="101"/>
        <v>0.11673151750972761</v>
      </c>
      <c r="AF33" s="208">
        <f t="shared" si="101"/>
        <v>0.10958904109589042</v>
      </c>
      <c r="AG33" s="209">
        <f t="shared" si="101"/>
        <v>0.12980132450331125</v>
      </c>
      <c r="AH33" s="209">
        <f t="shared" si="101"/>
        <v>0.12105263157894737</v>
      </c>
      <c r="AI33" s="209">
        <f t="shared" si="101"/>
        <v>0.15798922800718129</v>
      </c>
      <c r="AJ33" s="209">
        <f t="shared" si="101"/>
        <v>0.15141430948419302</v>
      </c>
      <c r="AK33" s="209">
        <f t="shared" si="101"/>
        <v>0.13778409090909091</v>
      </c>
      <c r="AL33" s="209">
        <f t="shared" si="101"/>
        <v>0.13696612665684829</v>
      </c>
      <c r="AM33" s="209"/>
      <c r="AN33" s="209"/>
      <c r="AO33" s="65">
        <f t="shared" ref="AO33:BF33" si="102">AO29/AO7</f>
        <v>0.11363636363636363</v>
      </c>
      <c r="AP33" s="65">
        <f t="shared" si="102"/>
        <v>0.11587301587301586</v>
      </c>
      <c r="AQ33" s="65">
        <f t="shared" si="102"/>
        <v>0.10596026490066225</v>
      </c>
      <c r="AR33" s="65">
        <f t="shared" si="102"/>
        <v>0.12447552447552447</v>
      </c>
      <c r="AS33" s="65">
        <f t="shared" si="102"/>
        <v>0.11244979919678716</v>
      </c>
      <c r="AT33" s="65">
        <f t="shared" si="102"/>
        <v>0.11961057023643949</v>
      </c>
      <c r="AU33" s="65">
        <f t="shared" si="102"/>
        <v>0.12408759124087591</v>
      </c>
      <c r="AV33" s="65">
        <f t="shared" si="102"/>
        <v>0.11300919842312745</v>
      </c>
      <c r="AW33" s="65">
        <f t="shared" si="102"/>
        <v>0.1313755795981453</v>
      </c>
      <c r="AX33" s="210">
        <f t="shared" si="102"/>
        <v>9.6511627906976746E-2</v>
      </c>
      <c r="AY33" s="210"/>
      <c r="AZ33" s="210">
        <f t="shared" si="102"/>
        <v>0.1001100110011001</v>
      </c>
      <c r="BA33" s="210">
        <f t="shared" si="102"/>
        <v>0.10187353629976581</v>
      </c>
      <c r="BB33" s="210">
        <f t="shared" si="102"/>
        <v>9.7773475314617636E-2</v>
      </c>
      <c r="BC33" s="210">
        <f t="shared" si="102"/>
        <v>9.7326203208556145E-2</v>
      </c>
      <c r="BD33" s="210">
        <f t="shared" si="102"/>
        <v>9.6436058700209645E-2</v>
      </c>
      <c r="BE33" s="210">
        <f t="shared" si="102"/>
        <v>9.8650051921079965E-2</v>
      </c>
      <c r="BF33" s="210">
        <f t="shared" si="102"/>
        <v>0.10204081632653061</v>
      </c>
      <c r="BG33" s="76"/>
      <c r="BH33" s="76"/>
      <c r="BI33" s="76"/>
      <c r="BJ33" s="76">
        <f>BJ29/BJ7</f>
        <v>9.3142272262026607E-2</v>
      </c>
      <c r="BK33" s="76">
        <f>BK29/BK7</f>
        <v>8.6693548387096767E-2</v>
      </c>
      <c r="BL33" s="76"/>
      <c r="BM33" s="76">
        <f t="shared" ref="BM33:BS33" si="103">BM29/BM7</f>
        <v>9.5092024539877307E-2</v>
      </c>
      <c r="BN33" s="76">
        <f t="shared" si="103"/>
        <v>0.10822998872604284</v>
      </c>
      <c r="BO33" s="76">
        <f t="shared" si="103"/>
        <v>9.79765708200213E-2</v>
      </c>
      <c r="BP33" s="76">
        <f t="shared" si="103"/>
        <v>8.82051282051282E-2</v>
      </c>
      <c r="BQ33" s="76">
        <f t="shared" si="103"/>
        <v>9.0471607314725699E-2</v>
      </c>
      <c r="BR33" s="76">
        <f t="shared" si="103"/>
        <v>9.4897959183673469E-2</v>
      </c>
      <c r="BS33" s="211">
        <f t="shared" si="103"/>
        <v>8.5066162570888476E-2</v>
      </c>
      <c r="BT33" s="211"/>
      <c r="BU33" s="211">
        <f>BU29/BU7</f>
        <v>9.4736842105263161E-2</v>
      </c>
      <c r="BV33" s="211"/>
      <c r="BW33" s="211"/>
      <c r="BX33" s="211">
        <f t="shared" ref="BX33:CM33" si="104">BX29/BX7</f>
        <v>0.10465116279069767</v>
      </c>
      <c r="BY33" s="211">
        <f t="shared" si="104"/>
        <v>0.11688311688311688</v>
      </c>
      <c r="BZ33" s="211">
        <f t="shared" si="104"/>
        <v>0.13043478260869565</v>
      </c>
      <c r="CA33" s="211">
        <f t="shared" si="104"/>
        <v>0.10526315789473684</v>
      </c>
      <c r="CB33" s="211">
        <f t="shared" si="104"/>
        <v>9.1743119266055051E-2</v>
      </c>
      <c r="CC33" s="212">
        <f t="shared" si="104"/>
        <v>0.10886075949367087</v>
      </c>
      <c r="CD33" s="212">
        <f t="shared" si="104"/>
        <v>0.10344827586206896</v>
      </c>
      <c r="CE33" s="212"/>
      <c r="CF33" s="212">
        <f t="shared" si="104"/>
        <v>8.6206896551724144E-2</v>
      </c>
      <c r="CG33" s="212">
        <f t="shared" si="104"/>
        <v>9.9009900990099015E-2</v>
      </c>
      <c r="CH33" s="212">
        <f t="shared" si="104"/>
        <v>0.10101010101010102</v>
      </c>
      <c r="CI33" s="212">
        <f t="shared" si="104"/>
        <v>9.0909090909090912E-2</v>
      </c>
      <c r="CJ33" s="212">
        <f t="shared" si="104"/>
        <v>9.7087378640776698E-2</v>
      </c>
      <c r="CK33" s="212">
        <f t="shared" si="104"/>
        <v>0.1</v>
      </c>
      <c r="CL33" s="212">
        <f t="shared" si="104"/>
        <v>0.1</v>
      </c>
      <c r="CM33" s="94">
        <f t="shared" si="104"/>
        <v>0.12247191011235954</v>
      </c>
      <c r="CN33" s="94"/>
      <c r="CO33" s="94">
        <f t="shared" ref="CO33:DI33" si="105">CO29/CO7</f>
        <v>0.10938924339106654</v>
      </c>
      <c r="CP33" s="94">
        <f t="shared" si="105"/>
        <v>0.11368421052631579</v>
      </c>
      <c r="CQ33" s="94">
        <f t="shared" si="105"/>
        <v>0.11396303901437373</v>
      </c>
      <c r="CR33" s="94">
        <f t="shared" si="105"/>
        <v>0.12446351931330472</v>
      </c>
      <c r="CS33" s="94">
        <f t="shared" si="105"/>
        <v>0.11534276387377583</v>
      </c>
      <c r="CT33" s="94">
        <f t="shared" si="105"/>
        <v>0.12643678160919541</v>
      </c>
      <c r="CU33" s="94">
        <f t="shared" si="105"/>
        <v>0.13186813186813187</v>
      </c>
      <c r="CV33" s="94">
        <f t="shared" si="105"/>
        <v>0.10101010101010102</v>
      </c>
      <c r="CW33" s="254">
        <f t="shared" si="105"/>
        <v>0.10112359550561797</v>
      </c>
      <c r="CX33" s="254">
        <f t="shared" si="105"/>
        <v>0.12702702702702703</v>
      </c>
      <c r="CY33" s="254">
        <f t="shared" si="105"/>
        <v>9.4918504314477486E-2</v>
      </c>
      <c r="CZ33" s="254">
        <f t="shared" si="105"/>
        <v>9.1451292246520877E-2</v>
      </c>
      <c r="DA33" s="254">
        <f t="shared" si="105"/>
        <v>0.10011641443538999</v>
      </c>
      <c r="DB33" s="254">
        <f t="shared" si="105"/>
        <v>9.5679012345679021E-2</v>
      </c>
      <c r="DC33" s="254">
        <f t="shared" si="105"/>
        <v>0.1061269146608315</v>
      </c>
      <c r="DD33" s="254">
        <f t="shared" si="105"/>
        <v>0.10227272727272727</v>
      </c>
      <c r="DE33" s="254">
        <f t="shared" si="105"/>
        <v>0.10112359550561797</v>
      </c>
      <c r="DF33" s="254">
        <f t="shared" si="105"/>
        <v>0.10465116279069767</v>
      </c>
      <c r="DG33" s="254">
        <f t="shared" si="105"/>
        <v>0.11904761904761905</v>
      </c>
      <c r="DH33" s="254">
        <f t="shared" si="105"/>
        <v>0.125</v>
      </c>
      <c r="DI33" s="254">
        <f t="shared" si="105"/>
        <v>0.10714285714285714</v>
      </c>
      <c r="DJ33" s="213"/>
      <c r="DK33" s="213"/>
      <c r="DL33" s="213">
        <f>DL29/DL7</f>
        <v>0.11052631578947368</v>
      </c>
      <c r="DM33" s="213"/>
      <c r="DN33" s="213"/>
      <c r="DO33" s="213">
        <f t="shared" ref="DO33:EH33" si="106">DO29/DO7</f>
        <v>9.9009900990099015E-2</v>
      </c>
      <c r="DP33" s="213">
        <f t="shared" si="106"/>
        <v>0.1111111111111111</v>
      </c>
      <c r="DQ33" s="213">
        <f t="shared" si="106"/>
        <v>8.2781456953642391E-2</v>
      </c>
      <c r="DR33" s="213">
        <f t="shared" si="106"/>
        <v>9.6993210475266739E-2</v>
      </c>
      <c r="DS33" s="213">
        <f t="shared" si="106"/>
        <v>8.5034013605442188E-2</v>
      </c>
      <c r="DT33" s="76">
        <f t="shared" si="106"/>
        <v>0.12195121951219512</v>
      </c>
      <c r="DU33" s="76">
        <f t="shared" si="106"/>
        <v>0.10861865407319952</v>
      </c>
      <c r="DV33" s="76">
        <f t="shared" si="106"/>
        <v>9.3500570125427604E-2</v>
      </c>
      <c r="DW33" s="76">
        <f t="shared" si="106"/>
        <v>0.11234567901234567</v>
      </c>
      <c r="DX33" s="76">
        <f t="shared" si="106"/>
        <v>0.107981220657277</v>
      </c>
      <c r="DY33" s="76">
        <f t="shared" si="106"/>
        <v>0.10281517747858018</v>
      </c>
      <c r="DZ33" s="76">
        <f t="shared" si="106"/>
        <v>0.10328068043742407</v>
      </c>
      <c r="EA33" s="76">
        <f t="shared" si="106"/>
        <v>0.10869565217391304</v>
      </c>
      <c r="EB33" s="76">
        <f t="shared" si="106"/>
        <v>0.11583011583011582</v>
      </c>
      <c r="EC33" s="76">
        <f t="shared" si="106"/>
        <v>0.11246612466124661</v>
      </c>
      <c r="ED33" s="76">
        <f t="shared" si="106"/>
        <v>0.11725067385444743</v>
      </c>
      <c r="EE33" s="214">
        <f t="shared" si="106"/>
        <v>0.11828935395814377</v>
      </c>
      <c r="EF33" s="214">
        <f t="shared" si="106"/>
        <v>0.12510936132983375</v>
      </c>
      <c r="EG33" s="214">
        <f t="shared" si="106"/>
        <v>0.13860369609856263</v>
      </c>
      <c r="EH33" s="214">
        <f t="shared" si="106"/>
        <v>0.11836379460400349</v>
      </c>
      <c r="EI33" s="214"/>
      <c r="EJ33" s="214">
        <f>EJ29/EJ7</f>
        <v>0.11704119850187265</v>
      </c>
      <c r="EK33" s="214"/>
      <c r="EL33" s="214">
        <f>EL29/EL7</f>
        <v>0.13432835820895525</v>
      </c>
      <c r="EM33" s="214">
        <f>EM29/EM7</f>
        <v>0.12893401015228426</v>
      </c>
      <c r="EN33" s="214">
        <f>EN29/EN7</f>
        <v>0.13592233009708737</v>
      </c>
      <c r="EO33" s="214">
        <f t="shared" ref="EO33:ER33" si="107">EO29/EO7</f>
        <v>0.13157894736842105</v>
      </c>
      <c r="EP33" s="214">
        <f t="shared" si="107"/>
        <v>0.13671444321940462</v>
      </c>
      <c r="EQ33" s="214">
        <f t="shared" si="107"/>
        <v>0.1327885597548519</v>
      </c>
      <c r="ER33" s="214">
        <f t="shared" si="107"/>
        <v>0.12693498452012383</v>
      </c>
      <c r="ES33" s="215"/>
      <c r="ET33" s="215"/>
      <c r="EU33" s="215">
        <f t="shared" ref="EU33:FF33" si="108">EU29/EU7</f>
        <v>0.10574712643678161</v>
      </c>
      <c r="EV33" s="215">
        <f t="shared" si="108"/>
        <v>0.11398354876615747</v>
      </c>
      <c r="EW33" s="215">
        <f t="shared" si="108"/>
        <v>0.10589519650655022</v>
      </c>
      <c r="EX33" s="215">
        <f t="shared" si="108"/>
        <v>0.11499999999999999</v>
      </c>
      <c r="EY33" s="215">
        <f t="shared" si="108"/>
        <v>0.11925465838509317</v>
      </c>
      <c r="EZ33" s="215">
        <f t="shared" si="108"/>
        <v>9.5193213949104627E-2</v>
      </c>
      <c r="FA33" s="215">
        <f t="shared" si="108"/>
        <v>9.0909090909090912E-2</v>
      </c>
      <c r="FB33" s="215">
        <f t="shared" si="108"/>
        <v>9.5487932843651632E-2</v>
      </c>
      <c r="FC33" s="215">
        <f t="shared" si="108"/>
        <v>0.10989010989010989</v>
      </c>
      <c r="FD33" s="215">
        <f t="shared" si="108"/>
        <v>0.12879708383961119</v>
      </c>
      <c r="FE33" s="215">
        <f t="shared" si="108"/>
        <v>0.11542991755005889</v>
      </c>
      <c r="FF33" s="215">
        <f t="shared" si="108"/>
        <v>0.1097424412094065</v>
      </c>
      <c r="FG33" s="216"/>
      <c r="FH33" s="216"/>
      <c r="FI33" s="216">
        <f t="shared" ref="FI33:GV33" si="109">FI29/FI7</f>
        <v>0.10526315789473684</v>
      </c>
      <c r="FJ33" s="216"/>
      <c r="FK33" s="216"/>
      <c r="FL33" s="216">
        <f t="shared" si="109"/>
        <v>0.11396011396011398</v>
      </c>
      <c r="FM33" s="216">
        <f t="shared" si="109"/>
        <v>0.11111111111111112</v>
      </c>
      <c r="FN33" s="216"/>
      <c r="FO33" s="216">
        <f t="shared" si="109"/>
        <v>9.9999999999999992E-2</v>
      </c>
      <c r="FP33" s="216">
        <f t="shared" si="109"/>
        <v>0.11027568922305764</v>
      </c>
      <c r="FQ33" s="216"/>
      <c r="FR33" s="217">
        <f t="shared" ref="FR33:FX33" si="110">FR29/FR7</f>
        <v>9.3617021276595741E-2</v>
      </c>
      <c r="FS33" s="217">
        <f t="shared" si="110"/>
        <v>8.2631981637337412E-2</v>
      </c>
      <c r="FT33" s="217">
        <f t="shared" si="110"/>
        <v>9.3803786574870915E-2</v>
      </c>
      <c r="FU33" s="217">
        <f t="shared" si="110"/>
        <v>8.7188612099644125E-2</v>
      </c>
      <c r="FV33" s="217">
        <f t="shared" si="110"/>
        <v>9.5500459136822771E-2</v>
      </c>
      <c r="FW33" s="217">
        <f t="shared" si="110"/>
        <v>9.1637010676156566E-2</v>
      </c>
      <c r="FX33" s="217">
        <f t="shared" si="110"/>
        <v>8.9238845144356954E-2</v>
      </c>
      <c r="FY33" s="217"/>
      <c r="FZ33" s="217">
        <f>FZ29/FZ7</f>
        <v>7.6803723816912348E-2</v>
      </c>
      <c r="GA33" s="217">
        <f>GA29/GA7</f>
        <v>9.0677966101694915E-2</v>
      </c>
      <c r="GB33" s="217">
        <f t="shared" ref="GB33:GC33" si="111">GB29/GB7</f>
        <v>8.7999999999999995E-2</v>
      </c>
      <c r="GC33" s="217">
        <f t="shared" si="111"/>
        <v>9.9999999999999992E-2</v>
      </c>
      <c r="GD33" s="218"/>
      <c r="GE33" s="218"/>
      <c r="GF33" s="218"/>
      <c r="GG33" s="218">
        <f>GG29/GG7</f>
        <v>0.11439114391143912</v>
      </c>
      <c r="GH33" s="218">
        <f>GH29/GH7</f>
        <v>0.11225806451612902</v>
      </c>
      <c r="GI33" s="218">
        <f>GI29/GI7</f>
        <v>0.11498708010335916</v>
      </c>
      <c r="GJ33" s="218">
        <f>GJ29/GJ7</f>
        <v>0.10751445086705202</v>
      </c>
      <c r="GK33" s="218">
        <f t="shared" ref="GK33:GM33" si="112">GK29/GK7</f>
        <v>0.11392405063291139</v>
      </c>
      <c r="GL33" s="218"/>
      <c r="GM33" s="218">
        <f t="shared" si="112"/>
        <v>0.11249999999999999</v>
      </c>
      <c r="GN33" s="218"/>
      <c r="GO33" s="218">
        <f t="shared" ref="GO33:GS33" si="113">GO29/GO7</f>
        <v>0.12676056338028169</v>
      </c>
      <c r="GP33" s="218">
        <f t="shared" si="113"/>
        <v>0.11392405063291139</v>
      </c>
      <c r="GQ33" s="218">
        <f t="shared" si="113"/>
        <v>0.11392405063291139</v>
      </c>
      <c r="GR33" s="218">
        <f t="shared" si="113"/>
        <v>0.12328767123287671</v>
      </c>
      <c r="GS33" s="218">
        <f t="shared" si="113"/>
        <v>0.11111111111111112</v>
      </c>
      <c r="GT33" s="94">
        <f t="shared" si="109"/>
        <v>0.12147239263803683</v>
      </c>
      <c r="GU33" s="94">
        <f t="shared" si="109"/>
        <v>0.12344139650872818</v>
      </c>
      <c r="GV33" s="94">
        <f t="shared" si="109"/>
        <v>0.12642225031605564</v>
      </c>
      <c r="GW33" s="94"/>
      <c r="GX33" s="94"/>
      <c r="GY33" s="94"/>
      <c r="GZ33" s="94">
        <f t="shared" ref="GZ33:HF33" si="114">GZ29/GZ7</f>
        <v>0.10886644219977554</v>
      </c>
      <c r="HA33" s="94">
        <f t="shared" si="114"/>
        <v>0.10554371002132197</v>
      </c>
      <c r="HB33" s="94">
        <f t="shared" si="114"/>
        <v>0.10248112189859762</v>
      </c>
      <c r="HC33" s="94">
        <f t="shared" si="114"/>
        <v>0.10951760104302477</v>
      </c>
      <c r="HD33" s="94">
        <f t="shared" si="114"/>
        <v>0.11611374407582939</v>
      </c>
      <c r="HE33" s="94">
        <f t="shared" si="114"/>
        <v>0.10802469135802469</v>
      </c>
      <c r="HF33" s="94">
        <f t="shared" si="114"/>
        <v>9.2550790067720087E-2</v>
      </c>
      <c r="HG33" s="18"/>
      <c r="HH33" s="18"/>
    </row>
    <row r="34" spans="1:216" customFormat="1" x14ac:dyDescent="0.25">
      <c r="A34" t="s">
        <v>34</v>
      </c>
      <c r="B34" s="48">
        <f>B29/B11</f>
        <v>0.69230769230769229</v>
      </c>
      <c r="C34" s="48"/>
      <c r="D34" s="48">
        <f>D29/D11</f>
        <v>0.79032258064516137</v>
      </c>
      <c r="E34" s="48">
        <f>E29/E11</f>
        <v>0.70138888888888895</v>
      </c>
      <c r="F34" s="48">
        <f>F29/F11</f>
        <v>0.75362318840579701</v>
      </c>
      <c r="G34" s="48"/>
      <c r="H34" s="48">
        <f t="shared" ref="H34:M34" si="115">H29/H11</f>
        <v>0.67716535433070857</v>
      </c>
      <c r="I34" s="48">
        <f t="shared" si="115"/>
        <v>0.7734375</v>
      </c>
      <c r="J34" s="48">
        <f t="shared" si="115"/>
        <v>0.7265625</v>
      </c>
      <c r="K34" s="48">
        <f t="shared" si="115"/>
        <v>0.62580645161290327</v>
      </c>
      <c r="L34" s="48">
        <f t="shared" si="115"/>
        <v>0.70270270270270274</v>
      </c>
      <c r="M34" s="48">
        <f t="shared" si="115"/>
        <v>0.75886524822695045</v>
      </c>
      <c r="N34" s="48"/>
      <c r="O34" s="48">
        <f>O29/O11</f>
        <v>0.73553719008264462</v>
      </c>
      <c r="P34" s="48"/>
      <c r="Q34" s="48">
        <f>Q29/Q11</f>
        <v>0.76470588235294124</v>
      </c>
      <c r="R34" s="208">
        <f>R29/R11</f>
        <v>0.66</v>
      </c>
      <c r="S34" s="208">
        <f>S29/S11</f>
        <v>0.57225433526011571</v>
      </c>
      <c r="T34" s="208"/>
      <c r="U34" s="208"/>
      <c r="V34" s="208"/>
      <c r="W34" s="208"/>
      <c r="X34" s="208"/>
      <c r="Y34" s="208">
        <f t="shared" ref="Y34:AL34" si="116">Y29/Y11</f>
        <v>0.6</v>
      </c>
      <c r="Z34" s="208">
        <f t="shared" si="116"/>
        <v>0.6</v>
      </c>
      <c r="AA34" s="208">
        <f t="shared" si="116"/>
        <v>0.69230769230769229</v>
      </c>
      <c r="AB34" s="208">
        <f t="shared" si="116"/>
        <v>0.64285714285714279</v>
      </c>
      <c r="AC34" s="208"/>
      <c r="AD34" s="208">
        <f t="shared" ref="AD34" si="117">AD29/AD11</f>
        <v>0.6</v>
      </c>
      <c r="AE34" s="208"/>
      <c r="AF34" s="208">
        <f t="shared" ref="AF34" si="118">AF29/AF11</f>
        <v>0.61538461538461542</v>
      </c>
      <c r="AG34" s="209">
        <f t="shared" si="116"/>
        <v>0.81666666666666676</v>
      </c>
      <c r="AH34" s="209">
        <f t="shared" si="116"/>
        <v>0.70769230769230762</v>
      </c>
      <c r="AI34" s="209">
        <f t="shared" si="116"/>
        <v>0.77876106194690253</v>
      </c>
      <c r="AJ34" s="209">
        <f t="shared" si="116"/>
        <v>0.73983739837398377</v>
      </c>
      <c r="AK34" s="209">
        <f t="shared" si="116"/>
        <v>0.69285714285714284</v>
      </c>
      <c r="AL34" s="209">
        <f t="shared" si="116"/>
        <v>0.69924812030075179</v>
      </c>
      <c r="AM34" s="209"/>
      <c r="AN34" s="209"/>
      <c r="AO34" s="65">
        <f t="shared" ref="AO34:BF34" si="119">AO29/AO11</f>
        <v>0.96153846153846145</v>
      </c>
      <c r="AP34" s="65">
        <f t="shared" si="119"/>
        <v>0.82954545454545459</v>
      </c>
      <c r="AQ34" s="65">
        <f t="shared" si="119"/>
        <v>0.65573770491803285</v>
      </c>
      <c r="AR34" s="65">
        <f t="shared" si="119"/>
        <v>0.66417910447761186</v>
      </c>
      <c r="AS34" s="65">
        <f t="shared" si="119"/>
        <v>0.66666666666666674</v>
      </c>
      <c r="AT34" s="65">
        <f t="shared" si="119"/>
        <v>0.63703703703703696</v>
      </c>
      <c r="AU34" s="65">
        <f t="shared" si="119"/>
        <v>0.63432835820895528</v>
      </c>
      <c r="AV34" s="65">
        <f t="shared" si="119"/>
        <v>0.62773722627737216</v>
      </c>
      <c r="AW34" s="65">
        <f t="shared" si="119"/>
        <v>0.62043795620437958</v>
      </c>
      <c r="AX34" s="210">
        <f t="shared" si="119"/>
        <v>0.63846153846153852</v>
      </c>
      <c r="AY34" s="210"/>
      <c r="AZ34" s="210">
        <f t="shared" si="119"/>
        <v>0.64539007092198586</v>
      </c>
      <c r="BA34" s="210">
        <f t="shared" si="119"/>
        <v>0.63043478260869557</v>
      </c>
      <c r="BB34" s="210">
        <f t="shared" si="119"/>
        <v>0.73722627737226276</v>
      </c>
      <c r="BC34" s="210">
        <f t="shared" si="119"/>
        <v>0.66911764705882348</v>
      </c>
      <c r="BD34" s="210">
        <f t="shared" si="119"/>
        <v>0.6174496644295302</v>
      </c>
      <c r="BE34" s="210">
        <f t="shared" si="119"/>
        <v>0.70895522388059695</v>
      </c>
      <c r="BF34" s="210">
        <f t="shared" si="119"/>
        <v>0.57575757575757569</v>
      </c>
      <c r="BG34" s="76"/>
      <c r="BH34" s="76"/>
      <c r="BI34" s="76"/>
      <c r="BJ34" s="76">
        <f>BJ29/BJ11</f>
        <v>0.61073825503355705</v>
      </c>
      <c r="BK34" s="76">
        <f>BK29/BK11</f>
        <v>0.60563380281690138</v>
      </c>
      <c r="BL34" s="76"/>
      <c r="BM34" s="76">
        <f t="shared" ref="BM34:BS34" si="120">BM29/BM11</f>
        <v>0.63265306122448983</v>
      </c>
      <c r="BN34" s="76">
        <f t="shared" si="120"/>
        <v>0.65753424657534254</v>
      </c>
      <c r="BO34" s="76">
        <f t="shared" si="120"/>
        <v>0.68656716417910446</v>
      </c>
      <c r="BP34" s="76">
        <f t="shared" si="120"/>
        <v>0.56209150326797386</v>
      </c>
      <c r="BQ34" s="76">
        <f t="shared" si="120"/>
        <v>0.58750000000000002</v>
      </c>
      <c r="BR34" s="76">
        <f t="shared" si="120"/>
        <v>0.58124999999999993</v>
      </c>
      <c r="BS34" s="211">
        <f t="shared" si="120"/>
        <v>0.61643835616438358</v>
      </c>
      <c r="BT34" s="211"/>
      <c r="BU34" s="211">
        <f>BU29/BU11</f>
        <v>0.69230769230769229</v>
      </c>
      <c r="BV34" s="211"/>
      <c r="BW34" s="211"/>
      <c r="BX34" s="211">
        <f t="shared" ref="BX34:CM34" si="121">BX29/BX11</f>
        <v>0.81818181818181812</v>
      </c>
      <c r="BY34" s="211">
        <f t="shared" si="121"/>
        <v>0.81818181818181812</v>
      </c>
      <c r="BZ34" s="211">
        <f t="shared" si="121"/>
        <v>0.89999999999999991</v>
      </c>
      <c r="CA34" s="211">
        <f t="shared" si="121"/>
        <v>0.66666666666666674</v>
      </c>
      <c r="CB34" s="211">
        <f t="shared" si="121"/>
        <v>0.69930069930069938</v>
      </c>
      <c r="CC34" s="212">
        <f t="shared" si="121"/>
        <v>0.57333333333333336</v>
      </c>
      <c r="CD34" s="212">
        <f t="shared" si="121"/>
        <v>0.6</v>
      </c>
      <c r="CE34" s="212"/>
      <c r="CF34" s="212">
        <f t="shared" si="121"/>
        <v>0.66666666666666674</v>
      </c>
      <c r="CG34" s="212">
        <f t="shared" si="121"/>
        <v>0.66666666666666674</v>
      </c>
      <c r="CH34" s="212">
        <f t="shared" si="121"/>
        <v>0.66666666666666674</v>
      </c>
      <c r="CI34" s="212">
        <f t="shared" si="121"/>
        <v>0.58823529411764708</v>
      </c>
      <c r="CJ34" s="212">
        <f t="shared" si="121"/>
        <v>0.66666666666666674</v>
      </c>
      <c r="CK34" s="212">
        <f t="shared" si="121"/>
        <v>0.7142857142857143</v>
      </c>
      <c r="CL34" s="212">
        <f t="shared" si="121"/>
        <v>0.66666666666666674</v>
      </c>
      <c r="CM34" s="94">
        <f t="shared" si="121"/>
        <v>0.72666666666666668</v>
      </c>
      <c r="CN34" s="94"/>
      <c r="CO34" s="94">
        <f t="shared" ref="CO34:DI34" si="122">CO29/CO11</f>
        <v>0.8</v>
      </c>
      <c r="CP34" s="94">
        <f t="shared" si="122"/>
        <v>0.72</v>
      </c>
      <c r="CQ34" s="94">
        <f t="shared" si="122"/>
        <v>0.74</v>
      </c>
      <c r="CR34" s="94">
        <f t="shared" si="122"/>
        <v>0.74358974358974361</v>
      </c>
      <c r="CS34" s="94">
        <f t="shared" si="122"/>
        <v>0.76811594202898548</v>
      </c>
      <c r="CT34" s="94">
        <f t="shared" si="122"/>
        <v>0.73333333333333339</v>
      </c>
      <c r="CU34" s="94">
        <f t="shared" si="122"/>
        <v>0.85714285714285698</v>
      </c>
      <c r="CV34" s="94">
        <f t="shared" si="122"/>
        <v>0.7142857142857143</v>
      </c>
      <c r="CW34" s="254">
        <f t="shared" si="122"/>
        <v>0.76923076923076916</v>
      </c>
      <c r="CX34" s="254">
        <f t="shared" si="122"/>
        <v>0.8867924528301887</v>
      </c>
      <c r="CY34" s="254">
        <f t="shared" si="122"/>
        <v>0.77952755905511817</v>
      </c>
      <c r="CZ34" s="254">
        <f t="shared" si="122"/>
        <v>0.67647058823529405</v>
      </c>
      <c r="DA34" s="254">
        <f t="shared" si="122"/>
        <v>0.64661654135338342</v>
      </c>
      <c r="DB34" s="254">
        <f t="shared" si="122"/>
        <v>0.65492957746478875</v>
      </c>
      <c r="DC34" s="254">
        <f t="shared" si="122"/>
        <v>0.7578125</v>
      </c>
      <c r="DD34" s="254">
        <f t="shared" si="122"/>
        <v>0.69230769230769229</v>
      </c>
      <c r="DE34" s="254">
        <f t="shared" si="122"/>
        <v>0.81818181818181812</v>
      </c>
      <c r="DF34" s="254">
        <f t="shared" si="122"/>
        <v>0.81818181818181812</v>
      </c>
      <c r="DG34" s="254">
        <f t="shared" si="122"/>
        <v>0.83333333333333337</v>
      </c>
      <c r="DH34" s="254">
        <f t="shared" si="122"/>
        <v>0.90909090909090917</v>
      </c>
      <c r="DI34" s="254">
        <f t="shared" si="122"/>
        <v>0.75</v>
      </c>
      <c r="DJ34" s="213"/>
      <c r="DK34" s="213"/>
      <c r="DL34" s="213">
        <f>DL29/DL11</f>
        <v>0.74999999999999989</v>
      </c>
      <c r="DM34" s="213"/>
      <c r="DN34" s="213"/>
      <c r="DO34" s="213">
        <f t="shared" ref="DO34:EH34" si="123">DO29/DO11</f>
        <v>0.76923076923076927</v>
      </c>
      <c r="DP34" s="213">
        <f t="shared" si="123"/>
        <v>0.75</v>
      </c>
      <c r="DQ34" s="213">
        <f t="shared" si="123"/>
        <v>0.66666666666666674</v>
      </c>
      <c r="DR34" s="213">
        <f t="shared" si="123"/>
        <v>0.66666666666666674</v>
      </c>
      <c r="DS34" s="213">
        <f t="shared" si="123"/>
        <v>0.7142857142857143</v>
      </c>
      <c r="DT34" s="76">
        <f t="shared" si="123"/>
        <v>0.76923076923076916</v>
      </c>
      <c r="DU34" s="76">
        <f t="shared" si="123"/>
        <v>0.67647058823529405</v>
      </c>
      <c r="DV34" s="76">
        <f t="shared" si="123"/>
        <v>0.7192982456140351</v>
      </c>
      <c r="DW34" s="76">
        <f t="shared" si="123"/>
        <v>0.77777777777777768</v>
      </c>
      <c r="DX34" s="76">
        <f t="shared" si="123"/>
        <v>0.83636363636363631</v>
      </c>
      <c r="DY34" s="76"/>
      <c r="DZ34" s="76">
        <f t="shared" si="123"/>
        <v>0.8173076923076924</v>
      </c>
      <c r="EA34" s="76"/>
      <c r="EB34" s="76"/>
      <c r="EC34" s="76">
        <f t="shared" si="123"/>
        <v>0.66935483870967749</v>
      </c>
      <c r="ED34" s="76">
        <f t="shared" si="123"/>
        <v>0.79090909090909089</v>
      </c>
      <c r="EE34" s="214">
        <f t="shared" si="123"/>
        <v>0.68421052631578949</v>
      </c>
      <c r="EF34" s="214">
        <f t="shared" si="123"/>
        <v>0.77297297297297296</v>
      </c>
      <c r="EG34" s="214">
        <f t="shared" si="123"/>
        <v>0.72580645161290325</v>
      </c>
      <c r="EH34" s="214">
        <f t="shared" si="123"/>
        <v>0.75555555555555565</v>
      </c>
      <c r="EI34" s="214"/>
      <c r="EJ34" s="214">
        <f>EJ29/EJ11</f>
        <v>0.81168831168831168</v>
      </c>
      <c r="EK34" s="214"/>
      <c r="EL34" s="214">
        <f>EL29/EL11</f>
        <v>0.89403973509933787</v>
      </c>
      <c r="EM34" s="214">
        <f>EM29/EM11</f>
        <v>0.82467532467532467</v>
      </c>
      <c r="EN34" s="214">
        <f>EN29/EN11</f>
        <v>0.95454545454545447</v>
      </c>
      <c r="EO34" s="214">
        <f t="shared" ref="EO34:ER34" si="124">EO29/EO11</f>
        <v>0.77639751552795033</v>
      </c>
      <c r="EP34" s="214">
        <f t="shared" si="124"/>
        <v>0.82666666666666666</v>
      </c>
      <c r="EQ34" s="214">
        <f t="shared" si="124"/>
        <v>0.76470588235294112</v>
      </c>
      <c r="ER34" s="214">
        <f t="shared" si="124"/>
        <v>0.64736842105263159</v>
      </c>
      <c r="ES34" s="215"/>
      <c r="ET34" s="215"/>
      <c r="EU34" s="215">
        <f t="shared" ref="EU34:FF34" si="125">EU29/EU11</f>
        <v>0.79310344827586199</v>
      </c>
      <c r="EV34" s="215">
        <f t="shared" si="125"/>
        <v>0.8584070796460177</v>
      </c>
      <c r="EW34" s="215">
        <f t="shared" si="125"/>
        <v>0.79508196721311475</v>
      </c>
      <c r="EX34" s="215">
        <f t="shared" si="125"/>
        <v>0.85981308411214952</v>
      </c>
      <c r="EY34" s="215">
        <f t="shared" si="125"/>
        <v>0.81355932203389836</v>
      </c>
      <c r="EZ34" s="215">
        <f t="shared" si="125"/>
        <v>0.77692307692307694</v>
      </c>
      <c r="FA34" s="215">
        <f t="shared" si="125"/>
        <v>0.75</v>
      </c>
      <c r="FB34" s="215">
        <f t="shared" si="125"/>
        <v>0.83486238532110091</v>
      </c>
      <c r="FC34" s="215">
        <f t="shared" si="125"/>
        <v>0.90909090909090917</v>
      </c>
      <c r="FD34" s="215">
        <f t="shared" si="125"/>
        <v>0.89830508474576276</v>
      </c>
      <c r="FE34" s="215">
        <f t="shared" si="125"/>
        <v>0.80327868852459017</v>
      </c>
      <c r="FF34" s="215">
        <f t="shared" si="125"/>
        <v>0.765625</v>
      </c>
      <c r="FG34" s="216"/>
      <c r="FH34" s="216"/>
      <c r="FI34" s="216">
        <f t="shared" ref="FI34:GV34" si="126">FI29/FI11</f>
        <v>0.59259259259259256</v>
      </c>
      <c r="FJ34" s="216"/>
      <c r="FK34" s="216"/>
      <c r="FL34" s="216">
        <f t="shared" si="126"/>
        <v>0.61538461538461542</v>
      </c>
      <c r="FM34" s="216">
        <f t="shared" si="126"/>
        <v>0.66666666666666674</v>
      </c>
      <c r="FN34" s="216"/>
      <c r="FO34" s="216">
        <f t="shared" si="126"/>
        <v>0.60447761194029848</v>
      </c>
      <c r="FP34" s="216">
        <f t="shared" si="126"/>
        <v>0.65185185185185179</v>
      </c>
      <c r="FQ34" s="216"/>
      <c r="FR34" s="217">
        <f t="shared" ref="FR34:FX34" si="127">FR29/FR11</f>
        <v>0.72368421052631582</v>
      </c>
      <c r="FS34" s="217">
        <f t="shared" si="127"/>
        <v>0.61714285714285722</v>
      </c>
      <c r="FT34" s="217">
        <f t="shared" si="127"/>
        <v>0.72666666666666668</v>
      </c>
      <c r="FU34" s="217">
        <f t="shared" si="127"/>
        <v>0.66216216216216217</v>
      </c>
      <c r="FV34" s="217">
        <f t="shared" si="127"/>
        <v>0.64596273291925466</v>
      </c>
      <c r="FW34" s="217">
        <f t="shared" si="127"/>
        <v>0.7862595419847328</v>
      </c>
      <c r="FX34" s="217">
        <f t="shared" si="127"/>
        <v>0.66233766233766234</v>
      </c>
      <c r="FY34" s="217"/>
      <c r="FZ34" s="217">
        <f>FZ29/FZ11</f>
        <v>0.63057324840764339</v>
      </c>
      <c r="GA34" s="217">
        <f>GA29/GA11</f>
        <v>0.79850746268656714</v>
      </c>
      <c r="GB34" s="217">
        <f t="shared" ref="GB34:GC34" si="128">GB29/GB11</f>
        <v>0.73333333333333339</v>
      </c>
      <c r="GC34" s="217">
        <f t="shared" si="128"/>
        <v>0.73333333333333339</v>
      </c>
      <c r="GD34" s="218"/>
      <c r="GE34" s="218"/>
      <c r="GF34" s="218"/>
      <c r="GG34" s="218">
        <f>GG29/GG11</f>
        <v>0.75609756097560976</v>
      </c>
      <c r="GH34" s="218">
        <f>GH29/GH11</f>
        <v>0.66923076923076918</v>
      </c>
      <c r="GI34" s="218">
        <f>GI29/GI11</f>
        <v>0.85576923076923073</v>
      </c>
      <c r="GJ34" s="218">
        <f>GJ29/GJ11</f>
        <v>0.76229508196721307</v>
      </c>
      <c r="GK34" s="218">
        <f t="shared" ref="GK34:GM34" si="129">GK29/GK11</f>
        <v>0.75</v>
      </c>
      <c r="GL34" s="218"/>
      <c r="GM34" s="218">
        <f t="shared" si="129"/>
        <v>0.75</v>
      </c>
      <c r="GN34" s="218"/>
      <c r="GO34" s="218">
        <f t="shared" ref="GO34:GS34" si="130">GO29/GO11</f>
        <v>0.81818181818181812</v>
      </c>
      <c r="GP34" s="218">
        <f t="shared" si="130"/>
        <v>0.75</v>
      </c>
      <c r="GQ34" s="218">
        <f t="shared" si="130"/>
        <v>0.89999999999999991</v>
      </c>
      <c r="GR34" s="218">
        <f t="shared" si="130"/>
        <v>0.75</v>
      </c>
      <c r="GS34" s="218">
        <f t="shared" si="130"/>
        <v>0.79999999999999993</v>
      </c>
      <c r="GT34" s="94">
        <f t="shared" si="126"/>
        <v>0.6</v>
      </c>
      <c r="GU34" s="94">
        <f t="shared" si="126"/>
        <v>0.57558139534883723</v>
      </c>
      <c r="GV34" s="94">
        <f t="shared" si="126"/>
        <v>0.65789473684210531</v>
      </c>
      <c r="GW34" s="94"/>
      <c r="GX34" s="94"/>
      <c r="GY34" s="94"/>
      <c r="GZ34" s="94">
        <f t="shared" ref="GZ34:HF34" si="131">GZ29/GZ11</f>
        <v>0.64666666666666672</v>
      </c>
      <c r="HA34" s="94">
        <f t="shared" si="131"/>
        <v>0.6428571428571429</v>
      </c>
      <c r="HB34" s="94">
        <f t="shared" si="131"/>
        <v>0.58282208588957052</v>
      </c>
      <c r="HC34" s="94">
        <f t="shared" si="131"/>
        <v>0.62222222222222223</v>
      </c>
      <c r="HD34" s="94">
        <f t="shared" si="131"/>
        <v>0.65771812080536918</v>
      </c>
      <c r="HE34" s="94">
        <f t="shared" si="131"/>
        <v>0.61764705882352933</v>
      </c>
      <c r="HF34" s="94">
        <f t="shared" si="131"/>
        <v>0.48809523809523808</v>
      </c>
      <c r="HG34" s="18"/>
      <c r="HH34" s="18"/>
    </row>
    <row r="35" spans="1:216" customFormat="1" x14ac:dyDescent="0.25">
      <c r="A35" t="s">
        <v>361</v>
      </c>
      <c r="B35" s="48">
        <f>B29/B36</f>
        <v>0.34883720930232553</v>
      </c>
      <c r="C35" s="48"/>
      <c r="D35" s="48">
        <f t="shared" ref="D35:S35" si="132">D29/D36</f>
        <v>0.34146341463414637</v>
      </c>
      <c r="E35" s="48">
        <f t="shared" si="132"/>
        <v>0.41393442622950821</v>
      </c>
      <c r="F35" s="48">
        <f t="shared" si="132"/>
        <v>0.39393939393939392</v>
      </c>
      <c r="G35" s="48"/>
      <c r="H35" s="48">
        <f t="shared" si="132"/>
        <v>0.39631336405529949</v>
      </c>
      <c r="I35" s="48">
        <f t="shared" si="132"/>
        <v>0.47142857142857147</v>
      </c>
      <c r="J35" s="48">
        <f t="shared" si="132"/>
        <v>0.41150442477876104</v>
      </c>
      <c r="K35" s="48">
        <f t="shared" si="132"/>
        <v>0.28955223880597014</v>
      </c>
      <c r="L35" s="48">
        <f t="shared" si="132"/>
        <v>0.32704402515723269</v>
      </c>
      <c r="M35" s="48">
        <f t="shared" si="132"/>
        <v>0.40377358490566034</v>
      </c>
      <c r="N35" s="48"/>
      <c r="O35" s="48">
        <f t="shared" si="132"/>
        <v>0.44949494949494945</v>
      </c>
      <c r="P35" s="48"/>
      <c r="Q35" s="48">
        <f t="shared" si="132"/>
        <v>0.52298850574712641</v>
      </c>
      <c r="R35" s="208">
        <f t="shared" si="132"/>
        <v>0.42672413793103448</v>
      </c>
      <c r="S35" s="208">
        <f t="shared" si="132"/>
        <v>0.47826086956521746</v>
      </c>
      <c r="T35" s="208"/>
      <c r="U35" s="208"/>
      <c r="V35" s="208"/>
      <c r="W35" s="208"/>
      <c r="X35" s="208"/>
      <c r="Y35" s="208">
        <f t="shared" ref="Y35:CT35" si="133">Y29/Y36</f>
        <v>0.375</v>
      </c>
      <c r="Z35" s="208">
        <f t="shared" si="133"/>
        <v>0.40909090909090906</v>
      </c>
      <c r="AA35" s="208">
        <f t="shared" si="133"/>
        <v>0.52941176470588225</v>
      </c>
      <c r="AB35" s="208">
        <f t="shared" si="133"/>
        <v>0.5625</v>
      </c>
      <c r="AC35" s="208">
        <f t="shared" si="133"/>
        <v>0.61068702290076338</v>
      </c>
      <c r="AD35" s="208">
        <f t="shared" si="133"/>
        <v>0.49450549450549453</v>
      </c>
      <c r="AE35" s="208">
        <f t="shared" si="133"/>
        <v>0.46391752577319584</v>
      </c>
      <c r="AF35" s="208">
        <f t="shared" si="133"/>
        <v>0.47058823529411764</v>
      </c>
      <c r="AG35" s="209">
        <f t="shared" si="133"/>
        <v>0.51578947368421058</v>
      </c>
      <c r="AH35" s="209">
        <f t="shared" si="133"/>
        <v>0.51111111111111107</v>
      </c>
      <c r="AI35" s="209">
        <f t="shared" si="133"/>
        <v>0.64233576642335755</v>
      </c>
      <c r="AJ35" s="209">
        <f t="shared" si="133"/>
        <v>0.63194444444444442</v>
      </c>
      <c r="AK35" s="209">
        <f t="shared" si="133"/>
        <v>0.54802259887005655</v>
      </c>
      <c r="AL35" s="209">
        <f t="shared" si="133"/>
        <v>0.5502958579881656</v>
      </c>
      <c r="AM35" s="209"/>
      <c r="AN35" s="209"/>
      <c r="AO35" s="65">
        <f t="shared" si="133"/>
        <v>0.5357142857142857</v>
      </c>
      <c r="AP35" s="65">
        <f t="shared" si="133"/>
        <v>0.41714285714285715</v>
      </c>
      <c r="AQ35" s="65">
        <f t="shared" si="133"/>
        <v>0.35087719298245612</v>
      </c>
      <c r="AR35" s="65">
        <f t="shared" si="133"/>
        <v>0.39207048458149779</v>
      </c>
      <c r="AS35" s="65">
        <f t="shared" si="133"/>
        <v>0.35294117647058826</v>
      </c>
      <c r="AT35" s="65">
        <f t="shared" si="133"/>
        <v>0.35983263598326359</v>
      </c>
      <c r="AU35" s="65">
        <f t="shared" si="133"/>
        <v>0.367965367965368</v>
      </c>
      <c r="AV35" s="65">
        <f t="shared" si="133"/>
        <v>0.3690987124463519</v>
      </c>
      <c r="AW35" s="65">
        <f t="shared" si="133"/>
        <v>0.44270833333333337</v>
      </c>
      <c r="AX35" s="210">
        <f t="shared" si="133"/>
        <v>0.42783505154639179</v>
      </c>
      <c r="AY35" s="210"/>
      <c r="AZ35" s="210">
        <f t="shared" si="133"/>
        <v>0.489247311827957</v>
      </c>
      <c r="BA35" s="210">
        <f t="shared" si="133"/>
        <v>0.42028985507246375</v>
      </c>
      <c r="BB35" s="210">
        <f t="shared" si="133"/>
        <v>0.41056910569105692</v>
      </c>
      <c r="BC35" s="210">
        <f t="shared" si="133"/>
        <v>0.36693548387096775</v>
      </c>
      <c r="BD35" s="210">
        <f t="shared" si="133"/>
        <v>0.36653386454183268</v>
      </c>
      <c r="BE35" s="210">
        <f t="shared" si="133"/>
        <v>0.34172661870503596</v>
      </c>
      <c r="BF35" s="210">
        <f t="shared" si="133"/>
        <v>0.43181818181818182</v>
      </c>
      <c r="BG35" s="76"/>
      <c r="BH35" s="76"/>
      <c r="BI35" s="76"/>
      <c r="BJ35" s="76">
        <f t="shared" si="133"/>
        <v>0.45049504950495045</v>
      </c>
      <c r="BK35" s="76">
        <f t="shared" si="133"/>
        <v>0.38565022421524658</v>
      </c>
      <c r="BL35" s="76"/>
      <c r="BM35" s="76">
        <f t="shared" si="133"/>
        <v>0.43457943925233644</v>
      </c>
      <c r="BN35" s="76">
        <f t="shared" si="133"/>
        <v>0.61935483870967745</v>
      </c>
      <c r="BO35" s="76">
        <f t="shared" si="133"/>
        <v>0.55089820359281438</v>
      </c>
      <c r="BP35" s="76">
        <f t="shared" si="133"/>
        <v>0.42364532019704426</v>
      </c>
      <c r="BQ35" s="76">
        <f t="shared" si="133"/>
        <v>0.5053763440860215</v>
      </c>
      <c r="BR35" s="76">
        <f t="shared" si="133"/>
        <v>0.48186528497409326</v>
      </c>
      <c r="BS35" s="211">
        <f t="shared" si="133"/>
        <v>0.36290322580645162</v>
      </c>
      <c r="BT35" s="211"/>
      <c r="BU35" s="211">
        <f t="shared" si="133"/>
        <v>0.34351145038167935</v>
      </c>
      <c r="BV35" s="211"/>
      <c r="BW35" s="211"/>
      <c r="BX35" s="211">
        <f t="shared" si="133"/>
        <v>0.5</v>
      </c>
      <c r="BY35" s="211">
        <f t="shared" si="133"/>
        <v>0.64285714285714279</v>
      </c>
      <c r="BZ35" s="211">
        <f t="shared" si="133"/>
        <v>0.5625</v>
      </c>
      <c r="CA35" s="211">
        <f t="shared" si="133"/>
        <v>0.5</v>
      </c>
      <c r="CB35" s="211">
        <f t="shared" si="133"/>
        <v>0.33670033670033672</v>
      </c>
      <c r="CC35" s="212">
        <f t="shared" si="133"/>
        <v>0.38914027149321262</v>
      </c>
      <c r="CD35" s="212">
        <f t="shared" si="133"/>
        <v>0.375</v>
      </c>
      <c r="CE35" s="212"/>
      <c r="CF35" s="212">
        <f t="shared" si="133"/>
        <v>0.30303030303030304</v>
      </c>
      <c r="CG35" s="212">
        <f t="shared" si="133"/>
        <v>0.34482758620689657</v>
      </c>
      <c r="CH35" s="212">
        <f t="shared" si="133"/>
        <v>0.34482758620689657</v>
      </c>
      <c r="CI35" s="212">
        <f t="shared" si="133"/>
        <v>0.29411764705882354</v>
      </c>
      <c r="CJ35" s="212">
        <f t="shared" si="133"/>
        <v>0.35714285714285715</v>
      </c>
      <c r="CK35" s="212">
        <f t="shared" si="133"/>
        <v>0.34482758620689657</v>
      </c>
      <c r="CL35" s="212">
        <f t="shared" si="133"/>
        <v>0.34482758620689657</v>
      </c>
      <c r="CM35" s="94">
        <f t="shared" si="133"/>
        <v>0.45416666666666666</v>
      </c>
      <c r="CN35" s="94"/>
      <c r="CO35" s="94">
        <f t="shared" si="133"/>
        <v>0.4</v>
      </c>
      <c r="CP35" s="94">
        <f t="shared" si="133"/>
        <v>0.4695652173913043</v>
      </c>
      <c r="CQ35" s="94">
        <f t="shared" si="133"/>
        <v>0.395017793594306</v>
      </c>
      <c r="CR35" s="94">
        <f t="shared" si="133"/>
        <v>0.45136186770428016</v>
      </c>
      <c r="CS35" s="94">
        <f t="shared" si="133"/>
        <v>0.43089430894308944</v>
      </c>
      <c r="CT35" s="94">
        <f t="shared" si="133"/>
        <v>0.45833333333333337</v>
      </c>
      <c r="CU35" s="94">
        <f t="shared" ref="CU35:DL35" si="134">CU29/CU36</f>
        <v>0.44444444444444442</v>
      </c>
      <c r="CV35" s="94">
        <f t="shared" si="134"/>
        <v>0.35714285714285715</v>
      </c>
      <c r="CW35" s="254">
        <f t="shared" si="134"/>
        <v>0.55900621118012417</v>
      </c>
      <c r="CX35" s="254">
        <f t="shared" si="134"/>
        <v>0.64827586206896559</v>
      </c>
      <c r="CY35" s="254">
        <f t="shared" si="134"/>
        <v>0.45833333333333337</v>
      </c>
      <c r="CZ35" s="254">
        <f t="shared" si="134"/>
        <v>0.47668393782383417</v>
      </c>
      <c r="DA35" s="254">
        <f t="shared" si="134"/>
        <v>0.51190476190476186</v>
      </c>
      <c r="DB35" s="254">
        <f t="shared" si="134"/>
        <v>0.54705882352941171</v>
      </c>
      <c r="DC35" s="254">
        <f t="shared" si="134"/>
        <v>0.53591160220994483</v>
      </c>
      <c r="DD35" s="254">
        <f t="shared" si="134"/>
        <v>0.5</v>
      </c>
      <c r="DE35" s="254">
        <f t="shared" si="134"/>
        <v>0.5625</v>
      </c>
      <c r="DF35" s="254">
        <f t="shared" si="134"/>
        <v>0.52941176470588225</v>
      </c>
      <c r="DG35" s="254">
        <f t="shared" si="134"/>
        <v>0.58823529411764708</v>
      </c>
      <c r="DH35" s="254">
        <f t="shared" si="134"/>
        <v>0.58823529411764708</v>
      </c>
      <c r="DI35" s="254">
        <f t="shared" si="134"/>
        <v>0.52941176470588225</v>
      </c>
      <c r="DJ35" s="213"/>
      <c r="DK35" s="213"/>
      <c r="DL35" s="213">
        <f t="shared" si="134"/>
        <v>0.37499999999999994</v>
      </c>
      <c r="DM35" s="213"/>
      <c r="DN35" s="213"/>
      <c r="DO35" s="213">
        <f t="shared" ref="DO35:GV35" si="135">DO29/DO36</f>
        <v>0.37037037037037035</v>
      </c>
      <c r="DP35" s="213">
        <f t="shared" si="135"/>
        <v>0.42857142857142855</v>
      </c>
      <c r="DQ35" s="213">
        <f t="shared" si="135"/>
        <v>0.42016806722689082</v>
      </c>
      <c r="DR35" s="213">
        <f t="shared" si="135"/>
        <v>0.36764705882352938</v>
      </c>
      <c r="DS35" s="213">
        <f t="shared" si="135"/>
        <v>0.42016806722689082</v>
      </c>
      <c r="DT35" s="76">
        <f t="shared" si="135"/>
        <v>0.56603773584905659</v>
      </c>
      <c r="DU35" s="76">
        <f t="shared" si="135"/>
        <v>0.44444444444444448</v>
      </c>
      <c r="DV35" s="76">
        <f t="shared" si="135"/>
        <v>0.44808743169398912</v>
      </c>
      <c r="DW35" s="76">
        <f t="shared" si="135"/>
        <v>0.46192893401015223</v>
      </c>
      <c r="DX35" s="76">
        <f t="shared" si="135"/>
        <v>0.45999999999999996</v>
      </c>
      <c r="DY35" s="76">
        <f t="shared" si="135"/>
        <v>0.56000000000000005</v>
      </c>
      <c r="DZ35" s="76">
        <f t="shared" si="135"/>
        <v>0.55921052631578949</v>
      </c>
      <c r="EA35" s="76">
        <f t="shared" si="135"/>
        <v>0.52941176470588225</v>
      </c>
      <c r="EB35" s="76">
        <f t="shared" si="135"/>
        <v>0.62068965517241381</v>
      </c>
      <c r="EC35" s="76">
        <f t="shared" si="135"/>
        <v>0.57638888888888895</v>
      </c>
      <c r="ED35" s="76">
        <f t="shared" si="135"/>
        <v>0.61267605633802813</v>
      </c>
      <c r="EE35" s="214">
        <f t="shared" si="135"/>
        <v>0.42345276872964172</v>
      </c>
      <c r="EF35" s="214">
        <f t="shared" si="135"/>
        <v>0.43333333333333329</v>
      </c>
      <c r="EG35" s="214">
        <f t="shared" si="135"/>
        <v>0.45150501672240806</v>
      </c>
      <c r="EH35" s="214">
        <f t="shared" si="135"/>
        <v>0.42500000000000004</v>
      </c>
      <c r="EI35" s="214"/>
      <c r="EJ35" s="214">
        <f t="shared" si="135"/>
        <v>0.46816479400749061</v>
      </c>
      <c r="EK35" s="214"/>
      <c r="EL35" s="214">
        <f t="shared" si="135"/>
        <v>0.57692307692307698</v>
      </c>
      <c r="EM35" s="214">
        <f t="shared" si="135"/>
        <v>0.55701754385964908</v>
      </c>
      <c r="EN35" s="214">
        <f t="shared" si="135"/>
        <v>0.57272727272727275</v>
      </c>
      <c r="EO35" s="214">
        <f t="shared" si="135"/>
        <v>0.52083333333333337</v>
      </c>
      <c r="EP35" s="214">
        <f t="shared" si="135"/>
        <v>0.5714285714285714</v>
      </c>
      <c r="EQ35" s="214">
        <f t="shared" si="135"/>
        <v>0.58823529411764708</v>
      </c>
      <c r="ER35" s="214">
        <f t="shared" si="135"/>
        <v>0.44086021505376338</v>
      </c>
      <c r="ES35" s="215"/>
      <c r="ET35" s="215"/>
      <c r="EU35" s="215">
        <f t="shared" si="135"/>
        <v>0.47916666666666663</v>
      </c>
      <c r="EV35" s="215">
        <f t="shared" si="135"/>
        <v>0.46634615384615385</v>
      </c>
      <c r="EW35" s="215">
        <f t="shared" si="135"/>
        <v>0.4731707317073171</v>
      </c>
      <c r="EX35" s="215">
        <f t="shared" si="135"/>
        <v>0.45771144278606962</v>
      </c>
      <c r="EY35" s="215">
        <f t="shared" si="135"/>
        <v>0.61538461538461542</v>
      </c>
      <c r="EZ35" s="215">
        <f t="shared" si="135"/>
        <v>0.36462093862815886</v>
      </c>
      <c r="FA35" s="215">
        <f t="shared" si="135"/>
        <v>0.37795275590551181</v>
      </c>
      <c r="FB35" s="215">
        <f t="shared" si="135"/>
        <v>0.38396624472573843</v>
      </c>
      <c r="FC35" s="215">
        <f t="shared" si="135"/>
        <v>0.5</v>
      </c>
      <c r="FD35" s="215">
        <f t="shared" si="135"/>
        <v>0.572972972972973</v>
      </c>
      <c r="FE35" s="215">
        <f t="shared" si="135"/>
        <v>0.46445497630331756</v>
      </c>
      <c r="FF35" s="215">
        <f t="shared" si="135"/>
        <v>0.5</v>
      </c>
      <c r="FG35" s="216"/>
      <c r="FH35" s="216"/>
      <c r="FI35" s="216">
        <f t="shared" si="135"/>
        <v>0.42105263157894735</v>
      </c>
      <c r="FJ35" s="216"/>
      <c r="FK35" s="216"/>
      <c r="FL35" s="216">
        <f t="shared" si="135"/>
        <v>0.44444444444444448</v>
      </c>
      <c r="FM35" s="216">
        <f t="shared" si="135"/>
        <v>0.48192771084337349</v>
      </c>
      <c r="FN35" s="216"/>
      <c r="FO35" s="216">
        <f t="shared" si="135"/>
        <v>0.45251396648044695</v>
      </c>
      <c r="FP35" s="216">
        <f t="shared" si="135"/>
        <v>0.45833333333333331</v>
      </c>
      <c r="FQ35" s="216"/>
      <c r="FR35" s="217">
        <f t="shared" ref="FR35:FX35" si="136">FR29/FR36</f>
        <v>0.36303630363036304</v>
      </c>
      <c r="FS35" s="217">
        <f t="shared" si="136"/>
        <v>0.27551020408163263</v>
      </c>
      <c r="FT35" s="217">
        <f t="shared" si="136"/>
        <v>0.28912466843501328</v>
      </c>
      <c r="FU35" s="217">
        <f t="shared" si="136"/>
        <v>0.40663900414937765</v>
      </c>
      <c r="FV35" s="217">
        <f t="shared" si="136"/>
        <v>0.36879432624113478</v>
      </c>
      <c r="FW35" s="217">
        <f t="shared" si="136"/>
        <v>0.38148148148148142</v>
      </c>
      <c r="FX35" s="217">
        <f t="shared" si="136"/>
        <v>0.30447761194029849</v>
      </c>
      <c r="FY35" s="217"/>
      <c r="FZ35" s="217">
        <f>FZ29/FZ36</f>
        <v>0.27123287671232876</v>
      </c>
      <c r="GA35" s="217">
        <f>GA29/GA36</f>
        <v>0.34967320261437906</v>
      </c>
      <c r="GB35" s="217">
        <f t="shared" ref="GB35:GC35" si="137">GB29/GB36</f>
        <v>0.28947368421052633</v>
      </c>
      <c r="GC35" s="217">
        <f t="shared" si="137"/>
        <v>0.40740740740740738</v>
      </c>
      <c r="GD35" s="218"/>
      <c r="GE35" s="218"/>
      <c r="GF35" s="218"/>
      <c r="GG35" s="218">
        <f>GG29/GG36</f>
        <v>0.53448275862068972</v>
      </c>
      <c r="GH35" s="218">
        <f>GH29/GH36</f>
        <v>0.54037267080745333</v>
      </c>
      <c r="GI35" s="218">
        <f>GI29/GI36</f>
        <v>0.59731543624161076</v>
      </c>
      <c r="GJ35" s="218">
        <f>GJ29/GJ36</f>
        <v>0.64137931034482765</v>
      </c>
      <c r="GK35" s="218">
        <f t="shared" ref="GK35:GM35" si="138">GK29/GK36</f>
        <v>0.5625</v>
      </c>
      <c r="GL35" s="218"/>
      <c r="GM35" s="218">
        <f t="shared" si="138"/>
        <v>0.5625</v>
      </c>
      <c r="GN35" s="218"/>
      <c r="GO35" s="218">
        <f t="shared" ref="GO35:GS35" si="139">GO29/GO36</f>
        <v>0.69230769230769229</v>
      </c>
      <c r="GP35" s="218">
        <f t="shared" si="139"/>
        <v>0.5625</v>
      </c>
      <c r="GQ35" s="218">
        <f t="shared" si="139"/>
        <v>0.6</v>
      </c>
      <c r="GR35" s="218">
        <f t="shared" si="139"/>
        <v>0.69230769230769229</v>
      </c>
      <c r="GS35" s="218">
        <f t="shared" si="139"/>
        <v>0.44444444444444448</v>
      </c>
      <c r="GT35" s="94">
        <f t="shared" si="135"/>
        <v>0.43421052631578949</v>
      </c>
      <c r="GU35" s="94">
        <f t="shared" si="135"/>
        <v>0.42672413793103448</v>
      </c>
      <c r="GV35" s="94">
        <f t="shared" si="135"/>
        <v>0.37593984962406013</v>
      </c>
      <c r="GW35" s="94"/>
      <c r="GX35" s="94"/>
      <c r="GY35" s="94"/>
      <c r="GZ35" s="94">
        <f t="shared" ref="GZ35:HF35" si="140">GZ29/GZ36</f>
        <v>0.35661764705882354</v>
      </c>
      <c r="HA35" s="94">
        <f t="shared" si="140"/>
        <v>0.36666666666666664</v>
      </c>
      <c r="HB35" s="94">
        <f t="shared" si="140"/>
        <v>0.38775510204081631</v>
      </c>
      <c r="HC35" s="94">
        <f t="shared" si="140"/>
        <v>0.40579710144927539</v>
      </c>
      <c r="HD35" s="94">
        <f t="shared" si="140"/>
        <v>0.42608695652173911</v>
      </c>
      <c r="HE35" s="94">
        <f t="shared" si="140"/>
        <v>0.34883720930232559</v>
      </c>
      <c r="HF35" s="94">
        <f t="shared" si="140"/>
        <v>0.354978354978355</v>
      </c>
      <c r="HG35" s="18"/>
      <c r="HH35" s="18"/>
    </row>
    <row r="36" spans="1:216" customFormat="1" x14ac:dyDescent="0.25">
      <c r="A36" t="s">
        <v>32</v>
      </c>
      <c r="B36" s="48">
        <v>0.25800000000000001</v>
      </c>
      <c r="C36" s="24">
        <v>0.27600000000000002</v>
      </c>
      <c r="D36" s="49">
        <v>0.28699999999999998</v>
      </c>
      <c r="E36" s="50">
        <v>0.24399999999999999</v>
      </c>
      <c r="F36" s="24">
        <v>0.26400000000000001</v>
      </c>
      <c r="G36" s="51">
        <v>0.221</v>
      </c>
      <c r="H36" s="24">
        <v>0.217</v>
      </c>
      <c r="I36" s="49">
        <v>0.21</v>
      </c>
      <c r="J36" s="24">
        <v>0.22600000000000001</v>
      </c>
      <c r="K36" s="48">
        <v>0.33500000000000002</v>
      </c>
      <c r="L36" s="24">
        <v>0.318</v>
      </c>
      <c r="M36" s="50">
        <v>0.26500000000000001</v>
      </c>
      <c r="N36" s="24">
        <v>0.20699999999999999</v>
      </c>
      <c r="O36" s="51">
        <v>0.19800000000000001</v>
      </c>
      <c r="P36" s="24">
        <v>0.20300000000000001</v>
      </c>
      <c r="Q36" s="24">
        <v>0.17399999999999999</v>
      </c>
      <c r="R36" s="52">
        <v>0.23200000000000001</v>
      </c>
      <c r="S36" s="53">
        <v>0.20699999999999999</v>
      </c>
      <c r="T36" s="22">
        <v>0.22600000000000001</v>
      </c>
      <c r="U36" s="54">
        <v>0.19900000000000001</v>
      </c>
      <c r="V36" s="22">
        <v>0.20399999999999999</v>
      </c>
      <c r="W36" s="55">
        <v>0.23499999999999999</v>
      </c>
      <c r="X36" s="22">
        <v>0.16700000000000001</v>
      </c>
      <c r="Y36" s="52">
        <v>0.24</v>
      </c>
      <c r="Z36" s="22">
        <v>0.22</v>
      </c>
      <c r="AA36" s="56">
        <v>0.17</v>
      </c>
      <c r="AB36" s="22">
        <v>0.16</v>
      </c>
      <c r="AC36" s="22">
        <v>0.13100000000000001</v>
      </c>
      <c r="AD36" s="22">
        <v>0.182</v>
      </c>
      <c r="AE36" s="22">
        <v>0.19400000000000001</v>
      </c>
      <c r="AF36" s="22">
        <v>0.17</v>
      </c>
      <c r="AG36" s="57">
        <v>0.19</v>
      </c>
      <c r="AH36" s="60">
        <v>0.18</v>
      </c>
      <c r="AI36" s="59">
        <v>0.13700000000000001</v>
      </c>
      <c r="AJ36" s="60">
        <v>0.14399999999999999</v>
      </c>
      <c r="AK36" s="61">
        <v>0.17699999999999999</v>
      </c>
      <c r="AL36" s="60">
        <v>0.16900000000000001</v>
      </c>
      <c r="AM36" s="60">
        <v>0.14199999999999999</v>
      </c>
      <c r="AN36" s="60">
        <v>0.188</v>
      </c>
      <c r="AO36" s="62">
        <v>0.14000000000000001</v>
      </c>
      <c r="AP36" s="63">
        <v>0.17499999999999999</v>
      </c>
      <c r="AQ36" s="64">
        <v>0.22800000000000001</v>
      </c>
      <c r="AR36" s="65">
        <v>0.22700000000000001</v>
      </c>
      <c r="AS36" s="64">
        <v>0.23799999999999999</v>
      </c>
      <c r="AT36" s="66">
        <v>0.23899999999999999</v>
      </c>
      <c r="AU36" s="64">
        <v>0.23100000000000001</v>
      </c>
      <c r="AV36" s="67">
        <v>0.23300000000000001</v>
      </c>
      <c r="AW36" s="63">
        <v>0.192</v>
      </c>
      <c r="AX36" s="68">
        <v>0.19400000000000001</v>
      </c>
      <c r="AY36" s="69">
        <v>0.191</v>
      </c>
      <c r="AZ36" s="68">
        <v>0.186</v>
      </c>
      <c r="BA36" s="70">
        <v>0.20699999999999999</v>
      </c>
      <c r="BB36" s="68">
        <v>0.246</v>
      </c>
      <c r="BC36" s="71">
        <v>0.248</v>
      </c>
      <c r="BD36" s="68">
        <v>0.251</v>
      </c>
      <c r="BE36" s="72">
        <v>0.27800000000000002</v>
      </c>
      <c r="BF36" s="68">
        <v>0.22</v>
      </c>
      <c r="BG36" s="73">
        <v>0.21</v>
      </c>
      <c r="BH36" s="74">
        <v>0.21</v>
      </c>
      <c r="BI36" s="75">
        <v>0.26</v>
      </c>
      <c r="BJ36" s="41">
        <v>0.20200000000000001</v>
      </c>
      <c r="BK36" s="76">
        <v>0.223</v>
      </c>
      <c r="BL36" s="41">
        <v>0.186</v>
      </c>
      <c r="BM36" s="77">
        <v>0.214</v>
      </c>
      <c r="BN36" s="77">
        <v>0.155</v>
      </c>
      <c r="BO36" s="41">
        <v>0.16700000000000001</v>
      </c>
      <c r="BP36" s="77">
        <v>0.20300000000000001</v>
      </c>
      <c r="BQ36" s="77">
        <v>0.186</v>
      </c>
      <c r="BR36" s="77">
        <v>0.193</v>
      </c>
      <c r="BS36" s="78">
        <v>0.248</v>
      </c>
      <c r="BT36" s="79">
        <v>0.26</v>
      </c>
      <c r="BU36" s="80">
        <v>0.26200000000000001</v>
      </c>
      <c r="BV36" s="81">
        <v>0.16700000000000001</v>
      </c>
      <c r="BW36" s="20">
        <v>0.27</v>
      </c>
      <c r="BX36" s="82">
        <v>0.18</v>
      </c>
      <c r="BY36" s="20">
        <v>0.14000000000000001</v>
      </c>
      <c r="BZ36" s="83">
        <v>0.16</v>
      </c>
      <c r="CA36" s="20">
        <v>0.16</v>
      </c>
      <c r="CB36" s="20">
        <v>0.29699999999999999</v>
      </c>
      <c r="CC36" s="84">
        <v>0.221</v>
      </c>
      <c r="CD36" s="37">
        <v>0.24</v>
      </c>
      <c r="CE36" s="37">
        <v>0.25</v>
      </c>
      <c r="CF36" s="37">
        <v>0.33</v>
      </c>
      <c r="CG36" s="84">
        <v>0.28999999999999998</v>
      </c>
      <c r="CH36" s="37">
        <v>0.28999999999999998</v>
      </c>
      <c r="CI36" s="37">
        <v>0.34</v>
      </c>
      <c r="CJ36" s="37">
        <v>0.28000000000000003</v>
      </c>
      <c r="CK36" s="37">
        <v>0.28999999999999998</v>
      </c>
      <c r="CL36" s="37">
        <v>0.28999999999999998</v>
      </c>
      <c r="CM36" s="87">
        <v>0.24</v>
      </c>
      <c r="CN36" s="88">
        <v>0.23</v>
      </c>
      <c r="CO36" s="89">
        <v>0.3</v>
      </c>
      <c r="CP36" s="88">
        <v>0.23</v>
      </c>
      <c r="CQ36" s="90">
        <v>0.28100000000000003</v>
      </c>
      <c r="CR36" s="91">
        <v>0.25700000000000001</v>
      </c>
      <c r="CS36" s="92">
        <v>0.246</v>
      </c>
      <c r="CT36" s="93">
        <v>0.24</v>
      </c>
      <c r="CU36" s="92">
        <v>0.27</v>
      </c>
      <c r="CV36" s="94">
        <v>0.28000000000000003</v>
      </c>
      <c r="CW36" s="243">
        <v>0.161</v>
      </c>
      <c r="CX36" s="244">
        <v>0.14499999999999999</v>
      </c>
      <c r="CY36" s="245">
        <v>0.216</v>
      </c>
      <c r="CZ36" s="246">
        <v>0.193</v>
      </c>
      <c r="DA36" s="247">
        <v>0.16800000000000001</v>
      </c>
      <c r="DB36" s="246">
        <v>0.17</v>
      </c>
      <c r="DC36" s="248">
        <v>0.18099999999999999</v>
      </c>
      <c r="DD36" s="253">
        <v>0.18</v>
      </c>
      <c r="DE36" s="246">
        <v>0.16</v>
      </c>
      <c r="DF36" s="253">
        <v>0.17</v>
      </c>
      <c r="DG36" s="253">
        <v>0.17</v>
      </c>
      <c r="DH36" s="253">
        <v>0.17</v>
      </c>
      <c r="DI36" s="253">
        <v>0.17</v>
      </c>
      <c r="DJ36" s="95">
        <v>0.26300000000000001</v>
      </c>
      <c r="DK36" s="96">
        <v>0.28000000000000003</v>
      </c>
      <c r="DL36" s="97">
        <v>0.28000000000000003</v>
      </c>
      <c r="DM36" s="98"/>
      <c r="DN36" s="96">
        <v>0.28000000000000003</v>
      </c>
      <c r="DO36" s="99">
        <v>0.27</v>
      </c>
      <c r="DP36" s="96">
        <v>0.21</v>
      </c>
      <c r="DQ36" s="96">
        <v>0.23799999999999999</v>
      </c>
      <c r="DR36" s="96">
        <v>0.27200000000000002</v>
      </c>
      <c r="DS36" s="96">
        <v>0.23799999999999999</v>
      </c>
      <c r="DT36" s="41">
        <v>0.159</v>
      </c>
      <c r="DU36" s="41">
        <v>0.20699999999999999</v>
      </c>
      <c r="DV36" s="41">
        <v>0.183</v>
      </c>
      <c r="DW36" s="41">
        <v>0.19700000000000001</v>
      </c>
      <c r="DX36" s="41">
        <v>0.2</v>
      </c>
      <c r="DY36" s="41">
        <v>0.15</v>
      </c>
      <c r="DZ36" s="41">
        <v>0.152</v>
      </c>
      <c r="EA36" s="41">
        <v>0.17</v>
      </c>
      <c r="EB36" s="41">
        <v>0.14499999999999999</v>
      </c>
      <c r="EC36" s="41">
        <v>0.14399999999999999</v>
      </c>
      <c r="ED36" s="41">
        <v>0.14199999999999999</v>
      </c>
      <c r="EE36" s="100">
        <v>0.307</v>
      </c>
      <c r="EF36" s="101">
        <v>0.33</v>
      </c>
      <c r="EG36" s="100">
        <v>0.29899999999999999</v>
      </c>
      <c r="EH36" s="102">
        <v>0.32</v>
      </c>
      <c r="EI36" s="100">
        <v>0.214</v>
      </c>
      <c r="EJ36" s="103">
        <v>0.26700000000000002</v>
      </c>
      <c r="EK36" s="100">
        <v>0.186</v>
      </c>
      <c r="EL36" s="104">
        <v>0.23400000000000001</v>
      </c>
      <c r="EM36" s="100">
        <v>0.22800000000000001</v>
      </c>
      <c r="EN36" s="105">
        <v>0.22</v>
      </c>
      <c r="EO36" s="100">
        <v>0.24</v>
      </c>
      <c r="EP36" s="100">
        <v>0.217</v>
      </c>
      <c r="EQ36" s="100">
        <v>0.221</v>
      </c>
      <c r="ER36" s="100">
        <v>0.27900000000000003</v>
      </c>
      <c r="ES36" s="106">
        <v>0.23499999999999999</v>
      </c>
      <c r="ET36" s="107">
        <v>0.218</v>
      </c>
      <c r="EU36" s="106">
        <v>0.192</v>
      </c>
      <c r="EV36" s="108">
        <v>0.20799999999999999</v>
      </c>
      <c r="EW36" s="106">
        <v>0.20499999999999999</v>
      </c>
      <c r="EX36" s="109">
        <v>0.20100000000000001</v>
      </c>
      <c r="EY36" s="106">
        <v>0.156</v>
      </c>
      <c r="EZ36" s="110">
        <v>0.27700000000000002</v>
      </c>
      <c r="FA36" s="106">
        <v>0.254</v>
      </c>
      <c r="FB36" s="107">
        <v>0.23699999999999999</v>
      </c>
      <c r="FC36" s="106">
        <v>0.2</v>
      </c>
      <c r="FD36" s="106">
        <v>0.185</v>
      </c>
      <c r="FE36" s="106">
        <v>0.21099999999999999</v>
      </c>
      <c r="FF36" s="106">
        <v>0.19600000000000001</v>
      </c>
      <c r="FG36" s="111">
        <v>0.17499999999999999</v>
      </c>
      <c r="FH36" s="112">
        <v>0.17</v>
      </c>
      <c r="FI36" s="111">
        <v>0.19</v>
      </c>
      <c r="FJ36" s="113">
        <v>0.188</v>
      </c>
      <c r="FK36" s="111">
        <v>0.16200000000000001</v>
      </c>
      <c r="FL36" s="114">
        <v>0.18</v>
      </c>
      <c r="FM36" s="111">
        <v>0.16600000000000001</v>
      </c>
      <c r="FN36" s="115">
        <v>0.185</v>
      </c>
      <c r="FO36" s="116">
        <v>0.17899999999999999</v>
      </c>
      <c r="FP36" s="117">
        <v>0.192</v>
      </c>
      <c r="FQ36" s="116">
        <v>0.21</v>
      </c>
      <c r="FR36" s="118">
        <v>0.30299999999999999</v>
      </c>
      <c r="FS36" s="119">
        <v>0.39200000000000002</v>
      </c>
      <c r="FT36" s="118">
        <v>0.377</v>
      </c>
      <c r="FU36" s="120">
        <v>0.24099999999999999</v>
      </c>
      <c r="FV36" s="118">
        <v>0.28199999999999997</v>
      </c>
      <c r="FW36" s="121">
        <v>0.27</v>
      </c>
      <c r="FX36" s="118">
        <v>0.33500000000000002</v>
      </c>
      <c r="FY36" s="122">
        <v>0.34699999999999998</v>
      </c>
      <c r="FZ36" s="118">
        <v>0.36499999999999999</v>
      </c>
      <c r="GA36" s="123">
        <v>0.30599999999999999</v>
      </c>
      <c r="GB36" s="45">
        <v>0.38</v>
      </c>
      <c r="GC36" s="45">
        <v>0.27</v>
      </c>
      <c r="GD36" s="124">
        <v>0.184</v>
      </c>
      <c r="GE36" s="125">
        <v>0.21099999999999999</v>
      </c>
      <c r="GF36" s="126">
        <v>0.16800000000000001</v>
      </c>
      <c r="GG36" s="124">
        <v>0.17399999999999999</v>
      </c>
      <c r="GH36" s="127">
        <v>0.161</v>
      </c>
      <c r="GI36" s="124">
        <v>0.14899999999999999</v>
      </c>
      <c r="GJ36" s="128">
        <v>0.14499999999999999</v>
      </c>
      <c r="GK36" s="124">
        <v>0.16</v>
      </c>
      <c r="GL36" s="124">
        <v>0.15</v>
      </c>
      <c r="GM36" s="124">
        <v>0.16</v>
      </c>
      <c r="GN36" s="124">
        <v>0.16</v>
      </c>
      <c r="GO36" s="124">
        <v>0.13</v>
      </c>
      <c r="GP36" s="124">
        <v>0.16</v>
      </c>
      <c r="GQ36" s="124">
        <v>0.15</v>
      </c>
      <c r="GR36" s="124">
        <v>0.13</v>
      </c>
      <c r="GS36" s="124">
        <v>0.18</v>
      </c>
      <c r="GT36" s="92">
        <v>0.22800000000000001</v>
      </c>
      <c r="GU36" s="92">
        <v>0.23200000000000001</v>
      </c>
      <c r="GV36" s="130">
        <v>0.26600000000000001</v>
      </c>
      <c r="GW36" s="91">
        <v>0.27200000000000002</v>
      </c>
      <c r="GX36" s="94">
        <v>0.25900000000000001</v>
      </c>
      <c r="GY36" s="92">
        <v>0.27500000000000002</v>
      </c>
      <c r="GZ36" s="90">
        <v>0.27200000000000002</v>
      </c>
      <c r="HA36" s="92">
        <v>0.27</v>
      </c>
      <c r="HB36" s="91">
        <v>0.245</v>
      </c>
      <c r="HC36" s="93">
        <v>0.20699999999999999</v>
      </c>
      <c r="HD36" s="92">
        <v>0.23</v>
      </c>
      <c r="HE36" s="94">
        <v>0.30099999999999999</v>
      </c>
      <c r="HF36" s="92">
        <v>0.23100000000000001</v>
      </c>
      <c r="HG36" s="18"/>
      <c r="HH36" s="18"/>
    </row>
    <row r="37" spans="1:216" customFormat="1" x14ac:dyDescent="0.25">
      <c r="A37" t="s">
        <v>3</v>
      </c>
      <c r="B37" s="48">
        <v>0.123</v>
      </c>
      <c r="C37" s="24">
        <v>0.19900000000000001</v>
      </c>
      <c r="D37" s="49">
        <v>0.14699999999999999</v>
      </c>
      <c r="E37" s="50">
        <v>0.112</v>
      </c>
      <c r="F37" s="24">
        <v>0.14199999999999999</v>
      </c>
      <c r="G37" s="51">
        <v>0.12</v>
      </c>
      <c r="H37" s="24">
        <v>0.11899999999999999</v>
      </c>
      <c r="I37" s="49">
        <v>0.124</v>
      </c>
      <c r="J37" s="24">
        <v>0.12</v>
      </c>
      <c r="K37" s="48">
        <v>0.17399999999999999</v>
      </c>
      <c r="L37" s="24">
        <v>0.14899999999999999</v>
      </c>
      <c r="M37" s="50">
        <v>0.14299999999999999</v>
      </c>
      <c r="N37" s="24">
        <v>0.13600000000000001</v>
      </c>
      <c r="O37" s="51">
        <v>0.105</v>
      </c>
      <c r="P37" s="24">
        <v>0.13100000000000001</v>
      </c>
      <c r="Q37" s="24">
        <v>0.127</v>
      </c>
      <c r="R37" s="52">
        <v>0.123</v>
      </c>
      <c r="S37" s="53">
        <v>7.0000000000000007E-2</v>
      </c>
      <c r="T37" s="22">
        <v>0.12</v>
      </c>
      <c r="U37" s="54">
        <v>0.161</v>
      </c>
      <c r="V37" s="22">
        <v>0.121</v>
      </c>
      <c r="W37" s="55">
        <v>0.11700000000000001</v>
      </c>
      <c r="X37" s="22">
        <v>0.10199999999999999</v>
      </c>
      <c r="Y37" s="52">
        <v>0.12</v>
      </c>
      <c r="Z37" s="22">
        <v>0.1</v>
      </c>
      <c r="AA37" s="56">
        <v>0.1</v>
      </c>
      <c r="AB37" s="22">
        <v>0.09</v>
      </c>
      <c r="AC37" s="22">
        <v>0.1</v>
      </c>
      <c r="AD37" s="22">
        <v>0.1</v>
      </c>
      <c r="AE37" s="22">
        <v>0.12</v>
      </c>
      <c r="AF37" s="22">
        <v>0.12</v>
      </c>
      <c r="AG37" s="57">
        <v>0.14499999999999999</v>
      </c>
      <c r="AH37" s="60">
        <v>0.11899999999999999</v>
      </c>
      <c r="AI37" s="59">
        <v>0.104</v>
      </c>
      <c r="AJ37" s="60">
        <v>9.5000000000000001E-2</v>
      </c>
      <c r="AK37" s="61">
        <v>0.112</v>
      </c>
      <c r="AL37" s="60">
        <v>0.115</v>
      </c>
      <c r="AM37" s="60">
        <v>9.8000000000000004E-2</v>
      </c>
      <c r="AN37" s="60">
        <v>0.113</v>
      </c>
      <c r="AO37" s="62">
        <v>7.2999999999999995E-2</v>
      </c>
      <c r="AP37" s="63">
        <v>6.8000000000000005E-2</v>
      </c>
      <c r="AQ37" s="64">
        <v>8.1000000000000003E-2</v>
      </c>
      <c r="AR37" s="65">
        <v>7.6999999999999999E-2</v>
      </c>
      <c r="AS37" s="64">
        <v>8.3000000000000004E-2</v>
      </c>
      <c r="AT37" s="66">
        <v>7.4999999999999997E-2</v>
      </c>
      <c r="AU37" s="64">
        <v>8.5999999999999993E-2</v>
      </c>
      <c r="AV37" s="67">
        <v>0.08</v>
      </c>
      <c r="AW37" s="63">
        <v>7.2999999999999995E-2</v>
      </c>
      <c r="AX37" s="68">
        <v>0.11899999999999999</v>
      </c>
      <c r="AY37" s="69">
        <v>0.14299999999999999</v>
      </c>
      <c r="AZ37" s="68">
        <v>0.13200000000000001</v>
      </c>
      <c r="BA37" s="70">
        <v>0.15</v>
      </c>
      <c r="BB37" s="68">
        <v>0.107</v>
      </c>
      <c r="BC37" s="71">
        <v>0.108</v>
      </c>
      <c r="BD37" s="68">
        <v>0.122</v>
      </c>
      <c r="BE37" s="72">
        <v>0.121</v>
      </c>
      <c r="BF37" s="68">
        <v>0.13400000000000001</v>
      </c>
      <c r="BG37" s="73"/>
      <c r="BH37" s="74"/>
      <c r="BI37" s="75">
        <v>0.11</v>
      </c>
      <c r="BJ37" s="41">
        <v>0.114</v>
      </c>
      <c r="BK37" s="76">
        <v>0.111</v>
      </c>
      <c r="BL37" s="41">
        <v>8.6999999999999994E-2</v>
      </c>
      <c r="BM37" s="77">
        <v>9.6000000000000002E-2</v>
      </c>
      <c r="BN37" s="77">
        <v>0.11</v>
      </c>
      <c r="BO37" s="41">
        <v>9.8000000000000004E-2</v>
      </c>
      <c r="BP37" s="77">
        <v>0.11</v>
      </c>
      <c r="BQ37" s="77">
        <v>8.6999999999999994E-2</v>
      </c>
      <c r="BR37" s="77">
        <v>0.105</v>
      </c>
      <c r="BS37" s="78">
        <v>9.7000000000000003E-2</v>
      </c>
      <c r="BT37" s="79">
        <v>0.14299999999999999</v>
      </c>
      <c r="BU37" s="80">
        <v>0.1</v>
      </c>
      <c r="BV37" s="81">
        <v>8.4000000000000005E-2</v>
      </c>
      <c r="BW37" s="20">
        <v>0.12</v>
      </c>
      <c r="BX37" s="82">
        <v>0.12</v>
      </c>
      <c r="BY37" s="20">
        <v>0.11</v>
      </c>
      <c r="BZ37" s="83">
        <v>0.08</v>
      </c>
      <c r="CA37" s="20">
        <v>0.09</v>
      </c>
      <c r="CB37" s="20">
        <v>0.13600000000000001</v>
      </c>
      <c r="CC37" s="84">
        <v>0.13</v>
      </c>
      <c r="CD37" s="37">
        <v>0.14000000000000001</v>
      </c>
      <c r="CE37" s="37">
        <v>0.15</v>
      </c>
      <c r="CF37" s="37">
        <v>0.13</v>
      </c>
      <c r="CG37" s="84">
        <v>0.1</v>
      </c>
      <c r="CH37" s="37">
        <v>0.12</v>
      </c>
      <c r="CI37" s="37">
        <v>0.13</v>
      </c>
      <c r="CJ37" s="37">
        <v>0.14000000000000001</v>
      </c>
      <c r="CK37" s="37">
        <v>0.13</v>
      </c>
      <c r="CL37" s="37">
        <v>0.12</v>
      </c>
      <c r="CM37" s="87">
        <v>7.4999999999999997E-2</v>
      </c>
      <c r="CN37" s="88">
        <v>7.3999999999999996E-2</v>
      </c>
      <c r="CO37" s="89">
        <v>9.6000000000000002E-2</v>
      </c>
      <c r="CP37" s="88">
        <v>0.1</v>
      </c>
      <c r="CQ37" s="90">
        <v>0.16300000000000001</v>
      </c>
      <c r="CR37" s="91">
        <v>0.127</v>
      </c>
      <c r="CS37" s="92">
        <v>0.13</v>
      </c>
      <c r="CT37" s="93">
        <v>0.11</v>
      </c>
      <c r="CU37" s="92">
        <v>0.1</v>
      </c>
      <c r="CV37" s="94">
        <v>0.1</v>
      </c>
      <c r="CW37" s="243">
        <v>0.112</v>
      </c>
      <c r="CX37" s="244">
        <v>8.1000000000000003E-2</v>
      </c>
      <c r="CY37" s="245">
        <v>0.14199999999999999</v>
      </c>
      <c r="CZ37" s="246">
        <v>0.121</v>
      </c>
      <c r="DA37" s="247">
        <v>8.8999999999999996E-2</v>
      </c>
      <c r="DB37" s="246">
        <v>0.12</v>
      </c>
      <c r="DC37" s="248">
        <v>0.106</v>
      </c>
      <c r="DD37" s="253">
        <v>0.11</v>
      </c>
      <c r="DE37" s="246">
        <v>0.1</v>
      </c>
      <c r="DF37" s="253">
        <v>0.08</v>
      </c>
      <c r="DG37" s="253">
        <v>0.14000000000000001</v>
      </c>
      <c r="DH37" s="253">
        <v>0.13</v>
      </c>
      <c r="DI37" s="253">
        <v>0.12</v>
      </c>
      <c r="DJ37" s="95">
        <v>0.107</v>
      </c>
      <c r="DK37" s="96">
        <v>0.13600000000000001</v>
      </c>
      <c r="DL37" s="97">
        <v>0.105</v>
      </c>
      <c r="DM37" s="98"/>
      <c r="DN37" s="96">
        <v>0.16</v>
      </c>
      <c r="DO37" s="99">
        <v>0.13</v>
      </c>
      <c r="DP37" s="96">
        <v>0.12</v>
      </c>
      <c r="DQ37" s="96">
        <v>0.155</v>
      </c>
      <c r="DR37" s="96">
        <v>0.16200000000000001</v>
      </c>
      <c r="DS37" s="96">
        <v>0.185</v>
      </c>
      <c r="DT37" s="41">
        <v>0.104</v>
      </c>
      <c r="DU37" s="41">
        <v>0.104</v>
      </c>
      <c r="DV37" s="41">
        <v>0.112</v>
      </c>
      <c r="DW37" s="41">
        <v>0.13300000000000001</v>
      </c>
      <c r="DX37" s="41">
        <v>0.108</v>
      </c>
      <c r="DY37" s="41">
        <v>0.11700000000000001</v>
      </c>
      <c r="DZ37" s="41">
        <v>0.105</v>
      </c>
      <c r="EA37" s="41">
        <v>0.13100000000000001</v>
      </c>
      <c r="EB37" s="41">
        <v>0.105</v>
      </c>
      <c r="EC37" s="41">
        <v>0.106</v>
      </c>
      <c r="ED37" s="41">
        <v>8.1000000000000003E-2</v>
      </c>
      <c r="EE37" s="100">
        <v>9.6000000000000002E-2</v>
      </c>
      <c r="EF37" s="101">
        <v>0.113</v>
      </c>
      <c r="EG37" s="100">
        <v>9.0999999999999998E-2</v>
      </c>
      <c r="EH37" s="102">
        <v>9.8000000000000004E-2</v>
      </c>
      <c r="EI37" s="100">
        <v>0.113</v>
      </c>
      <c r="EJ37" s="103">
        <v>0.11799999999999999</v>
      </c>
      <c r="EK37" s="100">
        <v>9.9000000000000005E-2</v>
      </c>
      <c r="EL37" s="104">
        <v>0.11799999999999999</v>
      </c>
      <c r="EM37" s="100">
        <v>0.111</v>
      </c>
      <c r="EN37" s="105">
        <v>9.4E-2</v>
      </c>
      <c r="EO37" s="100">
        <v>0.115</v>
      </c>
      <c r="EP37" s="100">
        <v>0.1</v>
      </c>
      <c r="EQ37" s="100">
        <v>0.128</v>
      </c>
      <c r="ER37" s="100">
        <v>0.15</v>
      </c>
      <c r="ES37" s="106">
        <v>0.16</v>
      </c>
      <c r="ET37" s="107">
        <v>0.127</v>
      </c>
      <c r="EU37" s="106">
        <v>0.11899999999999999</v>
      </c>
      <c r="EV37" s="108">
        <v>0.13</v>
      </c>
      <c r="EW37" s="106">
        <v>0.127</v>
      </c>
      <c r="EX37" s="109">
        <v>0.108</v>
      </c>
      <c r="EY37" s="106">
        <v>0.10100000000000001</v>
      </c>
      <c r="EZ37" s="110">
        <v>0.13900000000000001</v>
      </c>
      <c r="FA37" s="106">
        <v>0.13300000000000001</v>
      </c>
      <c r="FB37" s="107">
        <v>0.13</v>
      </c>
      <c r="FC37" s="106">
        <v>0.1</v>
      </c>
      <c r="FD37" s="106">
        <v>0.106</v>
      </c>
      <c r="FE37" s="106">
        <v>0.126</v>
      </c>
      <c r="FF37" s="106">
        <v>0.105</v>
      </c>
      <c r="FG37" s="111">
        <v>9.69E-2</v>
      </c>
      <c r="FH37" s="112">
        <v>9.1999999999999998E-2</v>
      </c>
      <c r="FI37" s="111">
        <v>0.1</v>
      </c>
      <c r="FJ37" s="113">
        <v>7.5999999999999998E-2</v>
      </c>
      <c r="FK37" s="111">
        <v>7.0000000000000007E-2</v>
      </c>
      <c r="FL37" s="114">
        <v>9.4E-2</v>
      </c>
      <c r="FM37" s="111">
        <v>9.7000000000000003E-2</v>
      </c>
      <c r="FN37" s="115">
        <v>7.2999999999999995E-2</v>
      </c>
      <c r="FO37" s="116">
        <v>0.10199999999999999</v>
      </c>
      <c r="FP37" s="117">
        <v>9.0999999999999998E-2</v>
      </c>
      <c r="FQ37" s="116">
        <v>0.108</v>
      </c>
      <c r="FR37" s="118">
        <v>0.13800000000000001</v>
      </c>
      <c r="FS37" s="119">
        <v>0.14899999999999999</v>
      </c>
      <c r="FT37" s="118">
        <v>0.219</v>
      </c>
      <c r="FU37" s="120">
        <v>0.157</v>
      </c>
      <c r="FV37" s="118">
        <v>0.109</v>
      </c>
      <c r="FW37" s="121">
        <v>0.126</v>
      </c>
      <c r="FX37" s="118">
        <v>0.14799999999999999</v>
      </c>
      <c r="FY37" s="122">
        <v>0.156</v>
      </c>
      <c r="FZ37" s="118">
        <v>0.155</v>
      </c>
      <c r="GA37" s="123">
        <v>0.153</v>
      </c>
      <c r="GB37" s="45">
        <v>0.17</v>
      </c>
      <c r="GC37" s="45">
        <v>0.13</v>
      </c>
      <c r="GD37" s="124">
        <v>8.2000000000000003E-2</v>
      </c>
      <c r="GE37" s="125">
        <v>0.111</v>
      </c>
      <c r="GF37" s="126">
        <v>8.6999999999999994E-2</v>
      </c>
      <c r="GG37" s="124">
        <v>9.4E-2</v>
      </c>
      <c r="GH37" s="127">
        <v>8.5999999999999993E-2</v>
      </c>
      <c r="GI37" s="124">
        <v>7.1999999999999995E-2</v>
      </c>
      <c r="GJ37" s="128">
        <v>9.7000000000000003E-2</v>
      </c>
      <c r="GK37" s="124">
        <v>0.09</v>
      </c>
      <c r="GL37" s="124">
        <v>0.08</v>
      </c>
      <c r="GM37" s="124">
        <v>7.0000000000000007E-2</v>
      </c>
      <c r="GN37" s="124">
        <v>0.11</v>
      </c>
      <c r="GO37" s="124">
        <v>0.1</v>
      </c>
      <c r="GP37" s="124">
        <v>0.09</v>
      </c>
      <c r="GQ37" s="124">
        <v>0.09</v>
      </c>
      <c r="GR37" s="124">
        <v>0.06</v>
      </c>
      <c r="GS37" s="124">
        <v>0.08</v>
      </c>
      <c r="GT37" s="92">
        <v>7.1999999999999995E-2</v>
      </c>
      <c r="GU37" s="92">
        <v>0.125</v>
      </c>
      <c r="GV37" s="130">
        <v>0.13800000000000001</v>
      </c>
      <c r="GW37" s="91">
        <v>0.09</v>
      </c>
      <c r="GX37" s="94">
        <v>9.2999999999999999E-2</v>
      </c>
      <c r="GY37" s="92">
        <v>0.12</v>
      </c>
      <c r="GZ37" s="90">
        <v>0.125</v>
      </c>
      <c r="HA37" s="92">
        <v>8.6999999999999994E-2</v>
      </c>
      <c r="HB37" s="91">
        <v>7.8E-2</v>
      </c>
      <c r="HC37" s="93">
        <v>7.0000000000000007E-2</v>
      </c>
      <c r="HD37" s="92">
        <v>7.8E-2</v>
      </c>
      <c r="HE37" s="94">
        <v>0.108</v>
      </c>
      <c r="HF37" s="92">
        <v>9.6000000000000002E-2</v>
      </c>
      <c r="HG37" s="18"/>
      <c r="HH37" s="18"/>
    </row>
    <row r="38" spans="1:216" customFormat="1" x14ac:dyDescent="0.25">
      <c r="A38" t="s">
        <v>31</v>
      </c>
      <c r="B38" s="48">
        <f t="shared" ref="B38:BV38" si="141">B36/B2</f>
        <v>0.12512124151309406</v>
      </c>
      <c r="C38" s="24">
        <f t="shared" si="141"/>
        <v>0.10887573964497042</v>
      </c>
      <c r="D38" s="49">
        <f t="shared" si="141"/>
        <v>0.12992304210049796</v>
      </c>
      <c r="E38" s="50">
        <f t="shared" si="141"/>
        <v>0.10782147591692444</v>
      </c>
      <c r="F38" s="24">
        <f t="shared" si="141"/>
        <v>0.12324929971988796</v>
      </c>
      <c r="G38" s="51">
        <f t="shared" si="141"/>
        <v>0.13305237808549067</v>
      </c>
      <c r="H38" s="24">
        <f t="shared" si="141"/>
        <v>0.13892445582586427</v>
      </c>
      <c r="I38" s="49">
        <f t="shared" si="141"/>
        <v>0.12180974477958237</v>
      </c>
      <c r="J38" s="24">
        <f t="shared" si="141"/>
        <v>0.13755325623858797</v>
      </c>
      <c r="K38" s="48">
        <f t="shared" si="141"/>
        <v>0.13405362144857944</v>
      </c>
      <c r="L38" s="24">
        <f t="shared" si="141"/>
        <v>0.12091254752851711</v>
      </c>
      <c r="M38" s="50">
        <f t="shared" si="141"/>
        <v>0.13296537882589063</v>
      </c>
      <c r="N38" s="24">
        <f t="shared" si="141"/>
        <v>0.12801484230055657</v>
      </c>
      <c r="O38" s="51">
        <f t="shared" si="141"/>
        <v>0.12555485098287889</v>
      </c>
      <c r="P38" s="24">
        <f t="shared" si="141"/>
        <v>0.11141602634467618</v>
      </c>
      <c r="Q38" s="24">
        <f t="shared" si="141"/>
        <v>0.11196911196911195</v>
      </c>
      <c r="R38" s="52">
        <f t="shared" si="141"/>
        <v>9.5947063688999176E-2</v>
      </c>
      <c r="S38" s="53">
        <f t="shared" si="141"/>
        <v>0.10725388601036269</v>
      </c>
      <c r="T38" s="22">
        <f t="shared" si="141"/>
        <v>9.0400000000000008E-2</v>
      </c>
      <c r="U38" s="54">
        <f t="shared" si="141"/>
        <v>9.3121197941038847E-2</v>
      </c>
      <c r="V38" s="22">
        <f t="shared" si="141"/>
        <v>0.10134128166915052</v>
      </c>
      <c r="W38" s="55">
        <f t="shared" si="141"/>
        <v>0.10398230088495576</v>
      </c>
      <c r="X38" s="22">
        <f t="shared" si="141"/>
        <v>0.1</v>
      </c>
      <c r="Y38" s="52">
        <f t="shared" si="141"/>
        <v>0.10619469026548671</v>
      </c>
      <c r="Z38" s="22">
        <f t="shared" si="141"/>
        <v>0.10328638497652583</v>
      </c>
      <c r="AA38" s="56">
        <f t="shared" si="141"/>
        <v>9.8837209302325604E-2</v>
      </c>
      <c r="AB38" s="22">
        <f t="shared" si="141"/>
        <v>0.1019108280254777</v>
      </c>
      <c r="AC38" s="22">
        <f t="shared" si="141"/>
        <v>0.10076923076923076</v>
      </c>
      <c r="AD38" s="22">
        <f t="shared" si="141"/>
        <v>0.12380952380952381</v>
      </c>
      <c r="AE38" s="22">
        <f t="shared" si="141"/>
        <v>0.10898876404494383</v>
      </c>
      <c r="AF38" s="22">
        <f t="shared" si="141"/>
        <v>0.11118378024852846</v>
      </c>
      <c r="AG38" s="57">
        <f t="shared" si="141"/>
        <v>0.11663597298956416</v>
      </c>
      <c r="AH38" s="60">
        <f t="shared" si="141"/>
        <v>0.12413793103448276</v>
      </c>
      <c r="AI38" s="59">
        <f t="shared" si="141"/>
        <v>0.10498084291187741</v>
      </c>
      <c r="AJ38" s="60">
        <f t="shared" si="141"/>
        <v>0.10827067669172931</v>
      </c>
      <c r="AK38" s="61">
        <f t="shared" si="141"/>
        <v>0.12223756906077347</v>
      </c>
      <c r="AL38" s="60">
        <f t="shared" si="141"/>
        <v>0.14644714038128251</v>
      </c>
      <c r="AM38" s="60">
        <f t="shared" si="141"/>
        <v>0.10201149425287356</v>
      </c>
      <c r="AN38" s="60">
        <f t="shared" si="141"/>
        <v>0.13712618526622902</v>
      </c>
      <c r="AO38" s="62">
        <f t="shared" si="141"/>
        <v>8.3882564409826249E-2</v>
      </c>
      <c r="AP38" s="63">
        <f t="shared" si="141"/>
        <v>0.10479041916167663</v>
      </c>
      <c r="AQ38" s="64">
        <f t="shared" si="141"/>
        <v>0.10744580584354384</v>
      </c>
      <c r="AR38" s="65">
        <f t="shared" si="141"/>
        <v>0.11299153807864611</v>
      </c>
      <c r="AS38" s="64">
        <f t="shared" si="141"/>
        <v>0.11519845111326235</v>
      </c>
      <c r="AT38" s="66">
        <f t="shared" si="141"/>
        <v>0.1138095238095238</v>
      </c>
      <c r="AU38" s="64">
        <f t="shared" si="141"/>
        <v>0.10679611650485436</v>
      </c>
      <c r="AV38" s="67">
        <f t="shared" si="141"/>
        <v>0.10542986425339368</v>
      </c>
      <c r="AW38" s="63">
        <f t="shared" si="141"/>
        <v>0.10031347962382446</v>
      </c>
      <c r="AX38" s="68">
        <f t="shared" si="141"/>
        <v>0.13055181695827725</v>
      </c>
      <c r="AY38" s="69">
        <f t="shared" si="141"/>
        <v>0.1095811818703385</v>
      </c>
      <c r="AZ38" s="68">
        <f t="shared" si="141"/>
        <v>0.13154172560113156</v>
      </c>
      <c r="BA38" s="70">
        <f t="shared" si="141"/>
        <v>0.107756376887038</v>
      </c>
      <c r="BB38" s="68">
        <f t="shared" si="141"/>
        <v>0.11248285322359397</v>
      </c>
      <c r="BC38" s="71">
        <f t="shared" si="141"/>
        <v>0.12957157784743992</v>
      </c>
      <c r="BD38" s="68">
        <f t="shared" si="141"/>
        <v>0.12196307094266279</v>
      </c>
      <c r="BE38" s="72">
        <f t="shared" si="141"/>
        <v>0.15574229691876751</v>
      </c>
      <c r="BF38" s="68">
        <f t="shared" si="141"/>
        <v>0.10587102983638112</v>
      </c>
      <c r="BG38" s="221">
        <f t="shared" si="141"/>
        <v>0.10071942446043165</v>
      </c>
      <c r="BH38" s="222">
        <f t="shared" si="141"/>
        <v>8.6848635235731997E-2</v>
      </c>
      <c r="BI38" s="223">
        <f t="shared" si="141"/>
        <v>9.187279151943463E-2</v>
      </c>
      <c r="BJ38" s="41">
        <f t="shared" si="141"/>
        <v>8.6881720430107529E-2</v>
      </c>
      <c r="BK38" s="76">
        <f t="shared" si="141"/>
        <v>9.6872284969591674E-2</v>
      </c>
      <c r="BL38" s="41">
        <f t="shared" si="141"/>
        <v>9.1176470588235289E-2</v>
      </c>
      <c r="BM38" s="77">
        <f t="shared" si="141"/>
        <v>9.2801387684301823E-2</v>
      </c>
      <c r="BN38" s="77">
        <f t="shared" si="141"/>
        <v>8.611111111111111E-2</v>
      </c>
      <c r="BO38" s="77">
        <f t="shared" si="141"/>
        <v>0.10616656071201527</v>
      </c>
      <c r="BP38" s="77">
        <f t="shared" si="141"/>
        <v>0.11086837793555435</v>
      </c>
      <c r="BQ38" s="77">
        <f t="shared" si="141"/>
        <v>9.9305926321409499E-2</v>
      </c>
      <c r="BR38" s="77">
        <f t="shared" si="141"/>
        <v>9.6211365902293108E-2</v>
      </c>
      <c r="BS38" s="224">
        <f t="shared" si="141"/>
        <v>0.10703495899870522</v>
      </c>
      <c r="BT38" s="20">
        <f t="shared" si="141"/>
        <v>0.10965837199493884</v>
      </c>
      <c r="BU38" s="225">
        <f t="shared" si="141"/>
        <v>0.10786331823795801</v>
      </c>
      <c r="BV38" s="211">
        <f t="shared" si="141"/>
        <v>0.1448395490026019</v>
      </c>
      <c r="BW38" s="20">
        <f t="shared" ref="BW38:DL38" si="142">BW36/BW2</f>
        <v>0.11203319502074689</v>
      </c>
      <c r="BX38" s="82">
        <f t="shared" si="142"/>
        <v>0.10650887573964497</v>
      </c>
      <c r="BY38" s="20">
        <f t="shared" si="142"/>
        <v>9.5890410958904118E-2</v>
      </c>
      <c r="BZ38" s="83">
        <f t="shared" si="142"/>
        <v>0.11034482758620691</v>
      </c>
      <c r="CA38" s="20">
        <f t="shared" si="142"/>
        <v>0.10738255033557047</v>
      </c>
      <c r="CB38" s="20">
        <f t="shared" si="142"/>
        <v>0.1414285714285714</v>
      </c>
      <c r="CC38" s="84">
        <f t="shared" si="142"/>
        <v>0.14049586776859505</v>
      </c>
      <c r="CD38" s="85">
        <f t="shared" si="142"/>
        <v>0.12121212121212122</v>
      </c>
      <c r="CE38" s="84">
        <f t="shared" si="142"/>
        <v>0.12626262626262627</v>
      </c>
      <c r="CF38" s="219">
        <f t="shared" si="142"/>
        <v>0.14410480349344978</v>
      </c>
      <c r="CG38" s="84">
        <f t="shared" si="142"/>
        <v>0.13488372093023254</v>
      </c>
      <c r="CH38" s="84">
        <f t="shared" si="142"/>
        <v>0.15263157894736842</v>
      </c>
      <c r="CI38" s="84">
        <f t="shared" si="142"/>
        <v>0.13821138211382114</v>
      </c>
      <c r="CJ38" s="86">
        <f t="shared" si="142"/>
        <v>0.12903225806451615</v>
      </c>
      <c r="CK38" s="84">
        <f t="shared" si="142"/>
        <v>0.13242009132420091</v>
      </c>
      <c r="CL38" s="84">
        <f t="shared" si="142"/>
        <v>0.16477272727272727</v>
      </c>
      <c r="CM38" s="94">
        <f t="shared" si="142"/>
        <v>0.13690815744438103</v>
      </c>
      <c r="CN38" s="92">
        <f t="shared" si="142"/>
        <v>0.14556962025316456</v>
      </c>
      <c r="CO38" s="226">
        <f t="shared" si="142"/>
        <v>0.12219959266802444</v>
      </c>
      <c r="CP38" s="92">
        <f t="shared" si="142"/>
        <v>0.1342673671920607</v>
      </c>
      <c r="CQ38" s="90">
        <f t="shared" si="142"/>
        <v>0.13217309501411101</v>
      </c>
      <c r="CR38" s="91">
        <f t="shared" si="142"/>
        <v>0.1366294524189261</v>
      </c>
      <c r="CS38" s="92">
        <f t="shared" si="142"/>
        <v>0.1493624772313297</v>
      </c>
      <c r="CT38" s="93">
        <f t="shared" si="142"/>
        <v>0.1276595744680851</v>
      </c>
      <c r="CU38" s="92">
        <f t="shared" si="142"/>
        <v>0.15083798882681565</v>
      </c>
      <c r="CV38" s="94">
        <f t="shared" si="142"/>
        <v>0.15135135135135136</v>
      </c>
      <c r="CW38" s="248">
        <f t="shared" si="142"/>
        <v>9.9505562422744137E-2</v>
      </c>
      <c r="CX38" s="246">
        <f t="shared" si="142"/>
        <v>0.1396917148362235</v>
      </c>
      <c r="CY38" s="255">
        <f t="shared" si="142"/>
        <v>0.10310262529832936</v>
      </c>
      <c r="CZ38" s="246">
        <f t="shared" si="142"/>
        <v>0.13319530710835059</v>
      </c>
      <c r="DA38" s="247">
        <f t="shared" si="142"/>
        <v>0.1153054221002059</v>
      </c>
      <c r="DB38" s="246">
        <f t="shared" si="142"/>
        <v>0.11213720316622693</v>
      </c>
      <c r="DC38" s="248">
        <f t="shared" si="142"/>
        <v>0.11298377028714109</v>
      </c>
      <c r="DD38" s="249">
        <f t="shared" si="142"/>
        <v>0.10344827586206896</v>
      </c>
      <c r="DE38" s="249">
        <f t="shared" si="142"/>
        <v>9.4117647058823528E-2</v>
      </c>
      <c r="DF38" s="249">
        <f t="shared" si="142"/>
        <v>0.10828025477707007</v>
      </c>
      <c r="DG38" s="249">
        <f t="shared" si="142"/>
        <v>9.6045197740112997E-2</v>
      </c>
      <c r="DH38" s="249">
        <f t="shared" si="142"/>
        <v>0.11486486486486487</v>
      </c>
      <c r="DI38" s="249">
        <f t="shared" si="142"/>
        <v>0.10303030303030304</v>
      </c>
      <c r="DJ38" s="95">
        <f t="shared" si="142"/>
        <v>0.12523809523809523</v>
      </c>
      <c r="DK38" s="96">
        <f t="shared" si="142"/>
        <v>0.11565468814539448</v>
      </c>
      <c r="DL38" s="97">
        <f t="shared" si="142"/>
        <v>0.1104972375690608</v>
      </c>
      <c r="DM38" s="98"/>
      <c r="DN38" s="96">
        <f t="shared" ref="DN38:HB38" si="143">DN36/DN2</f>
        <v>0.11331444759206799</v>
      </c>
      <c r="DO38" s="99">
        <f t="shared" si="143"/>
        <v>0.11842105263157894</v>
      </c>
      <c r="DP38" s="96">
        <f t="shared" si="143"/>
        <v>0.11351351351351351</v>
      </c>
      <c r="DQ38" s="96">
        <f t="shared" si="143"/>
        <v>9.3848580441640378E-2</v>
      </c>
      <c r="DR38" s="96">
        <f t="shared" si="143"/>
        <v>0.10214044310927527</v>
      </c>
      <c r="DS38" s="96">
        <f t="shared" si="143"/>
        <v>8.8805970149253718E-2</v>
      </c>
      <c r="DT38" s="41">
        <f t="shared" si="143"/>
        <v>0.13032786885245903</v>
      </c>
      <c r="DU38" s="41">
        <f t="shared" si="143"/>
        <v>0.16653258246178598</v>
      </c>
      <c r="DV38" s="41">
        <f t="shared" si="143"/>
        <v>0.11366459627329191</v>
      </c>
      <c r="DW38" s="41">
        <f t="shared" si="143"/>
        <v>0.11387283236994221</v>
      </c>
      <c r="DX38" s="41">
        <f t="shared" si="143"/>
        <v>0.11764705882352942</v>
      </c>
      <c r="DY38" s="41">
        <f t="shared" si="143"/>
        <v>0.11538461538461538</v>
      </c>
      <c r="DZ38" s="41">
        <f t="shared" si="143"/>
        <v>8.9411764705882357E-2</v>
      </c>
      <c r="EA38" s="41">
        <f t="shared" si="143"/>
        <v>0.11888111888111889</v>
      </c>
      <c r="EB38" s="41">
        <f t="shared" si="143"/>
        <v>9.4771241830065356E-2</v>
      </c>
      <c r="EC38" s="41">
        <f t="shared" si="143"/>
        <v>0.1117145073700543</v>
      </c>
      <c r="ED38" s="41">
        <f t="shared" si="143"/>
        <v>9.0503505417463354E-2</v>
      </c>
      <c r="EE38" s="100">
        <f t="shared" si="143"/>
        <v>0.12429149797570849</v>
      </c>
      <c r="EF38" s="101">
        <f t="shared" si="143"/>
        <v>0.11952191235059761</v>
      </c>
      <c r="EG38" s="100">
        <f t="shared" si="143"/>
        <v>0.15803382663847781</v>
      </c>
      <c r="EH38" s="102">
        <f t="shared" si="143"/>
        <v>0.13316687473990846</v>
      </c>
      <c r="EI38" s="100">
        <f t="shared" si="143"/>
        <v>0.10753768844221107</v>
      </c>
      <c r="EJ38" s="103">
        <f t="shared" si="143"/>
        <v>0.11275337837837837</v>
      </c>
      <c r="EK38" s="100">
        <f t="shared" si="143"/>
        <v>0.10622501427755569</v>
      </c>
      <c r="EL38" s="104">
        <f t="shared" si="143"/>
        <v>0.10873605947955391</v>
      </c>
      <c r="EM38" s="100">
        <f t="shared" si="143"/>
        <v>0.12910532276330691</v>
      </c>
      <c r="EN38" s="105">
        <f t="shared" si="143"/>
        <v>0.11218765935747069</v>
      </c>
      <c r="EO38" s="105">
        <f t="shared" si="143"/>
        <v>0.11230697239120262</v>
      </c>
      <c r="EP38" s="105">
        <f t="shared" si="143"/>
        <v>0.10231023102310231</v>
      </c>
      <c r="EQ38" s="105">
        <f t="shared" si="143"/>
        <v>9.4363791631084534E-2</v>
      </c>
      <c r="ER38" s="105">
        <f t="shared" si="143"/>
        <v>0.11304700162074556</v>
      </c>
      <c r="ES38" s="106">
        <f t="shared" si="143"/>
        <v>9.7916666666666666E-2</v>
      </c>
      <c r="ET38" s="107">
        <f t="shared" si="143"/>
        <v>0.10485810485810487</v>
      </c>
      <c r="EU38" s="106">
        <f t="shared" si="143"/>
        <v>9.3158660844250368E-2</v>
      </c>
      <c r="EV38" s="108">
        <f t="shared" si="143"/>
        <v>0.10623084780388151</v>
      </c>
      <c r="EW38" s="106">
        <f t="shared" si="143"/>
        <v>0.10406091370558374</v>
      </c>
      <c r="EX38" s="109">
        <f t="shared" si="143"/>
        <v>0.11935866983372921</v>
      </c>
      <c r="EY38" s="106">
        <f t="shared" si="143"/>
        <v>9.8796706776440785E-2</v>
      </c>
      <c r="EZ38" s="110">
        <f t="shared" si="143"/>
        <v>0.11658249158249159</v>
      </c>
      <c r="FA38" s="106">
        <f t="shared" si="143"/>
        <v>0.11000433087916847</v>
      </c>
      <c r="FB38" s="107">
        <f t="shared" si="143"/>
        <v>0.1072883657763694</v>
      </c>
      <c r="FC38" s="107">
        <f t="shared" si="143"/>
        <v>0.111358574610245</v>
      </c>
      <c r="FD38" s="107">
        <f t="shared" si="143"/>
        <v>9.4339622641509427E-2</v>
      </c>
      <c r="FE38" s="107">
        <f t="shared" si="143"/>
        <v>0.10292682926829269</v>
      </c>
      <c r="FF38" s="107">
        <f t="shared" si="143"/>
        <v>9.0280976508521432E-2</v>
      </c>
      <c r="FG38" s="116">
        <f t="shared" si="143"/>
        <v>8.1661222585160995E-2</v>
      </c>
      <c r="FH38" s="115">
        <f t="shared" si="143"/>
        <v>7.505518763796909E-2</v>
      </c>
      <c r="FI38" s="116">
        <f t="shared" si="143"/>
        <v>7.8838174273858919E-2</v>
      </c>
      <c r="FJ38" s="227">
        <f t="shared" si="143"/>
        <v>8.468468468468468E-2</v>
      </c>
      <c r="FK38" s="116">
        <f t="shared" si="143"/>
        <v>7.3636363636363639E-2</v>
      </c>
      <c r="FL38" s="228">
        <f t="shared" si="143"/>
        <v>0.1066982809721399</v>
      </c>
      <c r="FM38" s="116">
        <f t="shared" si="143"/>
        <v>7.4673864147548369E-2</v>
      </c>
      <c r="FN38" s="115">
        <f t="shared" si="143"/>
        <v>8.0086580086580081E-2</v>
      </c>
      <c r="FO38" s="116">
        <f t="shared" si="143"/>
        <v>8.6389961389961384E-2</v>
      </c>
      <c r="FP38" s="117">
        <f t="shared" si="143"/>
        <v>0.10099947396107312</v>
      </c>
      <c r="FQ38" s="116">
        <f t="shared" si="143"/>
        <v>0.10294117647058823</v>
      </c>
      <c r="FR38" s="118">
        <f t="shared" si="143"/>
        <v>0.12095808383233533</v>
      </c>
      <c r="FS38" s="119">
        <f t="shared" si="143"/>
        <v>0.13578108763422239</v>
      </c>
      <c r="FT38" s="118">
        <f t="shared" si="143"/>
        <v>0.15617232808616408</v>
      </c>
      <c r="FU38" s="120">
        <f t="shared" si="143"/>
        <v>0.10460069444444443</v>
      </c>
      <c r="FV38" s="118">
        <f t="shared" si="143"/>
        <v>0.11999999999999998</v>
      </c>
      <c r="FW38" s="121">
        <f t="shared" si="143"/>
        <v>0.1275992438563327</v>
      </c>
      <c r="FX38" s="118">
        <f t="shared" si="143"/>
        <v>0.12199563000728333</v>
      </c>
      <c r="FY38" s="122">
        <f t="shared" si="143"/>
        <v>0.13210492252636385</v>
      </c>
      <c r="FZ38" s="118">
        <f t="shared" si="143"/>
        <v>0.14169254658385091</v>
      </c>
      <c r="GA38" s="123">
        <f t="shared" si="143"/>
        <v>0.13587921847246892</v>
      </c>
      <c r="GB38" s="123">
        <f t="shared" si="143"/>
        <v>0.12709030100334448</v>
      </c>
      <c r="GC38" s="123">
        <f t="shared" si="143"/>
        <v>0.12362637362637363</v>
      </c>
      <c r="GD38" s="229">
        <f t="shared" si="143"/>
        <v>0.14035087719298245</v>
      </c>
      <c r="GE38" s="229">
        <f t="shared" si="143"/>
        <v>0.11722222222222221</v>
      </c>
      <c r="GF38" s="126">
        <f t="shared" si="143"/>
        <v>0.1099476439790576</v>
      </c>
      <c r="GG38" s="124">
        <f t="shared" si="143"/>
        <v>0.13820492454328834</v>
      </c>
      <c r="GH38" s="127">
        <f t="shared" si="143"/>
        <v>0.11574406901509705</v>
      </c>
      <c r="GI38" s="124">
        <f t="shared" si="143"/>
        <v>0.10836363636363636</v>
      </c>
      <c r="GJ38" s="128">
        <f t="shared" si="143"/>
        <v>8.8902513795217658E-2</v>
      </c>
      <c r="GK38" s="229">
        <f t="shared" si="143"/>
        <v>0.1142857142857143</v>
      </c>
      <c r="GL38" s="229">
        <f t="shared" si="143"/>
        <v>0.10791366906474818</v>
      </c>
      <c r="GM38" s="229">
        <f t="shared" si="143"/>
        <v>0.11851851851851851</v>
      </c>
      <c r="GN38" s="229">
        <f t="shared" si="143"/>
        <v>0.10322580645161292</v>
      </c>
      <c r="GO38" s="229">
        <f t="shared" si="143"/>
        <v>0.1</v>
      </c>
      <c r="GP38" s="229">
        <f t="shared" si="143"/>
        <v>0.10958904109589042</v>
      </c>
      <c r="GQ38" s="229">
        <f t="shared" si="143"/>
        <v>0.11538461538461539</v>
      </c>
      <c r="GR38" s="229">
        <f t="shared" si="143"/>
        <v>0.10317460317460318</v>
      </c>
      <c r="GS38" s="229">
        <f t="shared" si="143"/>
        <v>0.12</v>
      </c>
      <c r="GT38" s="92">
        <f t="shared" si="143"/>
        <v>8.8785046728971972E-2</v>
      </c>
      <c r="GU38" s="92">
        <f t="shared" si="143"/>
        <v>8.3754512635379058E-2</v>
      </c>
      <c r="GV38" s="130">
        <f t="shared" si="143"/>
        <v>0.10530482977038798</v>
      </c>
      <c r="GW38" s="91">
        <f t="shared" si="143"/>
        <v>0.12318840579710144</v>
      </c>
      <c r="GX38" s="94">
        <f t="shared" si="143"/>
        <v>0.11593554162936437</v>
      </c>
      <c r="GY38" s="92">
        <f t="shared" si="143"/>
        <v>0.1133553173948887</v>
      </c>
      <c r="GZ38" s="90">
        <f t="shared" si="143"/>
        <v>9.7108175651553039E-2</v>
      </c>
      <c r="HA38" s="92">
        <f t="shared" si="143"/>
        <v>0.1067193675889328</v>
      </c>
      <c r="HB38" s="91">
        <f t="shared" si="143"/>
        <v>0.10908281389136242</v>
      </c>
      <c r="HC38" s="93">
        <f t="shared" ref="HC38:HF38" si="144">HC36/HC2</f>
        <v>9.1431095406360421E-2</v>
      </c>
      <c r="HD38" s="92">
        <f t="shared" si="144"/>
        <v>9.5793419408579772E-2</v>
      </c>
      <c r="HE38" s="94">
        <f t="shared" si="144"/>
        <v>0.12210953346855984</v>
      </c>
      <c r="HF38" s="92">
        <f t="shared" si="144"/>
        <v>9.5771144278606973E-2</v>
      </c>
      <c r="HG38" s="18"/>
      <c r="HH38" s="18"/>
    </row>
    <row r="39" spans="1:216" customFormat="1" x14ac:dyDescent="0.25">
      <c r="A39" t="s">
        <v>30</v>
      </c>
      <c r="B39" s="48">
        <f>B36/B37</f>
        <v>2.0975609756097562</v>
      </c>
      <c r="C39" s="24">
        <f t="shared" ref="C39:BW39" si="145">C36/C37</f>
        <v>1.3869346733668342</v>
      </c>
      <c r="D39" s="49">
        <f t="shared" si="145"/>
        <v>1.9523809523809523</v>
      </c>
      <c r="E39" s="50">
        <f t="shared" si="145"/>
        <v>2.1785714285714284</v>
      </c>
      <c r="F39" s="24">
        <f t="shared" si="145"/>
        <v>1.859154929577465</v>
      </c>
      <c r="G39" s="51">
        <f t="shared" si="145"/>
        <v>1.8416666666666668</v>
      </c>
      <c r="H39" s="24">
        <f t="shared" si="145"/>
        <v>1.8235294117647058</v>
      </c>
      <c r="I39" s="49">
        <f t="shared" si="145"/>
        <v>1.6935483870967742</v>
      </c>
      <c r="J39" s="24">
        <f t="shared" si="145"/>
        <v>1.8833333333333335</v>
      </c>
      <c r="K39" s="48">
        <f t="shared" si="145"/>
        <v>1.9252873563218393</v>
      </c>
      <c r="L39" s="24">
        <f t="shared" si="145"/>
        <v>2.1342281879194633</v>
      </c>
      <c r="M39" s="50">
        <f t="shared" si="145"/>
        <v>1.8531468531468533</v>
      </c>
      <c r="N39" s="24">
        <f t="shared" si="145"/>
        <v>1.5220588235294117</v>
      </c>
      <c r="O39" s="51">
        <f t="shared" si="145"/>
        <v>1.8857142857142859</v>
      </c>
      <c r="P39" s="24">
        <f t="shared" si="145"/>
        <v>1.5496183206106871</v>
      </c>
      <c r="Q39" s="24">
        <f t="shared" si="145"/>
        <v>1.3700787401574801</v>
      </c>
      <c r="R39" s="52">
        <f t="shared" si="145"/>
        <v>1.8861788617886179</v>
      </c>
      <c r="S39" s="53">
        <f t="shared" si="145"/>
        <v>2.9571428571428569</v>
      </c>
      <c r="T39" s="22">
        <f t="shared" si="145"/>
        <v>1.8833333333333335</v>
      </c>
      <c r="U39" s="54">
        <f t="shared" si="145"/>
        <v>1.2360248447204969</v>
      </c>
      <c r="V39" s="22">
        <f t="shared" si="145"/>
        <v>1.6859504132231404</v>
      </c>
      <c r="W39" s="55">
        <f t="shared" si="145"/>
        <v>2.0085470085470085</v>
      </c>
      <c r="X39" s="22">
        <f t="shared" si="145"/>
        <v>1.6372549019607845</v>
      </c>
      <c r="Y39" s="52">
        <f t="shared" si="145"/>
        <v>2</v>
      </c>
      <c r="Z39" s="22">
        <f t="shared" si="145"/>
        <v>2.1999999999999997</v>
      </c>
      <c r="AA39" s="56">
        <f t="shared" si="145"/>
        <v>1.7</v>
      </c>
      <c r="AB39" s="22">
        <f t="shared" si="145"/>
        <v>1.7777777777777779</v>
      </c>
      <c r="AC39" s="22">
        <f t="shared" si="145"/>
        <v>1.31</v>
      </c>
      <c r="AD39" s="22">
        <f t="shared" si="145"/>
        <v>1.8199999999999998</v>
      </c>
      <c r="AE39" s="22">
        <f t="shared" si="145"/>
        <v>1.6166666666666667</v>
      </c>
      <c r="AF39" s="22">
        <f t="shared" si="145"/>
        <v>1.4166666666666667</v>
      </c>
      <c r="AG39" s="57">
        <f t="shared" si="145"/>
        <v>1.3103448275862071</v>
      </c>
      <c r="AH39" s="60">
        <f t="shared" si="145"/>
        <v>1.5126050420168067</v>
      </c>
      <c r="AI39" s="59">
        <f t="shared" si="145"/>
        <v>1.3173076923076925</v>
      </c>
      <c r="AJ39" s="60">
        <f t="shared" si="145"/>
        <v>1.5157894736842104</v>
      </c>
      <c r="AK39" s="61">
        <f t="shared" si="145"/>
        <v>1.5803571428571428</v>
      </c>
      <c r="AL39" s="60">
        <f t="shared" si="145"/>
        <v>1.4695652173913043</v>
      </c>
      <c r="AM39" s="60">
        <f t="shared" si="145"/>
        <v>1.4489795918367345</v>
      </c>
      <c r="AN39" s="60">
        <f t="shared" si="145"/>
        <v>1.663716814159292</v>
      </c>
      <c r="AO39" s="62">
        <f t="shared" si="145"/>
        <v>1.9178082191780825</v>
      </c>
      <c r="AP39" s="63">
        <f t="shared" si="145"/>
        <v>2.5735294117647056</v>
      </c>
      <c r="AQ39" s="64">
        <f t="shared" si="145"/>
        <v>2.8148148148148149</v>
      </c>
      <c r="AR39" s="65">
        <f t="shared" si="145"/>
        <v>2.948051948051948</v>
      </c>
      <c r="AS39" s="64">
        <f t="shared" si="145"/>
        <v>2.867469879518072</v>
      </c>
      <c r="AT39" s="66">
        <f t="shared" si="145"/>
        <v>3.1866666666666665</v>
      </c>
      <c r="AU39" s="64">
        <f t="shared" si="145"/>
        <v>2.6860465116279073</v>
      </c>
      <c r="AV39" s="67">
        <f t="shared" si="145"/>
        <v>2.9125000000000001</v>
      </c>
      <c r="AW39" s="63">
        <f t="shared" si="145"/>
        <v>2.6301369863013702</v>
      </c>
      <c r="AX39" s="68">
        <f t="shared" si="145"/>
        <v>1.6302521008403363</v>
      </c>
      <c r="AY39" s="69">
        <f t="shared" si="145"/>
        <v>1.3356643356643358</v>
      </c>
      <c r="AZ39" s="68">
        <f t="shared" si="145"/>
        <v>1.4090909090909089</v>
      </c>
      <c r="BA39" s="70">
        <f t="shared" si="145"/>
        <v>1.38</v>
      </c>
      <c r="BB39" s="68">
        <f t="shared" si="145"/>
        <v>2.2990654205607477</v>
      </c>
      <c r="BC39" s="71">
        <f t="shared" si="145"/>
        <v>2.2962962962962963</v>
      </c>
      <c r="BD39" s="68">
        <f t="shared" si="145"/>
        <v>2.057377049180328</v>
      </c>
      <c r="BE39" s="72">
        <f t="shared" si="145"/>
        <v>2.2975206611570251</v>
      </c>
      <c r="BF39" s="68">
        <f t="shared" si="145"/>
        <v>1.6417910447761193</v>
      </c>
      <c r="BG39" s="221"/>
      <c r="BH39" s="222"/>
      <c r="BI39" s="223">
        <f t="shared" si="145"/>
        <v>2.3636363636363638</v>
      </c>
      <c r="BJ39" s="41">
        <f t="shared" si="145"/>
        <v>1.7719298245614035</v>
      </c>
      <c r="BK39" s="76">
        <f t="shared" si="145"/>
        <v>2.0090090090090089</v>
      </c>
      <c r="BL39" s="41">
        <f t="shared" si="145"/>
        <v>2.1379310344827589</v>
      </c>
      <c r="BM39" s="77">
        <f t="shared" si="145"/>
        <v>2.2291666666666665</v>
      </c>
      <c r="BN39" s="77">
        <f t="shared" si="145"/>
        <v>1.4090909090909092</v>
      </c>
      <c r="BO39" s="77">
        <f t="shared" si="145"/>
        <v>1.7040816326530612</v>
      </c>
      <c r="BP39" s="77">
        <f t="shared" si="145"/>
        <v>1.8454545454545457</v>
      </c>
      <c r="BQ39" s="77">
        <f t="shared" si="145"/>
        <v>2.1379310344827589</v>
      </c>
      <c r="BR39" s="77">
        <f t="shared" si="145"/>
        <v>1.8380952380952382</v>
      </c>
      <c r="BS39" s="224">
        <f t="shared" si="145"/>
        <v>2.5567010309278349</v>
      </c>
      <c r="BT39" s="20">
        <f t="shared" si="145"/>
        <v>1.8181818181818183</v>
      </c>
      <c r="BU39" s="225">
        <f t="shared" si="145"/>
        <v>2.62</v>
      </c>
      <c r="BV39" s="211">
        <f t="shared" si="145"/>
        <v>1.9880952380952381</v>
      </c>
      <c r="BW39" s="20">
        <f t="shared" si="145"/>
        <v>2.2500000000000004</v>
      </c>
      <c r="BX39" s="82">
        <f t="shared" ref="BX39:FB39" si="146">BX36/BX37</f>
        <v>1.5</v>
      </c>
      <c r="BY39" s="20">
        <f t="shared" si="146"/>
        <v>1.2727272727272729</v>
      </c>
      <c r="BZ39" s="83">
        <f t="shared" si="146"/>
        <v>2</v>
      </c>
      <c r="CA39" s="20">
        <f t="shared" si="146"/>
        <v>1.7777777777777779</v>
      </c>
      <c r="CB39" s="20">
        <f t="shared" si="146"/>
        <v>2.1838235294117645</v>
      </c>
      <c r="CC39" s="84">
        <f t="shared" si="146"/>
        <v>1.7</v>
      </c>
      <c r="CD39" s="85">
        <f t="shared" si="146"/>
        <v>1.714285714285714</v>
      </c>
      <c r="CE39" s="84">
        <f t="shared" si="146"/>
        <v>1.6666666666666667</v>
      </c>
      <c r="CF39" s="219">
        <f t="shared" si="146"/>
        <v>2.5384615384615383</v>
      </c>
      <c r="CG39" s="84">
        <f t="shared" si="146"/>
        <v>2.8999999999999995</v>
      </c>
      <c r="CH39" s="84">
        <f t="shared" si="146"/>
        <v>2.4166666666666665</v>
      </c>
      <c r="CI39" s="84">
        <f t="shared" si="146"/>
        <v>2.6153846153846154</v>
      </c>
      <c r="CJ39" s="86">
        <f t="shared" si="146"/>
        <v>2</v>
      </c>
      <c r="CK39" s="84">
        <f t="shared" si="146"/>
        <v>2.2307692307692304</v>
      </c>
      <c r="CL39" s="84">
        <f t="shared" si="146"/>
        <v>2.4166666666666665</v>
      </c>
      <c r="CM39" s="94">
        <f t="shared" si="146"/>
        <v>3.2</v>
      </c>
      <c r="CN39" s="92">
        <f t="shared" si="146"/>
        <v>3.1081081081081083</v>
      </c>
      <c r="CO39" s="226">
        <f t="shared" si="146"/>
        <v>3.125</v>
      </c>
      <c r="CP39" s="92">
        <f t="shared" si="146"/>
        <v>2.2999999999999998</v>
      </c>
      <c r="CQ39" s="90">
        <f t="shared" si="146"/>
        <v>1.7239263803680982</v>
      </c>
      <c r="CR39" s="91">
        <f t="shared" si="146"/>
        <v>2.0236220472440944</v>
      </c>
      <c r="CS39" s="92">
        <f t="shared" si="146"/>
        <v>1.8923076923076922</v>
      </c>
      <c r="CT39" s="93">
        <f t="shared" si="146"/>
        <v>2.1818181818181817</v>
      </c>
      <c r="CU39" s="92">
        <f t="shared" si="146"/>
        <v>2.7</v>
      </c>
      <c r="CV39" s="94">
        <f t="shared" si="146"/>
        <v>2.8000000000000003</v>
      </c>
      <c r="CW39" s="248">
        <f t="shared" si="146"/>
        <v>1.4375</v>
      </c>
      <c r="CX39" s="246">
        <f t="shared" si="146"/>
        <v>1.7901234567901232</v>
      </c>
      <c r="CY39" s="255">
        <f t="shared" si="146"/>
        <v>1.5211267605633805</v>
      </c>
      <c r="CZ39" s="246">
        <f t="shared" si="146"/>
        <v>1.5950413223140496</v>
      </c>
      <c r="DA39" s="247">
        <f t="shared" si="146"/>
        <v>1.8876404494382024</v>
      </c>
      <c r="DB39" s="246">
        <f t="shared" si="146"/>
        <v>1.4166666666666667</v>
      </c>
      <c r="DC39" s="248">
        <f t="shared" si="146"/>
        <v>1.7075471698113207</v>
      </c>
      <c r="DD39" s="249">
        <f t="shared" si="146"/>
        <v>1.6363636363636362</v>
      </c>
      <c r="DE39" s="249">
        <f t="shared" si="146"/>
        <v>1.5999999999999999</v>
      </c>
      <c r="DF39" s="249">
        <f t="shared" si="146"/>
        <v>2.125</v>
      </c>
      <c r="DG39" s="249">
        <f t="shared" si="146"/>
        <v>1.2142857142857142</v>
      </c>
      <c r="DH39" s="249">
        <f t="shared" si="146"/>
        <v>1.3076923076923077</v>
      </c>
      <c r="DI39" s="249">
        <f t="shared" si="146"/>
        <v>1.4166666666666667</v>
      </c>
      <c r="DJ39" s="95">
        <f t="shared" si="146"/>
        <v>2.457943925233645</v>
      </c>
      <c r="DK39" s="96">
        <f t="shared" si="146"/>
        <v>2.0588235294117649</v>
      </c>
      <c r="DL39" s="97">
        <f t="shared" si="146"/>
        <v>2.666666666666667</v>
      </c>
      <c r="DM39" s="98"/>
      <c r="DN39" s="96">
        <f t="shared" si="146"/>
        <v>1.7500000000000002</v>
      </c>
      <c r="DO39" s="99">
        <f t="shared" si="146"/>
        <v>2.0769230769230771</v>
      </c>
      <c r="DP39" s="96">
        <f t="shared" si="146"/>
        <v>1.75</v>
      </c>
      <c r="DQ39" s="96">
        <f t="shared" si="146"/>
        <v>1.5354838709677419</v>
      </c>
      <c r="DR39" s="96">
        <f t="shared" si="146"/>
        <v>1.6790123456790125</v>
      </c>
      <c r="DS39" s="96">
        <f t="shared" si="146"/>
        <v>1.2864864864864864</v>
      </c>
      <c r="DT39" s="41">
        <f t="shared" si="146"/>
        <v>1.528846153846154</v>
      </c>
      <c r="DU39" s="41">
        <f t="shared" si="146"/>
        <v>1.9903846153846154</v>
      </c>
      <c r="DV39" s="41">
        <f t="shared" si="146"/>
        <v>1.6339285714285714</v>
      </c>
      <c r="DW39" s="41">
        <f t="shared" si="146"/>
        <v>1.481203007518797</v>
      </c>
      <c r="DX39" s="41">
        <f t="shared" si="146"/>
        <v>1.8518518518518521</v>
      </c>
      <c r="DY39" s="41">
        <f t="shared" si="146"/>
        <v>1.2820512820512819</v>
      </c>
      <c r="DZ39" s="41">
        <f t="shared" si="146"/>
        <v>1.4476190476190476</v>
      </c>
      <c r="EA39" s="41">
        <f t="shared" si="146"/>
        <v>1.2977099236641221</v>
      </c>
      <c r="EB39" s="41">
        <f t="shared" si="146"/>
        <v>1.3809523809523809</v>
      </c>
      <c r="EC39" s="41">
        <f t="shared" si="146"/>
        <v>1.3584905660377358</v>
      </c>
      <c r="ED39" s="41">
        <f t="shared" si="146"/>
        <v>1.7530864197530862</v>
      </c>
      <c r="EE39" s="100">
        <f t="shared" si="146"/>
        <v>3.1979166666666665</v>
      </c>
      <c r="EF39" s="101">
        <f t="shared" si="146"/>
        <v>2.9203539823008851</v>
      </c>
      <c r="EG39" s="100">
        <f t="shared" si="146"/>
        <v>3.2857142857142856</v>
      </c>
      <c r="EH39" s="102">
        <f t="shared" si="146"/>
        <v>3.2653061224489797</v>
      </c>
      <c r="EI39" s="100">
        <f t="shared" si="146"/>
        <v>1.8938053097345131</v>
      </c>
      <c r="EJ39" s="103">
        <f t="shared" si="146"/>
        <v>2.2627118644067798</v>
      </c>
      <c r="EK39" s="100">
        <f t="shared" si="146"/>
        <v>1.8787878787878787</v>
      </c>
      <c r="EL39" s="104">
        <f t="shared" si="146"/>
        <v>1.9830508474576274</v>
      </c>
      <c r="EM39" s="100">
        <f t="shared" si="146"/>
        <v>2.0540540540540539</v>
      </c>
      <c r="EN39" s="105">
        <f t="shared" si="146"/>
        <v>2.3404255319148937</v>
      </c>
      <c r="EO39" s="105">
        <f t="shared" si="146"/>
        <v>2.0869565217391304</v>
      </c>
      <c r="EP39" s="105">
        <f t="shared" si="146"/>
        <v>2.17</v>
      </c>
      <c r="EQ39" s="105">
        <f t="shared" si="146"/>
        <v>1.7265625</v>
      </c>
      <c r="ER39" s="105">
        <f t="shared" si="146"/>
        <v>1.8600000000000003</v>
      </c>
      <c r="ES39" s="106">
        <f t="shared" si="146"/>
        <v>1.4687499999999998</v>
      </c>
      <c r="ET39" s="107">
        <f t="shared" si="146"/>
        <v>1.7165354330708662</v>
      </c>
      <c r="EU39" s="106">
        <f t="shared" si="146"/>
        <v>1.6134453781512605</v>
      </c>
      <c r="EV39" s="108">
        <f t="shared" si="146"/>
        <v>1.5999999999999999</v>
      </c>
      <c r="EW39" s="106">
        <f t="shared" si="146"/>
        <v>1.6141732283464565</v>
      </c>
      <c r="EX39" s="109">
        <f t="shared" si="146"/>
        <v>1.8611111111111112</v>
      </c>
      <c r="EY39" s="106">
        <f t="shared" si="146"/>
        <v>1.5445544554455444</v>
      </c>
      <c r="EZ39" s="110">
        <f t="shared" si="146"/>
        <v>1.9928057553956835</v>
      </c>
      <c r="FA39" s="106">
        <f t="shared" si="146"/>
        <v>1.9097744360902256</v>
      </c>
      <c r="FB39" s="107">
        <f t="shared" si="146"/>
        <v>1.8230769230769228</v>
      </c>
      <c r="FC39" s="107">
        <f t="shared" ref="FC39:HF39" si="147">FC36/FC37</f>
        <v>2</v>
      </c>
      <c r="FD39" s="107">
        <f t="shared" si="147"/>
        <v>1.7452830188679245</v>
      </c>
      <c r="FE39" s="107">
        <f t="shared" si="147"/>
        <v>1.6746031746031744</v>
      </c>
      <c r="FF39" s="107">
        <f t="shared" si="147"/>
        <v>1.8666666666666669</v>
      </c>
      <c r="FG39" s="116">
        <f t="shared" si="147"/>
        <v>1.805985552115583</v>
      </c>
      <c r="FH39" s="115">
        <f t="shared" si="147"/>
        <v>1.847826086956522</v>
      </c>
      <c r="FI39" s="116">
        <f t="shared" si="147"/>
        <v>1.9</v>
      </c>
      <c r="FJ39" s="227">
        <f t="shared" si="147"/>
        <v>2.4736842105263159</v>
      </c>
      <c r="FK39" s="116">
        <f t="shared" si="147"/>
        <v>2.3142857142857141</v>
      </c>
      <c r="FL39" s="228">
        <f t="shared" si="147"/>
        <v>1.9148936170212765</v>
      </c>
      <c r="FM39" s="116">
        <f t="shared" si="147"/>
        <v>1.7113402061855671</v>
      </c>
      <c r="FN39" s="115">
        <f t="shared" si="147"/>
        <v>2.5342465753424657</v>
      </c>
      <c r="FO39" s="116">
        <f t="shared" si="147"/>
        <v>1.7549019607843137</v>
      </c>
      <c r="FP39" s="117">
        <f t="shared" si="147"/>
        <v>2.1098901098901099</v>
      </c>
      <c r="FQ39" s="116">
        <f t="shared" si="147"/>
        <v>1.9444444444444444</v>
      </c>
      <c r="FR39" s="118">
        <f t="shared" si="147"/>
        <v>2.195652173913043</v>
      </c>
      <c r="FS39" s="119">
        <f t="shared" si="147"/>
        <v>2.6308724832214767</v>
      </c>
      <c r="FT39" s="118">
        <f t="shared" si="147"/>
        <v>1.7214611872146119</v>
      </c>
      <c r="FU39" s="120">
        <f t="shared" si="147"/>
        <v>1.5350318471337578</v>
      </c>
      <c r="FV39" s="118">
        <f t="shared" si="147"/>
        <v>2.5871559633027519</v>
      </c>
      <c r="FW39" s="121">
        <f t="shared" si="147"/>
        <v>2.1428571428571428</v>
      </c>
      <c r="FX39" s="118">
        <f t="shared" si="147"/>
        <v>2.2635135135135136</v>
      </c>
      <c r="FY39" s="122">
        <f t="shared" si="147"/>
        <v>2.224358974358974</v>
      </c>
      <c r="FZ39" s="118">
        <f t="shared" si="147"/>
        <v>2.3548387096774195</v>
      </c>
      <c r="GA39" s="123">
        <f t="shared" si="147"/>
        <v>2</v>
      </c>
      <c r="GB39" s="123">
        <f t="shared" si="147"/>
        <v>2.2352941176470589</v>
      </c>
      <c r="GC39" s="123">
        <f t="shared" si="147"/>
        <v>2.0769230769230771</v>
      </c>
      <c r="GD39" s="229">
        <f t="shared" si="147"/>
        <v>2.24390243902439</v>
      </c>
      <c r="GE39" s="229">
        <f t="shared" si="147"/>
        <v>1.9009009009009008</v>
      </c>
      <c r="GF39" s="126">
        <f t="shared" si="147"/>
        <v>1.931034482758621</v>
      </c>
      <c r="GG39" s="124">
        <f t="shared" si="147"/>
        <v>1.8510638297872339</v>
      </c>
      <c r="GH39" s="127">
        <f t="shared" si="147"/>
        <v>1.8720930232558142</v>
      </c>
      <c r="GI39" s="124">
        <f t="shared" si="147"/>
        <v>2.0694444444444446</v>
      </c>
      <c r="GJ39" s="128">
        <f t="shared" si="147"/>
        <v>1.4948453608247421</v>
      </c>
      <c r="GK39" s="229">
        <f t="shared" si="147"/>
        <v>1.7777777777777779</v>
      </c>
      <c r="GL39" s="229">
        <f t="shared" si="147"/>
        <v>1.875</v>
      </c>
      <c r="GM39" s="229">
        <f t="shared" si="147"/>
        <v>2.2857142857142856</v>
      </c>
      <c r="GN39" s="229">
        <f t="shared" si="147"/>
        <v>1.4545454545454546</v>
      </c>
      <c r="GO39" s="229">
        <f t="shared" si="147"/>
        <v>1.3</v>
      </c>
      <c r="GP39" s="229">
        <f t="shared" si="147"/>
        <v>1.7777777777777779</v>
      </c>
      <c r="GQ39" s="229">
        <f t="shared" si="147"/>
        <v>1.6666666666666667</v>
      </c>
      <c r="GR39" s="229">
        <f t="shared" si="147"/>
        <v>2.166666666666667</v>
      </c>
      <c r="GS39" s="229">
        <f t="shared" si="147"/>
        <v>2.25</v>
      </c>
      <c r="GT39" s="92">
        <f t="shared" si="147"/>
        <v>3.166666666666667</v>
      </c>
      <c r="GU39" s="92">
        <f t="shared" si="147"/>
        <v>1.8560000000000001</v>
      </c>
      <c r="GV39" s="130">
        <f t="shared" si="147"/>
        <v>1.9275362318840579</v>
      </c>
      <c r="GW39" s="91">
        <f t="shared" si="147"/>
        <v>3.0222222222222226</v>
      </c>
      <c r="GX39" s="94">
        <f t="shared" si="147"/>
        <v>2.78494623655914</v>
      </c>
      <c r="GY39" s="92">
        <f t="shared" si="147"/>
        <v>2.291666666666667</v>
      </c>
      <c r="GZ39" s="90">
        <f t="shared" si="147"/>
        <v>2.1760000000000002</v>
      </c>
      <c r="HA39" s="92">
        <f t="shared" si="147"/>
        <v>3.1034482758620694</v>
      </c>
      <c r="HB39" s="91">
        <f t="shared" si="147"/>
        <v>3.141025641025641</v>
      </c>
      <c r="HC39" s="93">
        <f t="shared" si="147"/>
        <v>2.9571428571428569</v>
      </c>
      <c r="HD39" s="92">
        <f t="shared" si="147"/>
        <v>2.9487179487179489</v>
      </c>
      <c r="HE39" s="94">
        <f t="shared" si="147"/>
        <v>2.7870370370370368</v>
      </c>
      <c r="HF39" s="92">
        <f t="shared" si="147"/>
        <v>2.40625</v>
      </c>
      <c r="HG39" s="18"/>
      <c r="HH39" s="18"/>
    </row>
    <row r="40" spans="1:216" customFormat="1" x14ac:dyDescent="0.25">
      <c r="A40" t="s">
        <v>29</v>
      </c>
      <c r="B40" s="48">
        <f t="shared" ref="B40:BV40" si="148">B36/B7</f>
        <v>0.303886925795053</v>
      </c>
      <c r="C40" s="24">
        <f t="shared" si="148"/>
        <v>0.28870292887029292</v>
      </c>
      <c r="D40" s="49">
        <f t="shared" si="148"/>
        <v>0.2669767441860465</v>
      </c>
      <c r="E40" s="50">
        <f t="shared" si="148"/>
        <v>0.26068376068376065</v>
      </c>
      <c r="F40" s="24">
        <f t="shared" si="148"/>
        <v>0.27104722792607805</v>
      </c>
      <c r="G40" s="51">
        <f t="shared" si="148"/>
        <v>0.26755447941888622</v>
      </c>
      <c r="H40" s="24">
        <f t="shared" si="148"/>
        <v>0.28477690288713908</v>
      </c>
      <c r="I40" s="49">
        <f t="shared" si="148"/>
        <v>0.25392986698911729</v>
      </c>
      <c r="J40" s="24">
        <f t="shared" si="148"/>
        <v>0.29011553273427471</v>
      </c>
      <c r="K40" s="48">
        <f t="shared" si="148"/>
        <v>0.31455399061032868</v>
      </c>
      <c r="L40" s="24">
        <f t="shared" si="148"/>
        <v>0.28648648648648645</v>
      </c>
      <c r="M40" s="50">
        <f t="shared" si="148"/>
        <v>0.27632950990615229</v>
      </c>
      <c r="N40" s="24">
        <f t="shared" si="148"/>
        <v>0.25618811881188114</v>
      </c>
      <c r="O40" s="51">
        <f t="shared" si="148"/>
        <v>0.25158831003811943</v>
      </c>
      <c r="P40" s="24">
        <f t="shared" si="148"/>
        <v>0.26059050064184852</v>
      </c>
      <c r="Q40" s="24">
        <f t="shared" si="148"/>
        <v>0.24507042253521127</v>
      </c>
      <c r="R40" s="52">
        <f t="shared" si="148"/>
        <v>0.2416666666666667</v>
      </c>
      <c r="S40" s="53">
        <f t="shared" si="148"/>
        <v>0.22999999999999998</v>
      </c>
      <c r="T40" s="22">
        <f t="shared" si="148"/>
        <v>0.24301075268817204</v>
      </c>
      <c r="U40" s="54">
        <f t="shared" si="148"/>
        <v>0.19742063492063494</v>
      </c>
      <c r="V40" s="22">
        <f t="shared" si="148"/>
        <v>0.23529411764705882</v>
      </c>
      <c r="W40" s="55">
        <f t="shared" si="148"/>
        <v>0.25460455037919821</v>
      </c>
      <c r="X40" s="22">
        <f t="shared" si="148"/>
        <v>0.22296395193591456</v>
      </c>
      <c r="Y40" s="52">
        <f t="shared" si="148"/>
        <v>0.2608695652173913</v>
      </c>
      <c r="Z40" s="22">
        <f t="shared" si="148"/>
        <v>0.21782178217821782</v>
      </c>
      <c r="AA40" s="56">
        <f t="shared" si="148"/>
        <v>0.21794871794871795</v>
      </c>
      <c r="AB40" s="22">
        <f t="shared" si="148"/>
        <v>0.21333333333333335</v>
      </c>
      <c r="AC40" s="22">
        <f t="shared" si="148"/>
        <v>0.225085910652921</v>
      </c>
      <c r="AD40" s="22">
        <f t="shared" si="148"/>
        <v>0.26376811594202898</v>
      </c>
      <c r="AE40" s="22">
        <f t="shared" si="148"/>
        <v>0.25162127107652399</v>
      </c>
      <c r="AF40" s="22">
        <f t="shared" si="148"/>
        <v>0.23287671232876714</v>
      </c>
      <c r="AG40" s="57">
        <f t="shared" si="148"/>
        <v>0.25165562913907286</v>
      </c>
      <c r="AH40" s="60">
        <f t="shared" si="148"/>
        <v>0.23684210526315788</v>
      </c>
      <c r="AI40" s="59">
        <f t="shared" si="148"/>
        <v>0.24596050269299821</v>
      </c>
      <c r="AJ40" s="60">
        <f t="shared" si="148"/>
        <v>0.23960066555740431</v>
      </c>
      <c r="AK40" s="61">
        <f t="shared" si="148"/>
        <v>0.25142045454545453</v>
      </c>
      <c r="AL40" s="60">
        <f t="shared" si="148"/>
        <v>0.24889543446244478</v>
      </c>
      <c r="AM40" s="60">
        <f t="shared" si="148"/>
        <v>0.21037037037037035</v>
      </c>
      <c r="AN40" s="60">
        <f t="shared" si="148"/>
        <v>0.26111111111111113</v>
      </c>
      <c r="AO40" s="62">
        <f t="shared" si="148"/>
        <v>0.21212121212121213</v>
      </c>
      <c r="AP40" s="63">
        <f t="shared" si="148"/>
        <v>0.27777777777777773</v>
      </c>
      <c r="AQ40" s="64">
        <f t="shared" si="148"/>
        <v>0.30198675496688743</v>
      </c>
      <c r="AR40" s="65">
        <f t="shared" si="148"/>
        <v>0.31748251748251749</v>
      </c>
      <c r="AS40" s="64">
        <f t="shared" si="148"/>
        <v>0.31860776439089689</v>
      </c>
      <c r="AT40" s="66">
        <f t="shared" si="148"/>
        <v>0.33240611961057026</v>
      </c>
      <c r="AU40" s="64">
        <f t="shared" si="148"/>
        <v>0.33722627737226274</v>
      </c>
      <c r="AV40" s="67">
        <f t="shared" si="148"/>
        <v>0.30617608409986863</v>
      </c>
      <c r="AW40" s="63">
        <f t="shared" si="148"/>
        <v>0.29675425038639874</v>
      </c>
      <c r="AX40" s="68">
        <f t="shared" si="148"/>
        <v>0.22558139534883723</v>
      </c>
      <c r="AY40" s="69">
        <f t="shared" si="148"/>
        <v>0.21222222222222223</v>
      </c>
      <c r="AZ40" s="68">
        <f t="shared" si="148"/>
        <v>0.2046204620462046</v>
      </c>
      <c r="BA40" s="70">
        <f t="shared" si="148"/>
        <v>0.2423887587822014</v>
      </c>
      <c r="BB40" s="68">
        <f t="shared" si="148"/>
        <v>0.23814133591481124</v>
      </c>
      <c r="BC40" s="71">
        <f t="shared" si="148"/>
        <v>0.26524064171122991</v>
      </c>
      <c r="BD40" s="68">
        <f t="shared" si="148"/>
        <v>0.26310272536687634</v>
      </c>
      <c r="BE40" s="72">
        <f t="shared" si="148"/>
        <v>0.28868120456905505</v>
      </c>
      <c r="BF40" s="68">
        <f t="shared" si="148"/>
        <v>0.2363050483351235</v>
      </c>
      <c r="BG40" s="221">
        <f t="shared" si="148"/>
        <v>0.17948717948717949</v>
      </c>
      <c r="BH40" s="222">
        <f t="shared" si="148"/>
        <v>0.20792079207920791</v>
      </c>
      <c r="BI40" s="223">
        <f t="shared" si="148"/>
        <v>0.22608695652173916</v>
      </c>
      <c r="BJ40" s="41">
        <f t="shared" si="148"/>
        <v>0.20675537359263052</v>
      </c>
      <c r="BK40" s="76">
        <f t="shared" si="148"/>
        <v>0.22479838709677419</v>
      </c>
      <c r="BL40" s="41">
        <f t="shared" si="148"/>
        <v>0.18470705064548165</v>
      </c>
      <c r="BM40" s="77">
        <f t="shared" si="148"/>
        <v>0.21881390593047034</v>
      </c>
      <c r="BN40" s="77">
        <f t="shared" si="148"/>
        <v>0.17474633596392333</v>
      </c>
      <c r="BO40" s="77">
        <f t="shared" si="148"/>
        <v>0.17784877529286477</v>
      </c>
      <c r="BP40" s="77">
        <f t="shared" si="148"/>
        <v>0.20820512820512824</v>
      </c>
      <c r="BQ40" s="77">
        <f t="shared" si="148"/>
        <v>0.17901828681424448</v>
      </c>
      <c r="BR40" s="77">
        <f t="shared" si="148"/>
        <v>0.19693877551020408</v>
      </c>
      <c r="BS40" s="224">
        <f t="shared" si="148"/>
        <v>0.23440453686200383</v>
      </c>
      <c r="BT40" s="20">
        <f t="shared" si="148"/>
        <v>0.23985239852398524</v>
      </c>
      <c r="BU40" s="225">
        <f t="shared" si="148"/>
        <v>0.27578947368421053</v>
      </c>
      <c r="BV40" s="211">
        <f t="shared" si="148"/>
        <v>0.20617283950617285</v>
      </c>
      <c r="BW40" s="20">
        <f t="shared" ref="BW40:DL40" si="149">BW36/BW7</f>
        <v>0.30337078651685395</v>
      </c>
      <c r="BX40" s="82">
        <f t="shared" si="149"/>
        <v>0.20930232558139533</v>
      </c>
      <c r="BY40" s="20">
        <f t="shared" si="149"/>
        <v>0.18181818181818182</v>
      </c>
      <c r="BZ40" s="83">
        <f t="shared" si="149"/>
        <v>0.23188405797101452</v>
      </c>
      <c r="CA40" s="20">
        <f t="shared" si="149"/>
        <v>0.21052631578947367</v>
      </c>
      <c r="CB40" s="20">
        <f t="shared" si="149"/>
        <v>0.27247706422018347</v>
      </c>
      <c r="CC40" s="84">
        <f t="shared" si="149"/>
        <v>0.27974683544303797</v>
      </c>
      <c r="CD40" s="85">
        <f t="shared" si="149"/>
        <v>0.27586206896551724</v>
      </c>
      <c r="CE40" s="84">
        <f t="shared" si="149"/>
        <v>0.27472527472527469</v>
      </c>
      <c r="CF40" s="219">
        <f t="shared" si="149"/>
        <v>0.28448275862068967</v>
      </c>
      <c r="CG40" s="84">
        <f t="shared" si="149"/>
        <v>0.28712871287128711</v>
      </c>
      <c r="CH40" s="84">
        <f t="shared" si="149"/>
        <v>0.29292929292929293</v>
      </c>
      <c r="CI40" s="84">
        <f t="shared" si="149"/>
        <v>0.30909090909090908</v>
      </c>
      <c r="CJ40" s="86">
        <f t="shared" si="149"/>
        <v>0.2718446601941748</v>
      </c>
      <c r="CK40" s="84">
        <f t="shared" si="149"/>
        <v>0.28999999999999998</v>
      </c>
      <c r="CL40" s="84">
        <f t="shared" si="149"/>
        <v>0.28999999999999998</v>
      </c>
      <c r="CM40" s="94">
        <f t="shared" si="149"/>
        <v>0.2696629213483146</v>
      </c>
      <c r="CN40" s="92">
        <f t="shared" si="149"/>
        <v>0.26436781609195403</v>
      </c>
      <c r="CO40" s="226">
        <f t="shared" si="149"/>
        <v>0.27347310847766637</v>
      </c>
      <c r="CP40" s="92">
        <f t="shared" si="149"/>
        <v>0.24210526315789477</v>
      </c>
      <c r="CQ40" s="90">
        <f t="shared" si="149"/>
        <v>0.2885010266940452</v>
      </c>
      <c r="CR40" s="91">
        <f t="shared" si="149"/>
        <v>0.27575107296137336</v>
      </c>
      <c r="CS40" s="92">
        <f t="shared" si="149"/>
        <v>0.26768226332970618</v>
      </c>
      <c r="CT40" s="93">
        <f t="shared" si="149"/>
        <v>0.27586206896551724</v>
      </c>
      <c r="CU40" s="92">
        <f t="shared" si="149"/>
        <v>0.2967032967032967</v>
      </c>
      <c r="CV40" s="94">
        <f t="shared" si="149"/>
        <v>0.28282828282828287</v>
      </c>
      <c r="CW40" s="248">
        <f t="shared" si="149"/>
        <v>0.1808988764044944</v>
      </c>
      <c r="CX40" s="246">
        <f t="shared" si="149"/>
        <v>0.19594594594594594</v>
      </c>
      <c r="CY40" s="255">
        <f t="shared" si="149"/>
        <v>0.2070949185043145</v>
      </c>
      <c r="CZ40" s="246">
        <f t="shared" si="149"/>
        <v>0.19184890656063619</v>
      </c>
      <c r="DA40" s="247">
        <f t="shared" si="149"/>
        <v>0.19557625145518046</v>
      </c>
      <c r="DB40" s="246">
        <f t="shared" si="149"/>
        <v>0.17489711934156379</v>
      </c>
      <c r="DC40" s="248">
        <f t="shared" si="149"/>
        <v>0.19803063457330414</v>
      </c>
      <c r="DD40" s="249">
        <f t="shared" si="149"/>
        <v>0.20454545454545453</v>
      </c>
      <c r="DE40" s="249">
        <f t="shared" si="149"/>
        <v>0.1797752808988764</v>
      </c>
      <c r="DF40" s="249">
        <f t="shared" si="149"/>
        <v>0.19767441860465118</v>
      </c>
      <c r="DG40" s="249">
        <f t="shared" si="149"/>
        <v>0.20238095238095241</v>
      </c>
      <c r="DH40" s="249">
        <f t="shared" si="149"/>
        <v>0.21249999999999999</v>
      </c>
      <c r="DI40" s="249">
        <f t="shared" si="149"/>
        <v>0.20238095238095241</v>
      </c>
      <c r="DJ40" s="95">
        <f t="shared" si="149"/>
        <v>0.27978723404255323</v>
      </c>
      <c r="DK40" s="96">
        <f t="shared" si="149"/>
        <v>0.29473684210526319</v>
      </c>
      <c r="DL40" s="97">
        <f t="shared" si="149"/>
        <v>0.29473684210526319</v>
      </c>
      <c r="DM40" s="98"/>
      <c r="DN40" s="96">
        <f t="shared" ref="DN40:HB40" si="150">DN36/DN7</f>
        <v>0.29535864978902959</v>
      </c>
      <c r="DO40" s="99">
        <f t="shared" si="150"/>
        <v>0.26732673267326734</v>
      </c>
      <c r="DP40" s="96">
        <f t="shared" si="150"/>
        <v>0.25925925925925924</v>
      </c>
      <c r="DQ40" s="96">
        <f t="shared" si="150"/>
        <v>0.19701986754966888</v>
      </c>
      <c r="DR40" s="96">
        <f t="shared" si="150"/>
        <v>0.26382153249272555</v>
      </c>
      <c r="DS40" s="96">
        <f t="shared" si="150"/>
        <v>0.20238095238095238</v>
      </c>
      <c r="DT40" s="41">
        <f t="shared" si="150"/>
        <v>0.21544715447154472</v>
      </c>
      <c r="DU40" s="41">
        <f t="shared" si="150"/>
        <v>0.24439197166469892</v>
      </c>
      <c r="DV40" s="41">
        <f t="shared" si="150"/>
        <v>0.20866590649942987</v>
      </c>
      <c r="DW40" s="41">
        <f t="shared" si="150"/>
        <v>0.24320987654320986</v>
      </c>
      <c r="DX40" s="41">
        <f t="shared" si="150"/>
        <v>0.23474178403755872</v>
      </c>
      <c r="DY40" s="41">
        <f t="shared" si="150"/>
        <v>0.18359853121175032</v>
      </c>
      <c r="DZ40" s="41">
        <f t="shared" si="150"/>
        <v>0.18469015795868773</v>
      </c>
      <c r="EA40" s="41">
        <f t="shared" si="150"/>
        <v>0.20531400966183577</v>
      </c>
      <c r="EB40" s="41">
        <f t="shared" si="150"/>
        <v>0.18661518661518658</v>
      </c>
      <c r="EC40" s="41">
        <f t="shared" si="150"/>
        <v>0.19512195121951217</v>
      </c>
      <c r="ED40" s="41">
        <f t="shared" si="150"/>
        <v>0.19137466307277626</v>
      </c>
      <c r="EE40" s="100">
        <f t="shared" si="150"/>
        <v>0.27934485896269334</v>
      </c>
      <c r="EF40" s="101">
        <f t="shared" si="150"/>
        <v>0.28871391076115488</v>
      </c>
      <c r="EG40" s="100">
        <f t="shared" si="150"/>
        <v>0.30698151950718683</v>
      </c>
      <c r="EH40" s="102">
        <f t="shared" si="150"/>
        <v>0.278503046127067</v>
      </c>
      <c r="EI40" s="100">
        <f t="shared" si="150"/>
        <v>0.24071991001124859</v>
      </c>
      <c r="EJ40" s="103">
        <f t="shared" si="150"/>
        <v>0.25</v>
      </c>
      <c r="EK40" s="100">
        <f t="shared" si="150"/>
        <v>0.24281984334203655</v>
      </c>
      <c r="EL40" s="104">
        <f t="shared" si="150"/>
        <v>0.23283582089552243</v>
      </c>
      <c r="EM40" s="100">
        <f t="shared" si="150"/>
        <v>0.23147208121827412</v>
      </c>
      <c r="EN40" s="105">
        <f t="shared" si="150"/>
        <v>0.23732470334412081</v>
      </c>
      <c r="EO40" s="105">
        <f t="shared" si="150"/>
        <v>0.25263157894736843</v>
      </c>
      <c r="EP40" s="105">
        <f t="shared" si="150"/>
        <v>0.23925027563395809</v>
      </c>
      <c r="EQ40" s="105">
        <f t="shared" si="150"/>
        <v>0.22574055158324821</v>
      </c>
      <c r="ER40" s="105">
        <f t="shared" si="150"/>
        <v>0.28792569659442729</v>
      </c>
      <c r="ES40" s="106">
        <f t="shared" si="150"/>
        <v>0.24402907580477673</v>
      </c>
      <c r="ET40" s="107">
        <f t="shared" si="150"/>
        <v>0.23721436343852012</v>
      </c>
      <c r="EU40" s="106">
        <f t="shared" si="150"/>
        <v>0.22068965517241379</v>
      </c>
      <c r="EV40" s="108">
        <f t="shared" si="150"/>
        <v>0.24441833137485311</v>
      </c>
      <c r="EW40" s="106">
        <f t="shared" si="150"/>
        <v>0.22379912663755455</v>
      </c>
      <c r="EX40" s="109">
        <f t="shared" si="150"/>
        <v>0.25124999999999997</v>
      </c>
      <c r="EY40" s="106">
        <f t="shared" si="150"/>
        <v>0.1937888198757764</v>
      </c>
      <c r="EZ40" s="110">
        <f t="shared" si="150"/>
        <v>0.26107445805843549</v>
      </c>
      <c r="FA40" s="106">
        <f t="shared" si="150"/>
        <v>0.24053030303030301</v>
      </c>
      <c r="FB40" s="107">
        <f t="shared" si="150"/>
        <v>0.24868835257082897</v>
      </c>
      <c r="FC40" s="107">
        <f t="shared" si="150"/>
        <v>0.21978021978021978</v>
      </c>
      <c r="FD40" s="107">
        <f t="shared" si="150"/>
        <v>0.22478736330498178</v>
      </c>
      <c r="FE40" s="107">
        <f t="shared" si="150"/>
        <v>0.24852767962308597</v>
      </c>
      <c r="FF40" s="107">
        <f t="shared" si="150"/>
        <v>0.219484882418813</v>
      </c>
      <c r="FG40" s="116">
        <f t="shared" si="150"/>
        <v>0.23427041499330656</v>
      </c>
      <c r="FH40" s="115">
        <f t="shared" si="150"/>
        <v>0.2</v>
      </c>
      <c r="FI40" s="116">
        <f t="shared" si="150"/>
        <v>0.25</v>
      </c>
      <c r="FJ40" s="227">
        <f t="shared" si="150"/>
        <v>0.25066666666666665</v>
      </c>
      <c r="FK40" s="116">
        <f t="shared" si="150"/>
        <v>0.216</v>
      </c>
      <c r="FL40" s="228">
        <f t="shared" si="150"/>
        <v>0.25641025641025644</v>
      </c>
      <c r="FM40" s="116">
        <f t="shared" si="150"/>
        <v>0.23055555555555557</v>
      </c>
      <c r="FN40" s="115">
        <f t="shared" si="150"/>
        <v>0.25623268698060941</v>
      </c>
      <c r="FO40" s="116">
        <f t="shared" si="150"/>
        <v>0.22098765432098763</v>
      </c>
      <c r="FP40" s="117">
        <f t="shared" si="150"/>
        <v>0.24060150375939848</v>
      </c>
      <c r="FQ40" s="116">
        <f t="shared" si="150"/>
        <v>0.26819923371647508</v>
      </c>
      <c r="FR40" s="118">
        <f t="shared" si="150"/>
        <v>0.25787234042553192</v>
      </c>
      <c r="FS40" s="119">
        <f t="shared" si="150"/>
        <v>0.29992348890589138</v>
      </c>
      <c r="FT40" s="118">
        <f t="shared" si="150"/>
        <v>0.32444061962134252</v>
      </c>
      <c r="FU40" s="120">
        <f t="shared" si="150"/>
        <v>0.21441281138790033</v>
      </c>
      <c r="FV40" s="118">
        <f t="shared" si="150"/>
        <v>0.25895316804407714</v>
      </c>
      <c r="FW40" s="121">
        <f t="shared" si="150"/>
        <v>0.2402135231316726</v>
      </c>
      <c r="FX40" s="118">
        <f t="shared" si="150"/>
        <v>0.29308836395450572</v>
      </c>
      <c r="FY40" s="122">
        <f t="shared" si="150"/>
        <v>0.2605105105105105</v>
      </c>
      <c r="FZ40" s="118">
        <f t="shared" si="150"/>
        <v>0.2831652443754849</v>
      </c>
      <c r="GA40" s="123">
        <f t="shared" si="150"/>
        <v>0.2593220338983051</v>
      </c>
      <c r="GB40" s="123">
        <f t="shared" si="150"/>
        <v>0.30399999999999999</v>
      </c>
      <c r="GC40" s="123">
        <f t="shared" si="150"/>
        <v>0.24545454545454545</v>
      </c>
      <c r="GD40" s="229">
        <f t="shared" si="150"/>
        <v>0.25555555555555554</v>
      </c>
      <c r="GE40" s="229">
        <f t="shared" si="150"/>
        <v>0.23707865168539324</v>
      </c>
      <c r="GF40" s="126">
        <f t="shared" si="150"/>
        <v>0.21292775665399241</v>
      </c>
      <c r="GG40" s="124">
        <f t="shared" si="150"/>
        <v>0.2140221402214022</v>
      </c>
      <c r="GH40" s="127">
        <f t="shared" si="150"/>
        <v>0.20774193548387096</v>
      </c>
      <c r="GI40" s="124">
        <f t="shared" si="150"/>
        <v>0.19250645994832041</v>
      </c>
      <c r="GJ40" s="128">
        <f t="shared" si="150"/>
        <v>0.16763005780346821</v>
      </c>
      <c r="GK40" s="229">
        <f t="shared" si="150"/>
        <v>0.20253164556962025</v>
      </c>
      <c r="GL40" s="229">
        <f t="shared" si="150"/>
        <v>0.20270270270270269</v>
      </c>
      <c r="GM40" s="229">
        <f t="shared" si="150"/>
        <v>0.19999999999999998</v>
      </c>
      <c r="GN40" s="229">
        <f t="shared" si="150"/>
        <v>0.21333333333333335</v>
      </c>
      <c r="GO40" s="229">
        <f t="shared" si="150"/>
        <v>0.18309859154929578</v>
      </c>
      <c r="GP40" s="229">
        <f t="shared" si="150"/>
        <v>0.20253164556962025</v>
      </c>
      <c r="GQ40" s="229">
        <f t="shared" si="150"/>
        <v>0.18987341772151897</v>
      </c>
      <c r="GR40" s="229">
        <f t="shared" si="150"/>
        <v>0.17808219178082194</v>
      </c>
      <c r="GS40" s="229">
        <f t="shared" si="150"/>
        <v>0.25</v>
      </c>
      <c r="GT40" s="92">
        <f t="shared" si="150"/>
        <v>0.27975460122699392</v>
      </c>
      <c r="GU40" s="92">
        <f t="shared" si="150"/>
        <v>0.2892768079800499</v>
      </c>
      <c r="GV40" s="130">
        <f t="shared" si="150"/>
        <v>0.33628318584070799</v>
      </c>
      <c r="GW40" s="91">
        <f t="shared" si="150"/>
        <v>0.3151796060254925</v>
      </c>
      <c r="GX40" s="94">
        <f t="shared" si="150"/>
        <v>0.29331823329558326</v>
      </c>
      <c r="GY40" s="92">
        <f t="shared" si="150"/>
        <v>0.31285551763367464</v>
      </c>
      <c r="GZ40" s="90">
        <f t="shared" si="150"/>
        <v>0.30527497194163861</v>
      </c>
      <c r="HA40" s="92">
        <f t="shared" si="150"/>
        <v>0.28784648187633266</v>
      </c>
      <c r="HB40" s="91">
        <f t="shared" si="150"/>
        <v>0.26429341963322545</v>
      </c>
      <c r="HC40" s="93">
        <f t="shared" ref="HC40:HF40" si="151">HC36/HC7</f>
        <v>0.26988265971316816</v>
      </c>
      <c r="HD40" s="92">
        <f t="shared" si="151"/>
        <v>0.27251184834123227</v>
      </c>
      <c r="HE40" s="94">
        <f t="shared" si="151"/>
        <v>0.30967078189300412</v>
      </c>
      <c r="HF40" s="92">
        <f t="shared" si="151"/>
        <v>0.26072234762979685</v>
      </c>
      <c r="HG40" s="18"/>
      <c r="HH40" s="18"/>
    </row>
    <row r="41" spans="1:216" customFormat="1" x14ac:dyDescent="0.25">
      <c r="A41" t="s">
        <v>330</v>
      </c>
      <c r="B41" s="48">
        <v>0.13500000000000001</v>
      </c>
      <c r="C41" s="24">
        <v>0.14199999999999999</v>
      </c>
      <c r="D41" s="49">
        <v>0.13700000000000001</v>
      </c>
      <c r="E41" s="50">
        <v>0.14399999999999999</v>
      </c>
      <c r="F41" s="24">
        <v>0.107</v>
      </c>
      <c r="G41" s="51">
        <v>7.5999999999999998E-2</v>
      </c>
      <c r="H41" s="24">
        <v>0.10100000000000001</v>
      </c>
      <c r="I41" s="49">
        <v>9.1999999999999998E-2</v>
      </c>
      <c r="J41" s="24">
        <v>0.106</v>
      </c>
      <c r="K41" s="48">
        <v>0.125</v>
      </c>
      <c r="L41" s="24">
        <v>0.127</v>
      </c>
      <c r="M41" s="50">
        <v>0.14000000000000001</v>
      </c>
      <c r="N41" s="24">
        <v>0.104</v>
      </c>
      <c r="O41" s="51">
        <v>0.13200000000000001</v>
      </c>
      <c r="P41" s="24">
        <v>9.8000000000000004E-2</v>
      </c>
      <c r="Q41" s="24">
        <v>9.5000000000000001E-2</v>
      </c>
      <c r="R41" s="52">
        <v>0.1</v>
      </c>
      <c r="S41" s="53">
        <v>0.104</v>
      </c>
      <c r="T41" s="22">
        <v>8.5999999999999993E-2</v>
      </c>
      <c r="U41" s="54">
        <v>0.104</v>
      </c>
      <c r="V41" s="22">
        <v>9.5000000000000001E-2</v>
      </c>
      <c r="W41" s="55">
        <v>0.10100000000000001</v>
      </c>
      <c r="X41" s="22">
        <v>9.1999999999999998E-2</v>
      </c>
      <c r="Y41" s="52">
        <v>0.1</v>
      </c>
      <c r="Z41" s="22">
        <v>0.09</v>
      </c>
      <c r="AA41" s="56">
        <v>0.1</v>
      </c>
      <c r="AB41" s="22">
        <v>0.09</v>
      </c>
      <c r="AC41" s="22"/>
      <c r="AD41" s="22"/>
      <c r="AE41" s="22"/>
      <c r="AF41" s="22"/>
      <c r="AG41" s="57">
        <v>7.0000000000000007E-2</v>
      </c>
      <c r="AH41" s="60">
        <v>7.0000000000000007E-2</v>
      </c>
      <c r="AI41" s="59">
        <v>0.04</v>
      </c>
      <c r="AJ41" s="60">
        <v>4.2000000000000003E-2</v>
      </c>
      <c r="AK41" s="61">
        <v>5.3999999999999999E-2</v>
      </c>
      <c r="AL41" s="60">
        <v>4.2000000000000003E-2</v>
      </c>
      <c r="AM41" s="60">
        <v>4.5999999999999999E-2</v>
      </c>
      <c r="AN41" s="60">
        <v>7.0000000000000007E-2</v>
      </c>
      <c r="AO41" s="62">
        <v>0.12</v>
      </c>
      <c r="AP41" s="63">
        <v>0.12</v>
      </c>
      <c r="AQ41" s="64">
        <v>9.1999999999999998E-2</v>
      </c>
      <c r="AR41" s="65">
        <v>0.111</v>
      </c>
      <c r="AS41" s="64">
        <v>0.106</v>
      </c>
      <c r="AT41" s="66">
        <v>0.111</v>
      </c>
      <c r="AU41" s="64">
        <v>0.105</v>
      </c>
      <c r="AV41" s="67">
        <v>0.10299999999999999</v>
      </c>
      <c r="AW41" s="63">
        <v>0.13700000000000001</v>
      </c>
      <c r="AX41" s="68">
        <v>0.10100000000000001</v>
      </c>
      <c r="AY41" s="69">
        <v>0.113</v>
      </c>
      <c r="AZ41" s="68">
        <v>9.5000000000000001E-2</v>
      </c>
      <c r="BA41" s="70">
        <v>8.5999999999999993E-2</v>
      </c>
      <c r="BB41" s="68">
        <v>0.122</v>
      </c>
      <c r="BC41" s="71">
        <v>0.107</v>
      </c>
      <c r="BD41" s="68">
        <v>0.11700000000000001</v>
      </c>
      <c r="BE41" s="72">
        <v>0.11700000000000001</v>
      </c>
      <c r="BF41" s="68"/>
      <c r="BG41" s="73"/>
      <c r="BH41" s="74"/>
      <c r="BI41" s="75">
        <v>0.12</v>
      </c>
      <c r="BJ41" s="41">
        <v>0.14799999999999999</v>
      </c>
      <c r="BK41" s="76">
        <v>0.111</v>
      </c>
      <c r="BL41" s="41">
        <v>0.14799999999999999</v>
      </c>
      <c r="BM41" s="77">
        <v>0.104</v>
      </c>
      <c r="BN41" s="77"/>
      <c r="BO41" s="41">
        <v>9.4E-2</v>
      </c>
      <c r="BP41" s="41">
        <v>8.6999999999999994E-2</v>
      </c>
      <c r="BQ41" s="41">
        <v>0.11600000000000001</v>
      </c>
      <c r="BR41" s="41">
        <v>0.1</v>
      </c>
      <c r="BS41" s="78">
        <v>0.1</v>
      </c>
      <c r="BT41" s="79">
        <v>0.14000000000000001</v>
      </c>
      <c r="BU41" s="80">
        <v>0.13</v>
      </c>
      <c r="BV41" s="81"/>
      <c r="BW41" s="20">
        <v>0.12</v>
      </c>
      <c r="BX41" s="82">
        <v>7.0000000000000007E-2</v>
      </c>
      <c r="BY41" s="20">
        <v>0.08</v>
      </c>
      <c r="BZ41" s="83">
        <v>0.08</v>
      </c>
      <c r="CA41" s="20">
        <v>0.09</v>
      </c>
      <c r="CB41" s="20">
        <v>8.7999999999999995E-2</v>
      </c>
      <c r="CC41" s="84">
        <v>9.0999999999999998E-2</v>
      </c>
      <c r="CD41" s="37">
        <v>0.08</v>
      </c>
      <c r="CE41" s="84">
        <v>0.1</v>
      </c>
      <c r="CF41" s="37">
        <v>0.12</v>
      </c>
      <c r="CG41" s="84">
        <v>0.1</v>
      </c>
      <c r="CH41" s="37">
        <v>0.09</v>
      </c>
      <c r="CI41" s="37">
        <v>0.13</v>
      </c>
      <c r="CJ41" s="86"/>
      <c r="CK41" s="37">
        <v>0.08</v>
      </c>
      <c r="CL41" s="84">
        <v>0.1</v>
      </c>
      <c r="CM41" s="87"/>
      <c r="CN41" s="88">
        <v>0.10199999999999999</v>
      </c>
      <c r="CO41" s="89">
        <v>0.12</v>
      </c>
      <c r="CP41" s="88">
        <v>0.114</v>
      </c>
      <c r="CQ41" s="90">
        <v>0.11700000000000001</v>
      </c>
      <c r="CR41" s="91">
        <v>0.11600000000000001</v>
      </c>
      <c r="CS41" s="92">
        <v>0.104</v>
      </c>
      <c r="CT41" s="93">
        <v>0.09</v>
      </c>
      <c r="CU41" s="92">
        <v>0.11</v>
      </c>
      <c r="CV41" s="94">
        <v>0.12</v>
      </c>
      <c r="CW41" s="243">
        <v>0.104</v>
      </c>
      <c r="CX41" s="244">
        <v>0.14000000000000001</v>
      </c>
      <c r="CY41" s="245"/>
      <c r="CZ41" s="246">
        <v>0.10199999999999999</v>
      </c>
      <c r="DA41" s="247">
        <v>9.4E-2</v>
      </c>
      <c r="DB41" s="246">
        <v>0.10100000000000001</v>
      </c>
      <c r="DC41" s="248">
        <v>0.104</v>
      </c>
      <c r="DD41" s="246">
        <v>0.09</v>
      </c>
      <c r="DE41" s="246">
        <v>0.09</v>
      </c>
      <c r="DF41" s="249"/>
      <c r="DG41" s="253">
        <v>0.09</v>
      </c>
      <c r="DH41" s="253">
        <v>0.08</v>
      </c>
      <c r="DI41" s="246">
        <v>0.1</v>
      </c>
      <c r="DJ41" s="95">
        <v>0.13300000000000001</v>
      </c>
      <c r="DK41" s="96">
        <v>0.13100000000000001</v>
      </c>
      <c r="DL41" s="97">
        <v>0.13500000000000001</v>
      </c>
      <c r="DM41" s="98">
        <v>0.13100000000000001</v>
      </c>
      <c r="DN41" s="96">
        <v>0.11799999999999999</v>
      </c>
      <c r="DO41" s="99">
        <v>0.14000000000000001</v>
      </c>
      <c r="DP41" s="96">
        <v>0.09</v>
      </c>
      <c r="DQ41" s="96">
        <v>0.14799999999999999</v>
      </c>
      <c r="DR41" s="96">
        <v>0.13700000000000001</v>
      </c>
      <c r="DS41" s="96"/>
      <c r="DT41" s="41">
        <v>0.09</v>
      </c>
      <c r="DU41" s="41">
        <v>0.1</v>
      </c>
      <c r="DV41" s="41">
        <v>0.09</v>
      </c>
      <c r="DW41" s="41">
        <v>9.2999999999999999E-2</v>
      </c>
      <c r="DX41" s="41">
        <v>9.5000000000000001E-2</v>
      </c>
      <c r="DY41" s="41">
        <v>7.8E-2</v>
      </c>
      <c r="DZ41" s="41">
        <v>9.2999999999999999E-2</v>
      </c>
      <c r="EA41" s="41">
        <v>8.2000000000000003E-2</v>
      </c>
      <c r="EB41" s="41">
        <v>9.6000000000000002E-2</v>
      </c>
      <c r="EC41" s="41"/>
      <c r="ED41" s="41">
        <v>7.4999999999999997E-2</v>
      </c>
      <c r="EE41" s="100">
        <v>0.128</v>
      </c>
      <c r="EF41" s="101">
        <v>0.13300000000000001</v>
      </c>
      <c r="EG41" s="100">
        <v>0.11700000000000001</v>
      </c>
      <c r="EH41" s="102">
        <v>0.13400000000000001</v>
      </c>
      <c r="EI41" s="100">
        <v>9.5000000000000001E-2</v>
      </c>
      <c r="EJ41" s="103">
        <v>0.11700000000000001</v>
      </c>
      <c r="EK41" s="100">
        <v>9.1999999999999998E-2</v>
      </c>
      <c r="EL41" s="104"/>
      <c r="EM41" s="100">
        <v>0.105</v>
      </c>
      <c r="EN41" s="105">
        <v>0.108</v>
      </c>
      <c r="EO41" s="100">
        <v>0.10100000000000001</v>
      </c>
      <c r="EP41" s="100"/>
      <c r="EQ41" s="100">
        <v>0.11</v>
      </c>
      <c r="ER41" s="105"/>
      <c r="ES41" s="106">
        <v>0.10299999999999999</v>
      </c>
      <c r="ET41" s="107">
        <v>0.14199999999999999</v>
      </c>
      <c r="EU41" s="106">
        <v>8.2000000000000003E-2</v>
      </c>
      <c r="EV41" s="108">
        <v>0.121</v>
      </c>
      <c r="EW41" s="106">
        <v>9.8000000000000004E-2</v>
      </c>
      <c r="EX41" s="109">
        <v>0.111</v>
      </c>
      <c r="EY41" s="106">
        <v>9.5000000000000001E-2</v>
      </c>
      <c r="EZ41" s="110">
        <v>0.14000000000000001</v>
      </c>
      <c r="FA41" s="106">
        <v>0.123</v>
      </c>
      <c r="FB41" s="107">
        <v>0.108</v>
      </c>
      <c r="FC41" s="106">
        <v>0.11799999999999999</v>
      </c>
      <c r="FD41" s="106"/>
      <c r="FE41" s="106">
        <v>0.113</v>
      </c>
      <c r="FF41" s="106">
        <v>0.104</v>
      </c>
      <c r="FG41" s="111"/>
      <c r="FH41" s="112">
        <v>0.11</v>
      </c>
      <c r="FI41" s="111"/>
      <c r="FJ41" s="113">
        <v>0.12</v>
      </c>
      <c r="FK41" s="111"/>
      <c r="FL41" s="114">
        <v>9.8000000000000004E-2</v>
      </c>
      <c r="FM41" s="111">
        <v>0.13</v>
      </c>
      <c r="FN41" s="115">
        <v>0.11600000000000001</v>
      </c>
      <c r="FO41" s="116"/>
      <c r="FP41" s="117">
        <v>0.11799999999999999</v>
      </c>
      <c r="FQ41" s="116">
        <v>9.7000000000000003E-2</v>
      </c>
      <c r="FR41" s="118"/>
      <c r="FS41" s="119">
        <v>0.153</v>
      </c>
      <c r="FT41" s="118">
        <v>0.151</v>
      </c>
      <c r="FU41" s="120">
        <v>0.129</v>
      </c>
      <c r="FV41" s="118">
        <v>0.127</v>
      </c>
      <c r="FW41" s="121">
        <v>0.127</v>
      </c>
      <c r="FX41" s="118">
        <v>0.14399999999999999</v>
      </c>
      <c r="FY41" s="122">
        <v>0.14899999999999999</v>
      </c>
      <c r="FZ41" s="118">
        <v>0.14899999999999999</v>
      </c>
      <c r="GA41" s="123">
        <v>0.104</v>
      </c>
      <c r="GB41" s="45">
        <v>0.12</v>
      </c>
      <c r="GC41" s="118">
        <v>0.121</v>
      </c>
      <c r="GD41" s="124">
        <v>8.7999999999999995E-2</v>
      </c>
      <c r="GE41" s="125">
        <v>8.5999999999999993E-2</v>
      </c>
      <c r="GF41" s="126">
        <v>0.114</v>
      </c>
      <c r="GG41" s="124">
        <v>9.0999999999999998E-2</v>
      </c>
      <c r="GH41" s="127">
        <v>9.4E-2</v>
      </c>
      <c r="GI41" s="124">
        <v>0.107</v>
      </c>
      <c r="GJ41" s="128">
        <v>9.5000000000000001E-2</v>
      </c>
      <c r="GK41" s="124"/>
      <c r="GL41" s="124">
        <v>0.08</v>
      </c>
      <c r="GM41" s="124">
        <v>0.09</v>
      </c>
      <c r="GN41" s="124">
        <v>0.09</v>
      </c>
      <c r="GO41" s="124">
        <v>0.08</v>
      </c>
      <c r="GP41" s="124"/>
      <c r="GQ41" s="124"/>
      <c r="GR41" s="124"/>
      <c r="GS41" s="124">
        <v>0.09</v>
      </c>
      <c r="GT41" s="92">
        <v>0.15</v>
      </c>
      <c r="GU41" s="92">
        <v>0.157</v>
      </c>
      <c r="GV41" s="130">
        <v>0.11</v>
      </c>
      <c r="GW41" s="91">
        <v>0.11</v>
      </c>
      <c r="GX41" s="94">
        <v>0.14399999999999999</v>
      </c>
      <c r="GY41" s="92">
        <v>0.14099999999999999</v>
      </c>
      <c r="GZ41" s="90">
        <v>0.151</v>
      </c>
      <c r="HA41" s="92">
        <v>0.152</v>
      </c>
      <c r="HB41" s="91">
        <v>0.13700000000000001</v>
      </c>
      <c r="HC41" s="93">
        <v>0.111</v>
      </c>
      <c r="HD41" s="92">
        <v>0.1</v>
      </c>
      <c r="HE41" s="94"/>
      <c r="HF41" s="92">
        <v>0.11</v>
      </c>
      <c r="HG41" s="18"/>
      <c r="HH41" s="18"/>
    </row>
    <row r="42" spans="1:216" customFormat="1" x14ac:dyDescent="0.25">
      <c r="A42" t="s">
        <v>332</v>
      </c>
      <c r="B42" s="48">
        <v>0.11600000000000001</v>
      </c>
      <c r="C42" s="24">
        <v>0.16400000000000001</v>
      </c>
      <c r="D42" s="49">
        <v>0.13900000000000001</v>
      </c>
      <c r="E42" s="50">
        <v>0.12</v>
      </c>
      <c r="F42" s="24">
        <v>0.153</v>
      </c>
      <c r="G42" s="51">
        <v>0.106</v>
      </c>
      <c r="H42" s="24">
        <v>0.104</v>
      </c>
      <c r="I42" s="49">
        <v>0.121</v>
      </c>
      <c r="J42" s="24">
        <v>0.115</v>
      </c>
      <c r="K42" s="48">
        <v>0.16400000000000001</v>
      </c>
      <c r="L42" s="24">
        <v>0.13100000000000001</v>
      </c>
      <c r="M42" s="50">
        <v>0.12</v>
      </c>
      <c r="N42" s="24">
        <v>0.122</v>
      </c>
      <c r="O42" s="51"/>
      <c r="P42" s="24">
        <v>0.11</v>
      </c>
      <c r="Q42" s="24">
        <v>0.104</v>
      </c>
      <c r="R42" s="52">
        <v>0.14199999999999999</v>
      </c>
      <c r="S42" s="53">
        <v>0.14000000000000001</v>
      </c>
      <c r="T42" s="22">
        <v>9.4E-2</v>
      </c>
      <c r="U42" s="54">
        <v>0.153</v>
      </c>
      <c r="V42" s="22">
        <v>0.14099999999999999</v>
      </c>
      <c r="W42" s="55">
        <v>0.151</v>
      </c>
      <c r="X42" s="22">
        <v>9.9000000000000005E-2</v>
      </c>
      <c r="Y42" s="52">
        <v>0.15</v>
      </c>
      <c r="Z42" s="22">
        <v>0.14000000000000001</v>
      </c>
      <c r="AA42" s="56"/>
      <c r="AB42" s="22">
        <v>0.09</v>
      </c>
      <c r="AC42" s="22"/>
      <c r="AD42" s="22"/>
      <c r="AE42" s="22"/>
      <c r="AF42" s="22"/>
      <c r="AG42" s="57">
        <v>0.11</v>
      </c>
      <c r="AH42" s="60">
        <v>0.114</v>
      </c>
      <c r="AI42" s="59">
        <v>8.4000000000000005E-2</v>
      </c>
      <c r="AJ42" s="60">
        <v>7.1999999999999995E-2</v>
      </c>
      <c r="AK42" s="61">
        <v>7.3999999999999996E-2</v>
      </c>
      <c r="AL42" s="60">
        <v>6.8000000000000005E-2</v>
      </c>
      <c r="AM42" s="60"/>
      <c r="AN42" s="60">
        <v>9.9000000000000005E-2</v>
      </c>
      <c r="AO42" s="62"/>
      <c r="AP42" s="63">
        <v>9.7000000000000003E-2</v>
      </c>
      <c r="AQ42" s="64">
        <v>0.113</v>
      </c>
      <c r="AR42" s="65">
        <v>0.127</v>
      </c>
      <c r="AS42" s="64">
        <v>0.11600000000000001</v>
      </c>
      <c r="AT42" s="66">
        <v>0.111</v>
      </c>
      <c r="AU42" s="64">
        <v>0.11799999999999999</v>
      </c>
      <c r="AV42" s="67">
        <v>0.126</v>
      </c>
      <c r="AW42" s="63">
        <v>0.11899999999999999</v>
      </c>
      <c r="AX42" s="68">
        <v>0.113</v>
      </c>
      <c r="AY42" s="69">
        <v>0.127</v>
      </c>
      <c r="AZ42" s="68">
        <v>0.105</v>
      </c>
      <c r="BA42" s="70">
        <v>0.14399999999999999</v>
      </c>
      <c r="BB42" s="68">
        <v>9.9000000000000005E-2</v>
      </c>
      <c r="BC42" s="71">
        <v>0.107</v>
      </c>
      <c r="BD42" s="68">
        <v>0.10199999999999999</v>
      </c>
      <c r="BE42" s="72">
        <v>0.14499999999999999</v>
      </c>
      <c r="BF42" s="68"/>
      <c r="BG42" s="73"/>
      <c r="BH42" s="74"/>
      <c r="BI42" s="75">
        <v>0.14499999999999999</v>
      </c>
      <c r="BJ42" s="41">
        <v>0.14899999999999999</v>
      </c>
      <c r="BK42" s="76">
        <v>0.123</v>
      </c>
      <c r="BL42" s="41">
        <v>0.13200000000000001</v>
      </c>
      <c r="BM42" s="77">
        <v>9.1999999999999998E-2</v>
      </c>
      <c r="BN42" s="77"/>
      <c r="BO42" s="41">
        <v>0.104</v>
      </c>
      <c r="BP42" s="41">
        <v>0.106</v>
      </c>
      <c r="BQ42" s="41">
        <v>0.13900000000000001</v>
      </c>
      <c r="BR42" s="41">
        <v>0.11899999999999999</v>
      </c>
      <c r="BS42" s="78">
        <v>0.11</v>
      </c>
      <c r="BT42" s="79">
        <v>8.2000000000000003E-2</v>
      </c>
      <c r="BU42" s="80">
        <v>0.106</v>
      </c>
      <c r="BV42" s="81"/>
      <c r="BW42" s="20">
        <v>0.14000000000000001</v>
      </c>
      <c r="BX42" s="82">
        <v>0.09</v>
      </c>
      <c r="BY42" s="20">
        <v>0.11</v>
      </c>
      <c r="BZ42" s="83">
        <v>0.1</v>
      </c>
      <c r="CA42" s="20"/>
      <c r="CB42" s="20">
        <v>0.155</v>
      </c>
      <c r="CC42" s="84">
        <v>0.11</v>
      </c>
      <c r="CD42" s="37">
        <v>0.11</v>
      </c>
      <c r="CE42" s="84">
        <v>0.11</v>
      </c>
      <c r="CF42" s="37">
        <v>0.11</v>
      </c>
      <c r="CG42" s="84">
        <v>0.1</v>
      </c>
      <c r="CH42" s="37">
        <v>0.12</v>
      </c>
      <c r="CI42" s="37">
        <v>0.15</v>
      </c>
      <c r="CJ42" s="86"/>
      <c r="CK42" s="37">
        <v>0.12</v>
      </c>
      <c r="CL42" s="84">
        <v>0.11</v>
      </c>
      <c r="CM42" s="87"/>
      <c r="CN42" s="88">
        <v>0.10299999999999999</v>
      </c>
      <c r="CO42" s="89">
        <v>0.13</v>
      </c>
      <c r="CP42" s="88">
        <v>0.104</v>
      </c>
      <c r="CQ42" s="90">
        <v>0.154</v>
      </c>
      <c r="CR42" s="91">
        <v>0.186</v>
      </c>
      <c r="CS42" s="92">
        <v>0.109</v>
      </c>
      <c r="CT42" s="93">
        <v>0.08</v>
      </c>
      <c r="CU42" s="92">
        <v>0.12</v>
      </c>
      <c r="CV42" s="94">
        <v>0.14000000000000001</v>
      </c>
      <c r="CW42" s="243">
        <v>0.11600000000000001</v>
      </c>
      <c r="CX42" s="244">
        <v>0.107</v>
      </c>
      <c r="CY42" s="245"/>
      <c r="CZ42" s="246"/>
      <c r="DA42" s="247">
        <v>0.124</v>
      </c>
      <c r="DB42" s="246"/>
      <c r="DC42" s="248"/>
      <c r="DD42" s="246">
        <v>0.1</v>
      </c>
      <c r="DE42" s="246">
        <v>0.1</v>
      </c>
      <c r="DF42" s="249"/>
      <c r="DG42" s="253">
        <v>0.12</v>
      </c>
      <c r="DH42" s="253">
        <v>0.11</v>
      </c>
      <c r="DI42" s="246">
        <v>0.12</v>
      </c>
      <c r="DJ42" s="95">
        <v>0.13500000000000001</v>
      </c>
      <c r="DK42" s="96">
        <v>0.16600000000000001</v>
      </c>
      <c r="DL42" s="97">
        <v>0.125</v>
      </c>
      <c r="DM42" s="98">
        <v>0.16600000000000001</v>
      </c>
      <c r="DN42" s="96">
        <v>0.13</v>
      </c>
      <c r="DO42" s="99"/>
      <c r="DP42" s="96">
        <v>0.12</v>
      </c>
      <c r="DQ42" s="96">
        <v>0.13</v>
      </c>
      <c r="DR42" s="96">
        <v>0.13</v>
      </c>
      <c r="DS42" s="96"/>
      <c r="DT42" s="41">
        <v>8.5000000000000006E-2</v>
      </c>
      <c r="DU42" s="41">
        <v>9.5000000000000001E-2</v>
      </c>
      <c r="DV42" s="41">
        <v>8.7999999999999995E-2</v>
      </c>
      <c r="DW42" s="41">
        <v>0.11</v>
      </c>
      <c r="DX42" s="41">
        <v>8.5000000000000006E-2</v>
      </c>
      <c r="DY42" s="41">
        <v>0.10100000000000001</v>
      </c>
      <c r="DZ42" s="41">
        <v>0.107</v>
      </c>
      <c r="EA42" s="41">
        <v>0.10199999999999999</v>
      </c>
      <c r="EB42" s="41">
        <v>0.10199999999999999</v>
      </c>
      <c r="EC42" s="41"/>
      <c r="ED42" s="41">
        <v>9.0999999999999998E-2</v>
      </c>
      <c r="EE42" s="100">
        <v>0.13600000000000001</v>
      </c>
      <c r="EF42" s="101">
        <v>0.14299999999999999</v>
      </c>
      <c r="EG42" s="100">
        <v>0.153</v>
      </c>
      <c r="EH42" s="102">
        <v>0.16600000000000001</v>
      </c>
      <c r="EI42" s="100">
        <v>0.115</v>
      </c>
      <c r="EJ42" s="103">
        <v>0.14000000000000001</v>
      </c>
      <c r="EK42" s="100">
        <v>8.5000000000000006E-2</v>
      </c>
      <c r="EL42" s="104"/>
      <c r="EM42" s="100">
        <v>0.128</v>
      </c>
      <c r="EN42" s="105">
        <v>0.11600000000000001</v>
      </c>
      <c r="EO42" s="100">
        <v>0.108</v>
      </c>
      <c r="EP42" s="100"/>
      <c r="EQ42" s="100">
        <v>0.16500000000000001</v>
      </c>
      <c r="ER42" s="105"/>
      <c r="ES42" s="106"/>
      <c r="ET42" s="107">
        <v>0.157</v>
      </c>
      <c r="EU42" s="106">
        <v>0.14499999999999999</v>
      </c>
      <c r="EV42" s="108">
        <v>0.11899999999999999</v>
      </c>
      <c r="EW42" s="106">
        <v>0.14399999999999999</v>
      </c>
      <c r="EX42" s="109">
        <v>9.5000000000000001E-2</v>
      </c>
      <c r="EY42" s="106">
        <v>0.111</v>
      </c>
      <c r="EZ42" s="110">
        <v>0.122</v>
      </c>
      <c r="FA42" s="106">
        <v>0.16500000000000001</v>
      </c>
      <c r="FB42" s="107">
        <v>0.13200000000000001</v>
      </c>
      <c r="FC42" s="106">
        <v>0.128</v>
      </c>
      <c r="FD42" s="106"/>
      <c r="FE42" s="106">
        <v>0.104</v>
      </c>
      <c r="FF42" s="106">
        <v>0.13400000000000001</v>
      </c>
      <c r="FG42" s="111"/>
      <c r="FH42" s="112">
        <v>0.12</v>
      </c>
      <c r="FI42" s="111"/>
      <c r="FJ42" s="113">
        <v>0.12</v>
      </c>
      <c r="FK42" s="111"/>
      <c r="FL42" s="114">
        <v>0.125</v>
      </c>
      <c r="FM42" s="111">
        <v>0.105</v>
      </c>
      <c r="FN42" s="115">
        <v>0.17299999999999999</v>
      </c>
      <c r="FO42" s="116"/>
      <c r="FP42" s="117">
        <v>0.109</v>
      </c>
      <c r="FQ42" s="116">
        <v>0.13</v>
      </c>
      <c r="FR42" s="118"/>
      <c r="FS42" s="119">
        <v>0.158</v>
      </c>
      <c r="FT42" s="118">
        <v>0.14000000000000001</v>
      </c>
      <c r="FU42" s="120">
        <v>0.13</v>
      </c>
      <c r="FV42" s="118">
        <v>0.13900000000000001</v>
      </c>
      <c r="FW42" s="121">
        <v>0.17199999999999999</v>
      </c>
      <c r="FX42" s="118">
        <v>0.16900000000000001</v>
      </c>
      <c r="FY42" s="122">
        <v>0.13</v>
      </c>
      <c r="FZ42" s="118">
        <v>0.13800000000000001</v>
      </c>
      <c r="GA42" s="123">
        <v>0.155</v>
      </c>
      <c r="GB42" s="45">
        <v>0.15</v>
      </c>
      <c r="GC42" s="118">
        <v>0.114</v>
      </c>
      <c r="GD42" s="124">
        <v>0.109</v>
      </c>
      <c r="GE42" s="125">
        <v>0.11</v>
      </c>
      <c r="GF42" s="126">
        <v>0.11600000000000001</v>
      </c>
      <c r="GG42" s="124">
        <v>0.104</v>
      </c>
      <c r="GH42" s="127"/>
      <c r="GI42" s="124">
        <v>0.112</v>
      </c>
      <c r="GJ42" s="128">
        <v>0.122</v>
      </c>
      <c r="GK42" s="124"/>
      <c r="GL42" s="124">
        <v>0.1</v>
      </c>
      <c r="GM42" s="124">
        <v>0.11</v>
      </c>
      <c r="GN42" s="124">
        <v>0.11</v>
      </c>
      <c r="GO42" s="124">
        <v>0.09</v>
      </c>
      <c r="GP42" s="124"/>
      <c r="GQ42" s="124"/>
      <c r="GR42" s="124"/>
      <c r="GS42" s="124">
        <v>0.09</v>
      </c>
      <c r="GT42" s="92"/>
      <c r="GU42" s="92">
        <v>0.106</v>
      </c>
      <c r="GV42" s="130">
        <v>0.16</v>
      </c>
      <c r="GW42" s="91">
        <v>0.16</v>
      </c>
      <c r="GX42" s="94"/>
      <c r="GY42" s="92">
        <v>0.14399999999999999</v>
      </c>
      <c r="GZ42" s="90">
        <v>0.158</v>
      </c>
      <c r="HA42" s="92">
        <v>0.13800000000000001</v>
      </c>
      <c r="HB42" s="91">
        <v>0.13800000000000001</v>
      </c>
      <c r="HC42" s="93">
        <v>0.127</v>
      </c>
      <c r="HD42" s="92">
        <v>0.128</v>
      </c>
      <c r="HE42" s="94"/>
      <c r="HF42" s="92">
        <v>0.126</v>
      </c>
      <c r="HG42" s="18"/>
      <c r="HH42" s="18"/>
    </row>
    <row r="43" spans="1:216" customFormat="1" x14ac:dyDescent="0.25">
      <c r="A43" t="s">
        <v>288</v>
      </c>
      <c r="B43" s="48">
        <f>B41/B42</f>
        <v>1.1637931034482758</v>
      </c>
      <c r="C43" s="48">
        <f t="shared" ref="C43:Z43" si="152">C41/C42</f>
        <v>0.86585365853658525</v>
      </c>
      <c r="D43" s="48">
        <f t="shared" si="152"/>
        <v>0.98561151079136688</v>
      </c>
      <c r="E43" s="48">
        <f t="shared" si="152"/>
        <v>1.2</v>
      </c>
      <c r="F43" s="48">
        <f t="shared" si="152"/>
        <v>0.69934640522875813</v>
      </c>
      <c r="G43" s="48">
        <f t="shared" si="152"/>
        <v>0.71698113207547165</v>
      </c>
      <c r="H43" s="48">
        <f t="shared" si="152"/>
        <v>0.97115384615384626</v>
      </c>
      <c r="I43" s="48">
        <f t="shared" si="152"/>
        <v>0.76033057851239672</v>
      </c>
      <c r="J43" s="48">
        <f t="shared" si="152"/>
        <v>0.92173913043478251</v>
      </c>
      <c r="K43" s="48">
        <f t="shared" si="152"/>
        <v>0.76219512195121952</v>
      </c>
      <c r="L43" s="48">
        <f t="shared" si="152"/>
        <v>0.96946564885496178</v>
      </c>
      <c r="M43" s="48">
        <f t="shared" si="152"/>
        <v>1.1666666666666667</v>
      </c>
      <c r="N43" s="48">
        <f t="shared" si="152"/>
        <v>0.85245901639344257</v>
      </c>
      <c r="O43" s="48"/>
      <c r="P43" s="48">
        <f t="shared" si="152"/>
        <v>0.89090909090909098</v>
      </c>
      <c r="Q43" s="48">
        <f t="shared" si="152"/>
        <v>0.91346153846153855</v>
      </c>
      <c r="R43" s="208">
        <f t="shared" si="152"/>
        <v>0.70422535211267612</v>
      </c>
      <c r="S43" s="208">
        <f t="shared" si="152"/>
        <v>0.74285714285714277</v>
      </c>
      <c r="T43" s="208">
        <f t="shared" si="152"/>
        <v>0.91489361702127647</v>
      </c>
      <c r="U43" s="208">
        <f t="shared" si="152"/>
        <v>0.6797385620915033</v>
      </c>
      <c r="V43" s="208">
        <f t="shared" si="152"/>
        <v>0.67375886524822703</v>
      </c>
      <c r="W43" s="208">
        <f t="shared" si="152"/>
        <v>0.66887417218543055</v>
      </c>
      <c r="X43" s="208">
        <f t="shared" si="152"/>
        <v>0.92929292929292928</v>
      </c>
      <c r="Y43" s="208">
        <f t="shared" si="152"/>
        <v>0.66666666666666674</v>
      </c>
      <c r="Z43" s="208">
        <f t="shared" si="152"/>
        <v>0.64285714285714279</v>
      </c>
      <c r="AA43" s="208"/>
      <c r="AB43" s="208">
        <f t="shared" ref="AB43" si="153">AB41/AB42</f>
        <v>1</v>
      </c>
      <c r="AC43" s="208"/>
      <c r="AD43" s="208"/>
      <c r="AE43" s="208"/>
      <c r="AF43" s="208"/>
      <c r="AG43" s="209">
        <f>AG41/AG42</f>
        <v>0.63636363636363646</v>
      </c>
      <c r="AH43" s="209">
        <f t="shared" ref="AH43:AN43" si="154">AH41/AH42</f>
        <v>0.61403508771929827</v>
      </c>
      <c r="AI43" s="209">
        <f t="shared" si="154"/>
        <v>0.47619047619047616</v>
      </c>
      <c r="AJ43" s="209">
        <f t="shared" si="154"/>
        <v>0.58333333333333337</v>
      </c>
      <c r="AK43" s="209">
        <f t="shared" si="154"/>
        <v>0.72972972972972971</v>
      </c>
      <c r="AL43" s="209">
        <f t="shared" si="154"/>
        <v>0.61764705882352944</v>
      </c>
      <c r="AM43" s="209"/>
      <c r="AN43" s="209">
        <f t="shared" si="154"/>
        <v>0.70707070707070707</v>
      </c>
      <c r="AO43" s="65"/>
      <c r="AP43" s="65">
        <f t="shared" ref="AP43:BE43" si="155">AP41/AP42</f>
        <v>1.2371134020618555</v>
      </c>
      <c r="AQ43" s="65">
        <f t="shared" si="155"/>
        <v>0.81415929203539816</v>
      </c>
      <c r="AR43" s="65">
        <f t="shared" si="155"/>
        <v>0.87401574803149606</v>
      </c>
      <c r="AS43" s="65">
        <f t="shared" si="155"/>
        <v>0.9137931034482758</v>
      </c>
      <c r="AT43" s="65">
        <f>AT41/AT42</f>
        <v>1</v>
      </c>
      <c r="AU43" s="65">
        <f t="shared" ref="AU43" si="156">AU41/AU42</f>
        <v>0.88983050847457623</v>
      </c>
      <c r="AV43" s="65">
        <f t="shared" si="155"/>
        <v>0.81746031746031744</v>
      </c>
      <c r="AW43" s="65">
        <f t="shared" si="155"/>
        <v>1.1512605042016808</v>
      </c>
      <c r="AX43" s="210">
        <f t="shared" si="155"/>
        <v>0.89380530973451333</v>
      </c>
      <c r="AY43" s="210">
        <f t="shared" si="155"/>
        <v>0.88976377952755903</v>
      </c>
      <c r="AZ43" s="210">
        <f t="shared" si="155"/>
        <v>0.90476190476190477</v>
      </c>
      <c r="BA43" s="210">
        <f t="shared" si="155"/>
        <v>0.59722222222222221</v>
      </c>
      <c r="BB43" s="210">
        <f t="shared" si="155"/>
        <v>1.2323232323232323</v>
      </c>
      <c r="BC43" s="210">
        <f t="shared" si="155"/>
        <v>1</v>
      </c>
      <c r="BD43" s="210">
        <f t="shared" si="155"/>
        <v>1.1470588235294119</v>
      </c>
      <c r="BE43" s="210">
        <f t="shared" si="155"/>
        <v>0.80689655172413799</v>
      </c>
      <c r="BF43" s="210"/>
      <c r="BG43" s="76"/>
      <c r="BH43" s="76"/>
      <c r="BI43" s="76">
        <f t="shared" ref="BI43:BJ43" si="157">BI41/BI42</f>
        <v>0.82758620689655171</v>
      </c>
      <c r="BJ43" s="76">
        <f t="shared" si="157"/>
        <v>0.99328859060402686</v>
      </c>
      <c r="BK43" s="76">
        <f>BK41/BK42</f>
        <v>0.90243902439024393</v>
      </c>
      <c r="BL43" s="76">
        <f t="shared" ref="BL43" si="158">BL41/BL42</f>
        <v>1.1212121212121211</v>
      </c>
      <c r="BM43" s="76">
        <f>BM41/BM42</f>
        <v>1.1304347826086956</v>
      </c>
      <c r="BN43" s="76"/>
      <c r="BO43" s="76">
        <f t="shared" ref="BO43:BU43" si="159">BO41/BO42</f>
        <v>0.90384615384615385</v>
      </c>
      <c r="BP43" s="76">
        <f t="shared" si="159"/>
        <v>0.820754716981132</v>
      </c>
      <c r="BQ43" s="76">
        <f t="shared" si="159"/>
        <v>0.83453237410071934</v>
      </c>
      <c r="BR43" s="76">
        <f t="shared" si="159"/>
        <v>0.84033613445378164</v>
      </c>
      <c r="BS43" s="211">
        <f t="shared" si="159"/>
        <v>0.90909090909090917</v>
      </c>
      <c r="BT43" s="211">
        <f t="shared" si="159"/>
        <v>1.7073170731707319</v>
      </c>
      <c r="BU43" s="211">
        <f t="shared" si="159"/>
        <v>1.2264150943396228</v>
      </c>
      <c r="BV43" s="211"/>
      <c r="BW43" s="20">
        <f t="shared" ref="BW43:CL43" si="160">BW41/BW42</f>
        <v>0.85714285714285698</v>
      </c>
      <c r="BX43" s="82">
        <f t="shared" si="160"/>
        <v>0.7777777777777779</v>
      </c>
      <c r="BY43" s="20">
        <f t="shared" si="160"/>
        <v>0.72727272727272729</v>
      </c>
      <c r="BZ43" s="20">
        <f t="shared" si="160"/>
        <v>0.79999999999999993</v>
      </c>
      <c r="CA43" s="20"/>
      <c r="CB43" s="20">
        <f t="shared" si="160"/>
        <v>0.56774193548387097</v>
      </c>
      <c r="CC43" s="84">
        <f t="shared" si="160"/>
        <v>0.82727272727272727</v>
      </c>
      <c r="CD43" s="85">
        <f t="shared" si="160"/>
        <v>0.72727272727272729</v>
      </c>
      <c r="CE43" s="84">
        <f t="shared" si="160"/>
        <v>0.90909090909090917</v>
      </c>
      <c r="CF43" s="219">
        <f t="shared" si="160"/>
        <v>1.0909090909090908</v>
      </c>
      <c r="CG43" s="84">
        <f t="shared" si="160"/>
        <v>1</v>
      </c>
      <c r="CH43" s="84">
        <f t="shared" si="160"/>
        <v>0.75</v>
      </c>
      <c r="CI43" s="84">
        <f t="shared" si="160"/>
        <v>0.8666666666666667</v>
      </c>
      <c r="CJ43" s="86"/>
      <c r="CK43" s="84">
        <f t="shared" si="160"/>
        <v>0.66666666666666674</v>
      </c>
      <c r="CL43" s="84">
        <f t="shared" si="160"/>
        <v>0.90909090909090917</v>
      </c>
      <c r="CM43" s="94"/>
      <c r="CN43" s="94">
        <f t="shared" ref="CN43:CV43" si="161">CN41/CN42</f>
        <v>0.99029126213592233</v>
      </c>
      <c r="CO43" s="94">
        <f t="shared" si="161"/>
        <v>0.92307692307692302</v>
      </c>
      <c r="CP43" s="94">
        <f t="shared" si="161"/>
        <v>1.0961538461538463</v>
      </c>
      <c r="CQ43" s="94">
        <f t="shared" si="161"/>
        <v>0.75974025974025983</v>
      </c>
      <c r="CR43" s="94">
        <f t="shared" si="161"/>
        <v>0.62365591397849462</v>
      </c>
      <c r="CS43" s="94">
        <f t="shared" si="161"/>
        <v>0.95412844036697242</v>
      </c>
      <c r="CT43" s="94">
        <f t="shared" si="161"/>
        <v>1.125</v>
      </c>
      <c r="CU43" s="94">
        <f t="shared" si="161"/>
        <v>0.91666666666666674</v>
      </c>
      <c r="CV43" s="94">
        <f t="shared" si="161"/>
        <v>0.85714285714285698</v>
      </c>
      <c r="CW43" s="254">
        <f>CW41/CW42</f>
        <v>0.89655172413793094</v>
      </c>
      <c r="CX43" s="254">
        <f t="shared" ref="CX43:DA43" si="162">CX41/CX42</f>
        <v>1.3084112149532712</v>
      </c>
      <c r="CY43" s="254"/>
      <c r="CZ43" s="254"/>
      <c r="DA43" s="254">
        <f t="shared" si="162"/>
        <v>0.75806451612903225</v>
      </c>
      <c r="DB43" s="254"/>
      <c r="DC43" s="254"/>
      <c r="DD43" s="254">
        <f t="shared" ref="DD43:DE43" si="163">DD41/DD42</f>
        <v>0.89999999999999991</v>
      </c>
      <c r="DE43" s="254">
        <f t="shared" si="163"/>
        <v>0.89999999999999991</v>
      </c>
      <c r="DF43" s="254"/>
      <c r="DG43" s="254">
        <f t="shared" ref="DG43:DN43" si="164">DG41/DG42</f>
        <v>0.75</v>
      </c>
      <c r="DH43" s="254">
        <f t="shared" si="164"/>
        <v>0.72727272727272729</v>
      </c>
      <c r="DI43" s="254">
        <f t="shared" si="164"/>
        <v>0.83333333333333337</v>
      </c>
      <c r="DJ43" s="213">
        <f t="shared" si="164"/>
        <v>0.98518518518518516</v>
      </c>
      <c r="DK43" s="213">
        <f t="shared" si="164"/>
        <v>0.78915662650602414</v>
      </c>
      <c r="DL43" s="213">
        <f t="shared" si="164"/>
        <v>1.08</v>
      </c>
      <c r="DM43" s="213">
        <f t="shared" si="164"/>
        <v>0.78915662650602414</v>
      </c>
      <c r="DN43" s="213">
        <f t="shared" si="164"/>
        <v>0.90769230769230758</v>
      </c>
      <c r="DO43" s="99"/>
      <c r="DP43" s="96">
        <f>DP41/DP42</f>
        <v>0.75</v>
      </c>
      <c r="DQ43" s="96">
        <f t="shared" ref="DQ43:DR43" si="165">DQ41/DQ42</f>
        <v>1.1384615384615384</v>
      </c>
      <c r="DR43" s="96">
        <f t="shared" si="165"/>
        <v>1.0538461538461539</v>
      </c>
      <c r="DS43" s="96"/>
      <c r="DT43" s="41">
        <f t="shared" ref="DT43:EQ43" si="166">DT41/DT42</f>
        <v>1.0588235294117645</v>
      </c>
      <c r="DU43" s="41">
        <f t="shared" si="166"/>
        <v>1.0526315789473684</v>
      </c>
      <c r="DV43" s="41">
        <f t="shared" si="166"/>
        <v>1.0227272727272727</v>
      </c>
      <c r="DW43" s="41">
        <f t="shared" si="166"/>
        <v>0.84545454545454546</v>
      </c>
      <c r="DX43" s="41">
        <f t="shared" si="166"/>
        <v>1.1176470588235294</v>
      </c>
      <c r="DY43" s="41">
        <f t="shared" si="166"/>
        <v>0.77227722772277219</v>
      </c>
      <c r="DZ43" s="41">
        <f t="shared" si="166"/>
        <v>0.86915887850467288</v>
      </c>
      <c r="EA43" s="41">
        <f t="shared" si="166"/>
        <v>0.80392156862745101</v>
      </c>
      <c r="EB43" s="41">
        <f t="shared" si="166"/>
        <v>0.94117647058823539</v>
      </c>
      <c r="EC43" s="41"/>
      <c r="ED43" s="41">
        <f t="shared" si="166"/>
        <v>0.82417582417582413</v>
      </c>
      <c r="EE43" s="100">
        <f t="shared" si="166"/>
        <v>0.94117647058823528</v>
      </c>
      <c r="EF43" s="100">
        <f t="shared" si="166"/>
        <v>0.93006993006993022</v>
      </c>
      <c r="EG43" s="100">
        <f t="shared" si="166"/>
        <v>0.76470588235294124</v>
      </c>
      <c r="EH43" s="100">
        <f t="shared" si="166"/>
        <v>0.80722891566265065</v>
      </c>
      <c r="EI43" s="100">
        <f t="shared" si="166"/>
        <v>0.82608695652173914</v>
      </c>
      <c r="EJ43" s="100">
        <f t="shared" si="166"/>
        <v>0.83571428571428563</v>
      </c>
      <c r="EK43" s="100">
        <f t="shared" si="166"/>
        <v>1.0823529411764705</v>
      </c>
      <c r="EL43" s="100"/>
      <c r="EM43" s="100">
        <f t="shared" si="166"/>
        <v>0.8203125</v>
      </c>
      <c r="EN43" s="100">
        <f t="shared" si="166"/>
        <v>0.93103448275862066</v>
      </c>
      <c r="EO43" s="100">
        <f t="shared" si="166"/>
        <v>0.93518518518518523</v>
      </c>
      <c r="EP43" s="100"/>
      <c r="EQ43" s="100">
        <f t="shared" si="166"/>
        <v>0.66666666666666663</v>
      </c>
      <c r="ER43" s="100"/>
      <c r="ES43" s="106"/>
      <c r="ET43" s="107">
        <f t="shared" ref="ET43:FF43" si="167">ET41/ET42</f>
        <v>0.90445859872611456</v>
      </c>
      <c r="EU43" s="106">
        <f t="shared" si="167"/>
        <v>0.56551724137931036</v>
      </c>
      <c r="EV43" s="108">
        <f t="shared" si="167"/>
        <v>1.0168067226890756</v>
      </c>
      <c r="EW43" s="106">
        <f t="shared" si="167"/>
        <v>0.68055555555555558</v>
      </c>
      <c r="EX43" s="109">
        <f t="shared" si="167"/>
        <v>1.168421052631579</v>
      </c>
      <c r="EY43" s="106">
        <f t="shared" si="167"/>
        <v>0.85585585585585588</v>
      </c>
      <c r="EZ43" s="110">
        <f t="shared" si="167"/>
        <v>1.1475409836065575</v>
      </c>
      <c r="FA43" s="106">
        <f t="shared" si="167"/>
        <v>0.74545454545454537</v>
      </c>
      <c r="FB43" s="107">
        <f t="shared" si="167"/>
        <v>0.81818181818181812</v>
      </c>
      <c r="FC43" s="107">
        <f t="shared" si="167"/>
        <v>0.92187499999999989</v>
      </c>
      <c r="FD43" s="107"/>
      <c r="FE43" s="107">
        <f t="shared" si="167"/>
        <v>1.0865384615384617</v>
      </c>
      <c r="FF43" s="107">
        <f t="shared" si="167"/>
        <v>0.77611940298507454</v>
      </c>
      <c r="FG43" s="116"/>
      <c r="FH43" s="115">
        <f t="shared" ref="FH43:GO43" si="168">FH41/FH42</f>
        <v>0.91666666666666674</v>
      </c>
      <c r="FI43" s="116"/>
      <c r="FJ43" s="227">
        <f t="shared" si="168"/>
        <v>1</v>
      </c>
      <c r="FK43" s="116"/>
      <c r="FL43" s="228">
        <f t="shared" si="168"/>
        <v>0.78400000000000003</v>
      </c>
      <c r="FM43" s="116">
        <f t="shared" si="168"/>
        <v>1.2380952380952381</v>
      </c>
      <c r="FN43" s="115">
        <f t="shared" si="168"/>
        <v>0.67052023121387294</v>
      </c>
      <c r="FO43" s="116"/>
      <c r="FP43" s="117">
        <f t="shared" si="168"/>
        <v>1.0825688073394495</v>
      </c>
      <c r="FQ43" s="116">
        <f t="shared" si="168"/>
        <v>0.74615384615384617</v>
      </c>
      <c r="FR43" s="119"/>
      <c r="FS43" s="119">
        <f t="shared" ref="FS43:GC43" si="169">FS41/FS42</f>
        <v>0.96835443037974678</v>
      </c>
      <c r="FT43" s="118">
        <f t="shared" si="169"/>
        <v>1.0785714285714285</v>
      </c>
      <c r="FU43" s="120">
        <f t="shared" si="169"/>
        <v>0.99230769230769234</v>
      </c>
      <c r="FV43" s="118">
        <f t="shared" si="169"/>
        <v>0.91366906474820142</v>
      </c>
      <c r="FW43" s="121">
        <f t="shared" si="169"/>
        <v>0.7383720930232559</v>
      </c>
      <c r="FX43" s="118">
        <f t="shared" si="169"/>
        <v>0.85207100591715967</v>
      </c>
      <c r="FY43" s="122">
        <f t="shared" si="169"/>
        <v>1.1461538461538461</v>
      </c>
      <c r="FZ43" s="118">
        <f t="shared" si="169"/>
        <v>1.0797101449275361</v>
      </c>
      <c r="GA43" s="123">
        <f t="shared" si="169"/>
        <v>0.67096774193548381</v>
      </c>
      <c r="GB43" s="123">
        <f t="shared" si="169"/>
        <v>0.8</v>
      </c>
      <c r="GC43" s="123">
        <f t="shared" si="169"/>
        <v>1.0614035087719298</v>
      </c>
      <c r="GD43" s="229">
        <f t="shared" si="168"/>
        <v>0.80733944954128434</v>
      </c>
      <c r="GE43" s="229">
        <f>GE41/GE42</f>
        <v>0.78181818181818175</v>
      </c>
      <c r="GF43" s="126">
        <f>GF41/GF42</f>
        <v>0.98275862068965514</v>
      </c>
      <c r="GG43" s="124">
        <f>GG41/GG42</f>
        <v>0.875</v>
      </c>
      <c r="GH43" s="127"/>
      <c r="GI43" s="124">
        <f>GI41/GI42</f>
        <v>0.95535714285714279</v>
      </c>
      <c r="GJ43" s="128">
        <f>GJ41/GJ42</f>
        <v>0.77868852459016391</v>
      </c>
      <c r="GK43" s="229"/>
      <c r="GL43" s="229">
        <f t="shared" si="168"/>
        <v>0.79999999999999993</v>
      </c>
      <c r="GM43" s="229">
        <f t="shared" si="168"/>
        <v>0.81818181818181812</v>
      </c>
      <c r="GN43" s="229">
        <f t="shared" si="168"/>
        <v>0.81818181818181812</v>
      </c>
      <c r="GO43" s="229">
        <f t="shared" si="168"/>
        <v>0.88888888888888895</v>
      </c>
      <c r="GP43" s="229"/>
      <c r="GQ43" s="229"/>
      <c r="GR43" s="229"/>
      <c r="GS43" s="229">
        <f t="shared" ref="GS43" si="170">GS41/GS42</f>
        <v>1</v>
      </c>
      <c r="GT43" s="92"/>
      <c r="GU43" s="92">
        <f t="shared" ref="GU43:HF43" si="171">GU41/GU42</f>
        <v>1.4811320754716981</v>
      </c>
      <c r="GV43" s="130">
        <f t="shared" si="171"/>
        <v>0.6875</v>
      </c>
      <c r="GW43" s="91">
        <f t="shared" si="171"/>
        <v>0.6875</v>
      </c>
      <c r="GX43" s="94"/>
      <c r="GY43" s="92">
        <f t="shared" si="171"/>
        <v>0.97916666666666663</v>
      </c>
      <c r="GZ43" s="90">
        <f t="shared" si="171"/>
        <v>0.95569620253164556</v>
      </c>
      <c r="HA43" s="92">
        <f t="shared" si="171"/>
        <v>1.1014492753623186</v>
      </c>
      <c r="HB43" s="91">
        <f t="shared" si="171"/>
        <v>0.99275362318840576</v>
      </c>
      <c r="HC43" s="93">
        <f t="shared" si="171"/>
        <v>0.87401574803149606</v>
      </c>
      <c r="HD43" s="92">
        <f t="shared" si="171"/>
        <v>0.78125</v>
      </c>
      <c r="HE43" s="94"/>
      <c r="HF43" s="92">
        <f t="shared" si="171"/>
        <v>0.87301587301587302</v>
      </c>
      <c r="HG43" s="18"/>
      <c r="HH43" s="18"/>
    </row>
    <row r="44" spans="1:216" customFormat="1" x14ac:dyDescent="0.25">
      <c r="A44" t="s">
        <v>289</v>
      </c>
      <c r="B44" s="132">
        <f>B36/B41</f>
        <v>1.911111111111111</v>
      </c>
      <c r="C44" s="132">
        <f t="shared" ref="C44:BU44" si="172">C36/C41</f>
        <v>1.9436619718309862</v>
      </c>
      <c r="D44" s="132">
        <f t="shared" si="172"/>
        <v>2.0948905109489049</v>
      </c>
      <c r="E44" s="132">
        <f t="shared" si="172"/>
        <v>1.6944444444444446</v>
      </c>
      <c r="F44" s="132">
        <f t="shared" si="172"/>
        <v>2.4672897196261685</v>
      </c>
      <c r="G44" s="132">
        <f t="shared" si="172"/>
        <v>2.9078947368421053</v>
      </c>
      <c r="H44" s="132">
        <f t="shared" si="172"/>
        <v>2.1485148514851482</v>
      </c>
      <c r="I44" s="132">
        <f t="shared" si="172"/>
        <v>2.2826086956521738</v>
      </c>
      <c r="J44" s="132">
        <f t="shared" si="172"/>
        <v>2.1320754716981134</v>
      </c>
      <c r="K44" s="132">
        <f t="shared" si="172"/>
        <v>2.68</v>
      </c>
      <c r="L44" s="132">
        <f t="shared" si="172"/>
        <v>2.5039370078740157</v>
      </c>
      <c r="M44" s="132">
        <f t="shared" si="172"/>
        <v>1.8928571428571428</v>
      </c>
      <c r="N44" s="132">
        <f t="shared" si="172"/>
        <v>1.9903846153846154</v>
      </c>
      <c r="O44" s="132">
        <f t="shared" si="172"/>
        <v>1.5</v>
      </c>
      <c r="P44" s="132">
        <f t="shared" si="172"/>
        <v>2.0714285714285716</v>
      </c>
      <c r="Q44" s="132">
        <f t="shared" si="172"/>
        <v>1.831578947368421</v>
      </c>
      <c r="R44" s="133">
        <f t="shared" si="172"/>
        <v>2.3199999999999998</v>
      </c>
      <c r="S44" s="133">
        <f t="shared" si="172"/>
        <v>1.9903846153846154</v>
      </c>
      <c r="T44" s="133">
        <f t="shared" si="172"/>
        <v>2.6279069767441863</v>
      </c>
      <c r="U44" s="133">
        <f t="shared" si="172"/>
        <v>1.9134615384615385</v>
      </c>
      <c r="V44" s="133">
        <f t="shared" si="172"/>
        <v>2.1473684210526316</v>
      </c>
      <c r="W44" s="133">
        <f t="shared" si="172"/>
        <v>2.3267326732673266</v>
      </c>
      <c r="X44" s="133">
        <f t="shared" si="172"/>
        <v>1.8152173913043479</v>
      </c>
      <c r="Y44" s="133">
        <f t="shared" si="172"/>
        <v>2.4</v>
      </c>
      <c r="Z44" s="133">
        <f t="shared" si="172"/>
        <v>2.4444444444444446</v>
      </c>
      <c r="AA44" s="133">
        <f t="shared" si="172"/>
        <v>1.7</v>
      </c>
      <c r="AB44" s="133">
        <f t="shared" si="172"/>
        <v>1.7777777777777779</v>
      </c>
      <c r="AC44" s="133"/>
      <c r="AD44" s="133"/>
      <c r="AE44" s="133"/>
      <c r="AF44" s="133"/>
      <c r="AG44" s="134">
        <f t="shared" si="172"/>
        <v>2.714285714285714</v>
      </c>
      <c r="AH44" s="134">
        <f t="shared" si="172"/>
        <v>2.5714285714285712</v>
      </c>
      <c r="AI44" s="134">
        <f t="shared" si="172"/>
        <v>3.4250000000000003</v>
      </c>
      <c r="AJ44" s="134">
        <f t="shared" si="172"/>
        <v>3.4285714285714279</v>
      </c>
      <c r="AK44" s="134">
        <f t="shared" si="172"/>
        <v>3.2777777777777777</v>
      </c>
      <c r="AL44" s="134">
        <f t="shared" si="172"/>
        <v>4.0238095238095237</v>
      </c>
      <c r="AM44" s="134">
        <f t="shared" si="172"/>
        <v>3.0869565217391304</v>
      </c>
      <c r="AN44" s="134">
        <f t="shared" si="172"/>
        <v>2.6857142857142855</v>
      </c>
      <c r="AO44" s="135">
        <f t="shared" si="172"/>
        <v>1.1666666666666667</v>
      </c>
      <c r="AP44" s="135">
        <f t="shared" si="172"/>
        <v>1.4583333333333333</v>
      </c>
      <c r="AQ44" s="135">
        <f t="shared" si="172"/>
        <v>2.4782608695652177</v>
      </c>
      <c r="AR44" s="135">
        <f t="shared" si="172"/>
        <v>2.045045045045045</v>
      </c>
      <c r="AS44" s="135">
        <f t="shared" si="172"/>
        <v>2.2452830188679247</v>
      </c>
      <c r="AT44" s="135">
        <f t="shared" si="172"/>
        <v>2.1531531531531529</v>
      </c>
      <c r="AU44" s="135">
        <f t="shared" si="172"/>
        <v>2.2000000000000002</v>
      </c>
      <c r="AV44" s="135">
        <f t="shared" si="172"/>
        <v>2.2621359223300974</v>
      </c>
      <c r="AW44" s="135">
        <f t="shared" si="172"/>
        <v>1.4014598540145984</v>
      </c>
      <c r="AX44" s="136">
        <f t="shared" si="172"/>
        <v>1.9207920792079207</v>
      </c>
      <c r="AY44" s="136">
        <f t="shared" si="172"/>
        <v>1.6902654867256637</v>
      </c>
      <c r="AZ44" s="136">
        <f t="shared" si="172"/>
        <v>1.9578947368421051</v>
      </c>
      <c r="BA44" s="136">
        <f t="shared" si="172"/>
        <v>2.4069767441860468</v>
      </c>
      <c r="BB44" s="136">
        <f t="shared" si="172"/>
        <v>2.0163934426229506</v>
      </c>
      <c r="BC44" s="136">
        <f t="shared" si="172"/>
        <v>2.3177570093457942</v>
      </c>
      <c r="BD44" s="136">
        <f t="shared" si="172"/>
        <v>2.1452991452991452</v>
      </c>
      <c r="BE44" s="136">
        <f t="shared" si="172"/>
        <v>2.3760683760683761</v>
      </c>
      <c r="BF44" s="136"/>
      <c r="BG44" s="137"/>
      <c r="BH44" s="137"/>
      <c r="BI44" s="137">
        <f t="shared" si="172"/>
        <v>2.166666666666667</v>
      </c>
      <c r="BJ44" s="137">
        <f t="shared" si="172"/>
        <v>1.3648648648648649</v>
      </c>
      <c r="BK44" s="137">
        <f t="shared" si="172"/>
        <v>2.0090090090090089</v>
      </c>
      <c r="BL44" s="137">
        <f t="shared" si="172"/>
        <v>1.2567567567567568</v>
      </c>
      <c r="BM44" s="137">
        <f t="shared" si="172"/>
        <v>2.0576923076923079</v>
      </c>
      <c r="BN44" s="137"/>
      <c r="BO44" s="137">
        <f t="shared" ref="BO44:BR44" si="173">BO36/BO41</f>
        <v>1.7765957446808511</v>
      </c>
      <c r="BP44" s="137">
        <f t="shared" si="173"/>
        <v>2.3333333333333335</v>
      </c>
      <c r="BQ44" s="137">
        <f t="shared" si="173"/>
        <v>1.603448275862069</v>
      </c>
      <c r="BR44" s="137">
        <f t="shared" si="173"/>
        <v>1.93</v>
      </c>
      <c r="BS44" s="81">
        <f t="shared" si="172"/>
        <v>2.48</v>
      </c>
      <c r="BT44" s="81">
        <f t="shared" si="172"/>
        <v>1.857142857142857</v>
      </c>
      <c r="BU44" s="81">
        <f t="shared" si="172"/>
        <v>2.0153846153846153</v>
      </c>
      <c r="BV44" s="81"/>
      <c r="BW44" s="79">
        <f t="shared" ref="BW44:CL44" si="174">BW36/BW41</f>
        <v>2.2500000000000004</v>
      </c>
      <c r="BX44" s="171">
        <f t="shared" si="174"/>
        <v>2.5714285714285712</v>
      </c>
      <c r="BY44" s="79">
        <f t="shared" si="174"/>
        <v>1.7500000000000002</v>
      </c>
      <c r="BZ44" s="79">
        <f t="shared" si="174"/>
        <v>2</v>
      </c>
      <c r="CA44" s="79">
        <f t="shared" si="174"/>
        <v>1.7777777777777779</v>
      </c>
      <c r="CB44" s="79">
        <f t="shared" si="174"/>
        <v>3.375</v>
      </c>
      <c r="CC44" s="173">
        <f t="shared" si="174"/>
        <v>2.4285714285714288</v>
      </c>
      <c r="CD44" s="174">
        <f t="shared" si="174"/>
        <v>3</v>
      </c>
      <c r="CE44" s="173">
        <f t="shared" si="174"/>
        <v>2.5</v>
      </c>
      <c r="CF44" s="175">
        <f t="shared" si="174"/>
        <v>2.7500000000000004</v>
      </c>
      <c r="CG44" s="173">
        <f t="shared" si="174"/>
        <v>2.8999999999999995</v>
      </c>
      <c r="CH44" s="173">
        <f t="shared" si="174"/>
        <v>3.2222222222222223</v>
      </c>
      <c r="CI44" s="173">
        <f t="shared" si="174"/>
        <v>2.6153846153846154</v>
      </c>
      <c r="CJ44" s="176"/>
      <c r="CK44" s="173">
        <f t="shared" si="174"/>
        <v>3.6249999999999996</v>
      </c>
      <c r="CL44" s="173">
        <f t="shared" si="174"/>
        <v>2.8999999999999995</v>
      </c>
      <c r="CM44" s="87"/>
      <c r="CN44" s="87">
        <f t="shared" ref="CN44:EY44" si="175">CN36/CN41</f>
        <v>2.2549019607843142</v>
      </c>
      <c r="CO44" s="87">
        <f t="shared" si="175"/>
        <v>2.5</v>
      </c>
      <c r="CP44" s="87">
        <f t="shared" si="175"/>
        <v>2.0175438596491229</v>
      </c>
      <c r="CQ44" s="87">
        <f t="shared" si="175"/>
        <v>2.4017094017094016</v>
      </c>
      <c r="CR44" s="87">
        <f t="shared" si="175"/>
        <v>2.2155172413793105</v>
      </c>
      <c r="CS44" s="87">
        <f t="shared" si="175"/>
        <v>2.3653846153846154</v>
      </c>
      <c r="CT44" s="87">
        <f t="shared" si="175"/>
        <v>2.6666666666666665</v>
      </c>
      <c r="CU44" s="87">
        <f t="shared" si="175"/>
        <v>2.4545454545454546</v>
      </c>
      <c r="CV44" s="87">
        <f t="shared" si="175"/>
        <v>2.3333333333333335</v>
      </c>
      <c r="CW44" s="250">
        <f t="shared" si="175"/>
        <v>1.5480769230769231</v>
      </c>
      <c r="CX44" s="250">
        <f t="shared" si="175"/>
        <v>1.0357142857142856</v>
      </c>
      <c r="CY44" s="250"/>
      <c r="CZ44" s="250">
        <f t="shared" si="175"/>
        <v>1.8921568627450982</v>
      </c>
      <c r="DA44" s="250">
        <f t="shared" si="175"/>
        <v>1.7872340425531916</v>
      </c>
      <c r="DB44" s="250">
        <f t="shared" si="175"/>
        <v>1.6831683168316831</v>
      </c>
      <c r="DC44" s="250">
        <f t="shared" si="175"/>
        <v>1.7403846153846154</v>
      </c>
      <c r="DD44" s="250">
        <f t="shared" si="175"/>
        <v>2</v>
      </c>
      <c r="DE44" s="250">
        <f t="shared" si="175"/>
        <v>1.7777777777777779</v>
      </c>
      <c r="DF44" s="250"/>
      <c r="DG44" s="250">
        <f t="shared" ref="DG44:DI44" si="176">DG36/DG41</f>
        <v>1.8888888888888891</v>
      </c>
      <c r="DH44" s="250">
        <f t="shared" si="176"/>
        <v>2.125</v>
      </c>
      <c r="DI44" s="250">
        <f t="shared" si="176"/>
        <v>1.7</v>
      </c>
      <c r="DJ44" s="140">
        <f t="shared" si="175"/>
        <v>1.9774436090225564</v>
      </c>
      <c r="DK44" s="140">
        <f t="shared" si="175"/>
        <v>2.1374045801526718</v>
      </c>
      <c r="DL44" s="140">
        <f t="shared" si="175"/>
        <v>2.074074074074074</v>
      </c>
      <c r="DM44" s="140"/>
      <c r="DN44" s="140">
        <f t="shared" si="175"/>
        <v>2.3728813559322037</v>
      </c>
      <c r="DO44" s="184">
        <f t="shared" si="175"/>
        <v>1.9285714285714286</v>
      </c>
      <c r="DP44" s="181">
        <f t="shared" si="175"/>
        <v>2.3333333333333335</v>
      </c>
      <c r="DQ44" s="181">
        <f t="shared" si="175"/>
        <v>1.6081081081081081</v>
      </c>
      <c r="DR44" s="181">
        <f t="shared" si="175"/>
        <v>1.9854014598540146</v>
      </c>
      <c r="DS44" s="181"/>
      <c r="DT44" s="138">
        <f t="shared" ref="DT44:EB44" si="177">DT36/DT41</f>
        <v>1.7666666666666668</v>
      </c>
      <c r="DU44" s="138">
        <f t="shared" si="177"/>
        <v>2.0699999999999998</v>
      </c>
      <c r="DV44" s="138">
        <f t="shared" si="177"/>
        <v>2.0333333333333332</v>
      </c>
      <c r="DW44" s="138">
        <f t="shared" si="177"/>
        <v>2.118279569892473</v>
      </c>
      <c r="DX44" s="138">
        <f t="shared" si="177"/>
        <v>2.1052631578947367</v>
      </c>
      <c r="DY44" s="138">
        <f t="shared" si="177"/>
        <v>1.9230769230769229</v>
      </c>
      <c r="DZ44" s="138">
        <f t="shared" si="177"/>
        <v>1.6344086021505375</v>
      </c>
      <c r="EA44" s="138">
        <f t="shared" si="177"/>
        <v>2.0731707317073171</v>
      </c>
      <c r="EB44" s="138">
        <f t="shared" si="177"/>
        <v>1.5104166666666665</v>
      </c>
      <c r="EC44" s="138"/>
      <c r="ED44" s="138">
        <f>ED36/ED41</f>
        <v>1.8933333333333333</v>
      </c>
      <c r="EE44" s="185">
        <f t="shared" si="175"/>
        <v>2.3984375</v>
      </c>
      <c r="EF44" s="185">
        <f t="shared" si="175"/>
        <v>2.481203007518797</v>
      </c>
      <c r="EG44" s="185">
        <f t="shared" si="175"/>
        <v>2.5555555555555554</v>
      </c>
      <c r="EH44" s="185">
        <f t="shared" si="175"/>
        <v>2.3880597014925371</v>
      </c>
      <c r="EI44" s="185">
        <f t="shared" si="175"/>
        <v>2.2526315789473683</v>
      </c>
      <c r="EJ44" s="185">
        <f t="shared" si="175"/>
        <v>2.2820512820512819</v>
      </c>
      <c r="EK44" s="185">
        <f t="shared" si="175"/>
        <v>2.0217391304347827</v>
      </c>
      <c r="EL44" s="185"/>
      <c r="EM44" s="185">
        <f t="shared" si="175"/>
        <v>2.1714285714285717</v>
      </c>
      <c r="EN44" s="185">
        <f t="shared" si="175"/>
        <v>2.0370370370370372</v>
      </c>
      <c r="EO44" s="185">
        <f t="shared" si="175"/>
        <v>2.3762376237623761</v>
      </c>
      <c r="EP44" s="185"/>
      <c r="EQ44" s="185">
        <f t="shared" si="175"/>
        <v>2.0090909090909093</v>
      </c>
      <c r="ER44" s="185"/>
      <c r="ES44" s="191">
        <f t="shared" si="175"/>
        <v>2.2815533980582523</v>
      </c>
      <c r="ET44" s="192">
        <f t="shared" si="175"/>
        <v>1.535211267605634</v>
      </c>
      <c r="EU44" s="191">
        <f t="shared" si="175"/>
        <v>2.3414634146341462</v>
      </c>
      <c r="EV44" s="193">
        <f t="shared" si="175"/>
        <v>1.71900826446281</v>
      </c>
      <c r="EW44" s="191">
        <f t="shared" si="175"/>
        <v>2.0918367346938775</v>
      </c>
      <c r="EX44" s="194">
        <f t="shared" si="175"/>
        <v>1.810810810810811</v>
      </c>
      <c r="EY44" s="191">
        <f t="shared" si="175"/>
        <v>1.6421052631578947</v>
      </c>
      <c r="EZ44" s="195">
        <f t="shared" ref="EZ44:GO44" si="178">EZ36/EZ41</f>
        <v>1.9785714285714286</v>
      </c>
      <c r="FA44" s="191">
        <f t="shared" si="178"/>
        <v>2.065040650406504</v>
      </c>
      <c r="FB44" s="192">
        <f t="shared" si="178"/>
        <v>2.1944444444444442</v>
      </c>
      <c r="FC44" s="192">
        <f t="shared" si="178"/>
        <v>1.6949152542372883</v>
      </c>
      <c r="FD44" s="192"/>
      <c r="FE44" s="192">
        <f t="shared" si="178"/>
        <v>1.8672566371681414</v>
      </c>
      <c r="FF44" s="192">
        <f t="shared" si="178"/>
        <v>1.8846153846153848</v>
      </c>
      <c r="FG44" s="111"/>
      <c r="FH44" s="112">
        <f t="shared" si="178"/>
        <v>1.5454545454545456</v>
      </c>
      <c r="FI44" s="111"/>
      <c r="FJ44" s="113">
        <f t="shared" si="178"/>
        <v>1.5666666666666667</v>
      </c>
      <c r="FK44" s="111"/>
      <c r="FL44" s="114">
        <f t="shared" si="178"/>
        <v>1.8367346938775508</v>
      </c>
      <c r="FM44" s="111">
        <f t="shared" si="178"/>
        <v>1.276923076923077</v>
      </c>
      <c r="FN44" s="112">
        <f t="shared" si="178"/>
        <v>1.5948275862068964</v>
      </c>
      <c r="FO44" s="111"/>
      <c r="FP44" s="196">
        <f t="shared" si="178"/>
        <v>1.6271186440677967</v>
      </c>
      <c r="FQ44" s="111">
        <f t="shared" si="178"/>
        <v>2.1649484536082473</v>
      </c>
      <c r="FR44" s="198"/>
      <c r="FS44" s="198">
        <f t="shared" ref="FS44:GC44" si="179">FS36/FS41</f>
        <v>2.5620915032679741</v>
      </c>
      <c r="FT44" s="197">
        <f t="shared" si="179"/>
        <v>2.4966887417218544</v>
      </c>
      <c r="FU44" s="199">
        <f t="shared" si="179"/>
        <v>1.8682170542635659</v>
      </c>
      <c r="FV44" s="197">
        <f t="shared" si="179"/>
        <v>2.2204724409448815</v>
      </c>
      <c r="FW44" s="200">
        <f t="shared" si="179"/>
        <v>2.1259842519685042</v>
      </c>
      <c r="FX44" s="197">
        <f t="shared" si="179"/>
        <v>2.3263888888888893</v>
      </c>
      <c r="FY44" s="201">
        <f t="shared" si="179"/>
        <v>2.3288590604026846</v>
      </c>
      <c r="FZ44" s="197">
        <f t="shared" si="179"/>
        <v>2.4496644295302015</v>
      </c>
      <c r="GA44" s="202">
        <f t="shared" si="179"/>
        <v>2.9423076923076925</v>
      </c>
      <c r="GB44" s="202">
        <f t="shared" si="179"/>
        <v>3.166666666666667</v>
      </c>
      <c r="GC44" s="202">
        <f t="shared" si="179"/>
        <v>2.2314049586776861</v>
      </c>
      <c r="GD44" s="125">
        <f t="shared" si="178"/>
        <v>2.0909090909090908</v>
      </c>
      <c r="GE44" s="125">
        <f t="shared" si="178"/>
        <v>2.4534883720930232</v>
      </c>
      <c r="GF44" s="203">
        <f t="shared" si="178"/>
        <v>1.4736842105263159</v>
      </c>
      <c r="GG44" s="204">
        <f t="shared" si="178"/>
        <v>1.912087912087912</v>
      </c>
      <c r="GH44" s="205">
        <f t="shared" si="178"/>
        <v>1.7127659574468086</v>
      </c>
      <c r="GI44" s="204">
        <f t="shared" si="178"/>
        <v>1.3925233644859814</v>
      </c>
      <c r="GJ44" s="206">
        <f t="shared" si="178"/>
        <v>1.5263157894736841</v>
      </c>
      <c r="GK44" s="125"/>
      <c r="GL44" s="125">
        <f t="shared" si="178"/>
        <v>1.875</v>
      </c>
      <c r="GM44" s="125">
        <f t="shared" si="178"/>
        <v>1.7777777777777779</v>
      </c>
      <c r="GN44" s="125">
        <f t="shared" si="178"/>
        <v>1.7777777777777779</v>
      </c>
      <c r="GO44" s="125">
        <f t="shared" si="178"/>
        <v>1.625</v>
      </c>
      <c r="GP44" s="125"/>
      <c r="GQ44" s="125"/>
      <c r="GR44" s="125"/>
      <c r="GS44" s="125">
        <f t="shared" ref="GS44:HD44" si="180">GS36/GS41</f>
        <v>2</v>
      </c>
      <c r="GT44" s="88">
        <f t="shared" si="180"/>
        <v>1.52</v>
      </c>
      <c r="GU44" s="88">
        <f t="shared" si="180"/>
        <v>1.4777070063694269</v>
      </c>
      <c r="GV44" s="207">
        <f t="shared" si="180"/>
        <v>2.4181818181818184</v>
      </c>
      <c r="GW44" s="178">
        <f t="shared" si="180"/>
        <v>2.4727272727272731</v>
      </c>
      <c r="GX44" s="87">
        <f t="shared" si="180"/>
        <v>1.7986111111111114</v>
      </c>
      <c r="GY44" s="88">
        <f t="shared" si="180"/>
        <v>1.9503546099290783</v>
      </c>
      <c r="GZ44" s="177">
        <f t="shared" si="180"/>
        <v>1.8013245033112584</v>
      </c>
      <c r="HA44" s="88">
        <f t="shared" si="180"/>
        <v>1.7763157894736843</v>
      </c>
      <c r="HB44" s="178">
        <f t="shared" si="180"/>
        <v>1.7883211678832116</v>
      </c>
      <c r="HC44" s="179">
        <f t="shared" si="180"/>
        <v>1.8648648648648647</v>
      </c>
      <c r="HD44" s="88">
        <f t="shared" si="180"/>
        <v>2.2999999999999998</v>
      </c>
      <c r="HE44" s="87"/>
      <c r="HF44" s="88">
        <f t="shared" ref="HF44" si="181">HF36/HF41</f>
        <v>2.1</v>
      </c>
      <c r="HG44" s="146"/>
      <c r="HH44" s="146"/>
    </row>
    <row r="45" spans="1:216" customFormat="1" x14ac:dyDescent="0.25">
      <c r="A45" t="s">
        <v>95</v>
      </c>
      <c r="B45" s="264">
        <v>0</v>
      </c>
      <c r="C45" s="264">
        <v>0</v>
      </c>
      <c r="D45" s="264">
        <v>0</v>
      </c>
      <c r="E45" s="264">
        <v>0</v>
      </c>
      <c r="F45" s="264">
        <v>0</v>
      </c>
      <c r="G45" s="264">
        <v>0</v>
      </c>
      <c r="H45" s="264">
        <v>0</v>
      </c>
      <c r="I45" s="264">
        <v>0</v>
      </c>
      <c r="J45" s="264">
        <v>0</v>
      </c>
      <c r="K45" s="264">
        <v>0</v>
      </c>
      <c r="L45" s="264">
        <v>0</v>
      </c>
      <c r="M45" s="264">
        <v>0</v>
      </c>
      <c r="N45" s="264">
        <v>0</v>
      </c>
      <c r="O45" s="264">
        <v>0</v>
      </c>
      <c r="P45" s="264">
        <v>0</v>
      </c>
      <c r="Q45" s="264">
        <v>0</v>
      </c>
      <c r="R45" s="263">
        <v>0</v>
      </c>
      <c r="S45" s="263">
        <v>0</v>
      </c>
      <c r="T45" s="263">
        <v>0</v>
      </c>
      <c r="U45" s="263">
        <v>0</v>
      </c>
      <c r="V45" s="263">
        <v>0</v>
      </c>
      <c r="W45" s="263">
        <v>0</v>
      </c>
      <c r="X45" s="263">
        <v>0</v>
      </c>
      <c r="Y45" s="263">
        <v>0</v>
      </c>
      <c r="Z45" s="263">
        <v>0</v>
      </c>
      <c r="AA45" s="263">
        <v>0</v>
      </c>
      <c r="AB45" s="263">
        <v>0</v>
      </c>
      <c r="AC45" s="263">
        <v>0</v>
      </c>
      <c r="AD45" s="263">
        <v>0</v>
      </c>
      <c r="AE45" s="263">
        <v>0</v>
      </c>
      <c r="AF45" s="263">
        <v>0</v>
      </c>
      <c r="AG45" s="262">
        <v>1</v>
      </c>
      <c r="AH45" s="262">
        <v>1</v>
      </c>
      <c r="AI45" s="262">
        <v>1</v>
      </c>
      <c r="AJ45" s="262">
        <v>1</v>
      </c>
      <c r="AK45" s="262">
        <v>1</v>
      </c>
      <c r="AL45" s="262">
        <v>1</v>
      </c>
      <c r="AM45" s="262">
        <v>1</v>
      </c>
      <c r="AN45" s="262">
        <v>1</v>
      </c>
      <c r="AO45" s="260">
        <v>2</v>
      </c>
      <c r="AP45" s="260">
        <v>2</v>
      </c>
      <c r="AQ45" s="260">
        <v>2</v>
      </c>
      <c r="AR45" s="260">
        <v>2</v>
      </c>
      <c r="AS45" s="260">
        <v>2</v>
      </c>
      <c r="AT45" s="260">
        <v>2</v>
      </c>
      <c r="AU45" s="260">
        <v>2</v>
      </c>
      <c r="AV45" s="260">
        <v>2</v>
      </c>
      <c r="AW45" s="260">
        <v>2</v>
      </c>
      <c r="AX45" s="259">
        <v>0</v>
      </c>
      <c r="AY45" s="259">
        <v>0</v>
      </c>
      <c r="AZ45" s="259">
        <v>0</v>
      </c>
      <c r="BA45" s="259">
        <v>0</v>
      </c>
      <c r="BB45" s="259">
        <v>0</v>
      </c>
      <c r="BC45" s="259">
        <v>0</v>
      </c>
      <c r="BD45" s="259">
        <v>0</v>
      </c>
      <c r="BE45" s="259">
        <v>0</v>
      </c>
      <c r="BF45" s="259">
        <v>0</v>
      </c>
      <c r="BG45" s="258">
        <v>1</v>
      </c>
      <c r="BH45" s="258">
        <v>1</v>
      </c>
      <c r="BI45" s="258">
        <v>1</v>
      </c>
      <c r="BJ45" s="258">
        <v>1</v>
      </c>
      <c r="BK45" s="258">
        <v>1</v>
      </c>
      <c r="BL45" s="258">
        <v>1</v>
      </c>
      <c r="BM45" s="258">
        <v>1</v>
      </c>
      <c r="BN45" s="258">
        <v>1</v>
      </c>
      <c r="BO45" s="258">
        <v>1</v>
      </c>
      <c r="BP45" s="258">
        <v>1</v>
      </c>
      <c r="BQ45" s="258">
        <v>1</v>
      </c>
      <c r="BR45" s="258">
        <v>1</v>
      </c>
      <c r="BS45" s="237">
        <v>3</v>
      </c>
      <c r="BT45" s="237">
        <v>3</v>
      </c>
      <c r="BU45" s="237">
        <v>3</v>
      </c>
      <c r="BV45" s="237">
        <v>3</v>
      </c>
      <c r="BW45" s="237">
        <v>3</v>
      </c>
      <c r="BX45" s="237">
        <v>3</v>
      </c>
      <c r="BY45" s="237">
        <v>3</v>
      </c>
      <c r="BZ45" s="237">
        <v>3</v>
      </c>
      <c r="CA45" s="237">
        <v>3</v>
      </c>
      <c r="CB45" s="237">
        <v>3</v>
      </c>
      <c r="CC45" s="257">
        <v>3</v>
      </c>
      <c r="CD45" s="257">
        <v>3</v>
      </c>
      <c r="CE45" s="257">
        <v>3</v>
      </c>
      <c r="CF45" s="257">
        <v>3</v>
      </c>
      <c r="CG45" s="257">
        <v>3</v>
      </c>
      <c r="CH45" s="257">
        <v>3</v>
      </c>
      <c r="CI45" s="257">
        <v>3</v>
      </c>
      <c r="CJ45" s="257">
        <v>3</v>
      </c>
      <c r="CK45" s="257">
        <v>3</v>
      </c>
      <c r="CL45" s="257">
        <v>3</v>
      </c>
      <c r="CM45" s="234">
        <v>3</v>
      </c>
      <c r="CN45" s="234">
        <v>3</v>
      </c>
      <c r="CO45" s="234">
        <v>3</v>
      </c>
      <c r="CP45" s="234">
        <v>3</v>
      </c>
      <c r="CQ45" s="234">
        <v>3</v>
      </c>
      <c r="CR45" s="234">
        <v>3</v>
      </c>
      <c r="CS45" s="234">
        <v>3</v>
      </c>
      <c r="CT45" s="234">
        <v>3</v>
      </c>
      <c r="CU45" s="234">
        <v>3</v>
      </c>
      <c r="CV45" s="234">
        <v>3</v>
      </c>
      <c r="CW45" s="256">
        <v>1</v>
      </c>
      <c r="CX45" s="256">
        <v>1</v>
      </c>
      <c r="CY45" s="256">
        <v>1</v>
      </c>
      <c r="CZ45" s="256">
        <v>1</v>
      </c>
      <c r="DA45" s="256">
        <v>1</v>
      </c>
      <c r="DB45" s="256">
        <v>1</v>
      </c>
      <c r="DC45" s="256">
        <v>1</v>
      </c>
      <c r="DD45" s="256">
        <v>1</v>
      </c>
      <c r="DE45" s="256">
        <v>1</v>
      </c>
      <c r="DF45" s="256">
        <v>1</v>
      </c>
      <c r="DG45" s="256">
        <v>1</v>
      </c>
      <c r="DH45" s="256">
        <v>1</v>
      </c>
      <c r="DI45" s="256">
        <v>1</v>
      </c>
      <c r="DJ45" s="241">
        <v>0</v>
      </c>
      <c r="DK45" s="241">
        <v>0</v>
      </c>
      <c r="DL45" s="241">
        <v>0</v>
      </c>
      <c r="DM45" s="241">
        <v>0</v>
      </c>
      <c r="DN45" s="241">
        <v>0</v>
      </c>
      <c r="DO45" s="241">
        <v>0</v>
      </c>
      <c r="DP45" s="241">
        <v>0</v>
      </c>
      <c r="DQ45" s="241">
        <v>0</v>
      </c>
      <c r="DR45" s="241">
        <v>0</v>
      </c>
      <c r="DS45" s="241">
        <v>0</v>
      </c>
      <c r="DT45" s="220">
        <v>0</v>
      </c>
      <c r="DU45" s="220">
        <v>0</v>
      </c>
      <c r="DV45" s="220">
        <v>0</v>
      </c>
      <c r="DW45" s="220">
        <v>0</v>
      </c>
      <c r="DX45" s="220">
        <v>0</v>
      </c>
      <c r="DY45" s="220">
        <v>0</v>
      </c>
      <c r="DZ45" s="220">
        <v>0</v>
      </c>
      <c r="EA45" s="220">
        <v>0</v>
      </c>
      <c r="EB45" s="220">
        <v>0</v>
      </c>
      <c r="EC45" s="220">
        <v>0</v>
      </c>
      <c r="ED45" s="220">
        <v>0</v>
      </c>
      <c r="EE45" s="240">
        <v>5</v>
      </c>
      <c r="EF45" s="240">
        <v>5</v>
      </c>
      <c r="EG45" s="240">
        <v>5</v>
      </c>
      <c r="EH45" s="240">
        <v>5</v>
      </c>
      <c r="EI45" s="240">
        <v>5</v>
      </c>
      <c r="EJ45" s="240">
        <v>5</v>
      </c>
      <c r="EK45" s="240">
        <v>5</v>
      </c>
      <c r="EL45" s="240">
        <v>5</v>
      </c>
      <c r="EM45" s="240">
        <v>5</v>
      </c>
      <c r="EN45" s="240">
        <v>5</v>
      </c>
      <c r="EO45" s="240">
        <v>5</v>
      </c>
      <c r="EP45" s="240">
        <v>5</v>
      </c>
      <c r="EQ45" s="240">
        <v>5</v>
      </c>
      <c r="ER45" s="240">
        <v>5</v>
      </c>
      <c r="ES45" s="239">
        <v>0</v>
      </c>
      <c r="ET45" s="239">
        <v>0</v>
      </c>
      <c r="EU45" s="239">
        <v>0</v>
      </c>
      <c r="EV45" s="239">
        <v>0</v>
      </c>
      <c r="EW45" s="239">
        <v>0</v>
      </c>
      <c r="EX45" s="239">
        <v>0</v>
      </c>
      <c r="EY45" s="239">
        <v>0</v>
      </c>
      <c r="EZ45" s="239">
        <v>0</v>
      </c>
      <c r="FA45" s="239">
        <v>0</v>
      </c>
      <c r="FB45" s="239">
        <v>0</v>
      </c>
      <c r="FC45" s="239">
        <v>0</v>
      </c>
      <c r="FD45" s="239">
        <v>0</v>
      </c>
      <c r="FE45" s="239">
        <v>0</v>
      </c>
      <c r="FF45" s="239">
        <v>0</v>
      </c>
      <c r="FG45" s="238">
        <v>4</v>
      </c>
      <c r="FH45" s="238">
        <v>4</v>
      </c>
      <c r="FI45" s="238">
        <v>4</v>
      </c>
      <c r="FJ45" s="238">
        <v>4</v>
      </c>
      <c r="FK45" s="238">
        <v>4</v>
      </c>
      <c r="FL45" s="238">
        <v>4</v>
      </c>
      <c r="FM45" s="238">
        <v>4</v>
      </c>
      <c r="FN45" s="238">
        <v>4</v>
      </c>
      <c r="FO45" s="238">
        <v>4</v>
      </c>
      <c r="FP45" s="238">
        <v>4</v>
      </c>
      <c r="FQ45" s="238">
        <v>4</v>
      </c>
      <c r="FR45" s="237">
        <v>3</v>
      </c>
      <c r="FS45" s="237">
        <v>3</v>
      </c>
      <c r="FT45" s="237">
        <v>3</v>
      </c>
      <c r="FU45" s="237">
        <v>3</v>
      </c>
      <c r="FV45" s="237">
        <v>3</v>
      </c>
      <c r="FW45" s="237">
        <v>3</v>
      </c>
      <c r="FX45" s="237">
        <v>3</v>
      </c>
      <c r="FY45" s="237">
        <v>3</v>
      </c>
      <c r="FZ45" s="237">
        <v>3</v>
      </c>
      <c r="GA45" s="237">
        <v>3</v>
      </c>
      <c r="GB45" s="237">
        <v>3</v>
      </c>
      <c r="GC45" s="237">
        <v>3</v>
      </c>
      <c r="GD45" s="235">
        <v>3</v>
      </c>
      <c r="GE45" s="235">
        <v>3</v>
      </c>
      <c r="GF45" s="235">
        <v>3</v>
      </c>
      <c r="GG45" s="235">
        <v>3</v>
      </c>
      <c r="GH45" s="235">
        <v>3</v>
      </c>
      <c r="GI45" s="235">
        <v>3</v>
      </c>
      <c r="GJ45" s="235">
        <v>3</v>
      </c>
      <c r="GK45" s="235">
        <v>3</v>
      </c>
      <c r="GL45" s="235">
        <v>3</v>
      </c>
      <c r="GM45" s="235">
        <v>3</v>
      </c>
      <c r="GN45" s="235">
        <v>3</v>
      </c>
      <c r="GO45" s="235">
        <v>3</v>
      </c>
      <c r="GP45" s="235">
        <v>3</v>
      </c>
      <c r="GQ45" s="235">
        <v>3</v>
      </c>
      <c r="GR45" s="235">
        <v>3</v>
      </c>
      <c r="GS45" s="235">
        <v>3</v>
      </c>
      <c r="GT45" s="234">
        <v>3</v>
      </c>
      <c r="GU45" s="234">
        <v>3</v>
      </c>
      <c r="GV45" s="234">
        <v>3</v>
      </c>
      <c r="GW45" s="234">
        <v>3</v>
      </c>
      <c r="GX45" s="234">
        <v>3</v>
      </c>
      <c r="GY45" s="234">
        <v>3</v>
      </c>
      <c r="GZ45" s="234">
        <v>3</v>
      </c>
      <c r="HA45" s="234">
        <v>3</v>
      </c>
      <c r="HB45" s="234">
        <v>3</v>
      </c>
      <c r="HC45" s="234">
        <v>3</v>
      </c>
      <c r="HD45" s="234">
        <v>3</v>
      </c>
      <c r="HE45" s="234">
        <v>3</v>
      </c>
      <c r="HF45" s="234">
        <v>3</v>
      </c>
    </row>
    <row r="46" spans="1:216" customFormat="1" x14ac:dyDescent="0.25">
      <c r="A46" t="s">
        <v>96</v>
      </c>
      <c r="B46" s="23">
        <v>2</v>
      </c>
      <c r="C46" s="23">
        <v>2</v>
      </c>
      <c r="D46" s="23">
        <v>2</v>
      </c>
      <c r="E46" s="23">
        <v>2</v>
      </c>
      <c r="F46" s="23">
        <v>2</v>
      </c>
      <c r="G46" s="23">
        <v>2</v>
      </c>
      <c r="H46" s="23">
        <v>2</v>
      </c>
      <c r="I46" s="23">
        <v>2</v>
      </c>
      <c r="J46" s="23">
        <v>2</v>
      </c>
      <c r="K46" s="23">
        <v>2</v>
      </c>
      <c r="L46" s="23">
        <v>2</v>
      </c>
      <c r="M46" s="23">
        <v>2</v>
      </c>
      <c r="N46" s="23">
        <v>2</v>
      </c>
      <c r="O46" s="23">
        <v>2</v>
      </c>
      <c r="P46" s="23">
        <v>2</v>
      </c>
      <c r="Q46" s="23">
        <v>2</v>
      </c>
      <c r="R46" s="21">
        <v>1</v>
      </c>
      <c r="S46" s="21">
        <v>1</v>
      </c>
      <c r="T46" s="21">
        <v>1</v>
      </c>
      <c r="U46" s="21">
        <v>1</v>
      </c>
      <c r="V46" s="21">
        <v>1</v>
      </c>
      <c r="W46" s="21">
        <v>1</v>
      </c>
      <c r="X46" s="21">
        <v>1</v>
      </c>
      <c r="Y46" s="21">
        <v>1</v>
      </c>
      <c r="Z46" s="21">
        <v>1</v>
      </c>
      <c r="AA46" s="21">
        <v>1</v>
      </c>
      <c r="AB46" s="21">
        <v>1</v>
      </c>
      <c r="AC46" s="21">
        <v>1</v>
      </c>
      <c r="AD46" s="21">
        <v>1</v>
      </c>
      <c r="AE46" s="21">
        <v>1</v>
      </c>
      <c r="AF46" s="21">
        <v>1</v>
      </c>
      <c r="AG46" s="231">
        <v>0</v>
      </c>
      <c r="AH46" s="231">
        <v>0</v>
      </c>
      <c r="AI46" s="231">
        <v>0</v>
      </c>
      <c r="AJ46" s="231">
        <v>0</v>
      </c>
      <c r="AK46" s="231">
        <v>0</v>
      </c>
      <c r="AL46" s="231">
        <v>0</v>
      </c>
      <c r="AM46" s="231">
        <v>0</v>
      </c>
      <c r="AN46" s="231">
        <v>0</v>
      </c>
      <c r="AO46" s="261">
        <v>0</v>
      </c>
      <c r="AP46" s="261">
        <v>0</v>
      </c>
      <c r="AQ46" s="261">
        <v>0</v>
      </c>
      <c r="AR46" s="261">
        <v>0</v>
      </c>
      <c r="AS46" s="261">
        <v>0</v>
      </c>
      <c r="AT46" s="261">
        <v>0</v>
      </c>
      <c r="AU46" s="261">
        <v>0</v>
      </c>
      <c r="AV46" s="261">
        <v>0</v>
      </c>
      <c r="AW46" s="261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  <c r="BD46" s="35">
        <v>0</v>
      </c>
      <c r="BE46" s="35">
        <v>0</v>
      </c>
      <c r="BF46" s="35">
        <v>0</v>
      </c>
      <c r="BG46" s="220">
        <v>0</v>
      </c>
      <c r="BH46" s="220">
        <v>0</v>
      </c>
      <c r="BI46" s="220">
        <v>0</v>
      </c>
      <c r="BJ46" s="220">
        <v>0</v>
      </c>
      <c r="BK46" s="220">
        <v>0</v>
      </c>
      <c r="BL46" s="220">
        <v>0</v>
      </c>
      <c r="BM46" s="220">
        <v>0</v>
      </c>
      <c r="BN46" s="220">
        <v>0</v>
      </c>
      <c r="BO46" s="220">
        <v>0</v>
      </c>
      <c r="BP46" s="220">
        <v>0</v>
      </c>
      <c r="BQ46" s="220">
        <v>0</v>
      </c>
      <c r="BR46" s="220">
        <v>0</v>
      </c>
      <c r="BS46" s="19">
        <v>2</v>
      </c>
      <c r="BT46" s="19">
        <v>2</v>
      </c>
      <c r="BU46" s="19">
        <v>2</v>
      </c>
      <c r="BV46" s="19">
        <v>2</v>
      </c>
      <c r="BW46" s="19">
        <v>2</v>
      </c>
      <c r="BX46" s="19">
        <v>2</v>
      </c>
      <c r="BY46" s="19">
        <v>2</v>
      </c>
      <c r="BZ46" s="19">
        <v>2</v>
      </c>
      <c r="CA46" s="19">
        <v>2</v>
      </c>
      <c r="CB46" s="19">
        <v>2</v>
      </c>
      <c r="CC46" s="37">
        <v>2</v>
      </c>
      <c r="CD46" s="37">
        <v>2</v>
      </c>
      <c r="CE46" s="37">
        <v>2</v>
      </c>
      <c r="CF46" s="37">
        <v>2</v>
      </c>
      <c r="CG46" s="37">
        <v>2</v>
      </c>
      <c r="CH46" s="37">
        <v>2</v>
      </c>
      <c r="CI46" s="37">
        <v>2</v>
      </c>
      <c r="CJ46" s="37">
        <v>2</v>
      </c>
      <c r="CK46" s="37">
        <v>2</v>
      </c>
      <c r="CL46" s="37">
        <v>2</v>
      </c>
      <c r="CM46" s="47">
        <v>1</v>
      </c>
      <c r="CN46" s="47">
        <v>1</v>
      </c>
      <c r="CO46" s="47">
        <v>1</v>
      </c>
      <c r="CP46" s="47">
        <v>1</v>
      </c>
      <c r="CQ46" s="47">
        <v>1</v>
      </c>
      <c r="CR46" s="47">
        <v>1</v>
      </c>
      <c r="CS46" s="47">
        <v>1</v>
      </c>
      <c r="CT46" s="47">
        <v>1</v>
      </c>
      <c r="CU46" s="47">
        <v>1</v>
      </c>
      <c r="CV46" s="47">
        <v>1</v>
      </c>
      <c r="CW46" s="253">
        <v>0</v>
      </c>
      <c r="CX46" s="253">
        <v>0</v>
      </c>
      <c r="CY46" s="253">
        <v>0</v>
      </c>
      <c r="CZ46" s="253">
        <v>0</v>
      </c>
      <c r="DA46" s="253">
        <v>0</v>
      </c>
      <c r="DB46" s="253">
        <v>0</v>
      </c>
      <c r="DC46" s="253">
        <v>0</v>
      </c>
      <c r="DD46" s="253">
        <v>0</v>
      </c>
      <c r="DE46" s="253">
        <v>0</v>
      </c>
      <c r="DF46" s="253">
        <v>0</v>
      </c>
      <c r="DG46" s="253">
        <v>0</v>
      </c>
      <c r="DH46" s="253">
        <v>0</v>
      </c>
      <c r="DI46" s="253">
        <v>0</v>
      </c>
      <c r="DJ46" s="230">
        <v>0</v>
      </c>
      <c r="DK46" s="230">
        <v>0</v>
      </c>
      <c r="DL46" s="230">
        <v>0</v>
      </c>
      <c r="DM46" s="230">
        <v>0</v>
      </c>
      <c r="DN46" s="230">
        <v>0</v>
      </c>
      <c r="DO46" s="230">
        <v>0</v>
      </c>
      <c r="DP46" s="230">
        <v>0</v>
      </c>
      <c r="DQ46" s="230">
        <v>0</v>
      </c>
      <c r="DR46" s="230">
        <v>0</v>
      </c>
      <c r="DS46" s="230">
        <v>0</v>
      </c>
      <c r="DT46" s="220">
        <v>0</v>
      </c>
      <c r="DU46" s="220">
        <v>0</v>
      </c>
      <c r="DV46" s="220">
        <v>0</v>
      </c>
      <c r="DW46" s="220">
        <v>0</v>
      </c>
      <c r="DX46" s="220">
        <v>0</v>
      </c>
      <c r="DY46" s="220">
        <v>0</v>
      </c>
      <c r="DZ46" s="220">
        <v>0</v>
      </c>
      <c r="EA46" s="220">
        <v>0</v>
      </c>
      <c r="EB46" s="220">
        <v>0</v>
      </c>
      <c r="EC46" s="220">
        <v>0</v>
      </c>
      <c r="ED46" s="220">
        <v>0</v>
      </c>
      <c r="EE46" s="42">
        <v>2</v>
      </c>
      <c r="EF46" s="42">
        <v>2</v>
      </c>
      <c r="EG46" s="42">
        <v>2</v>
      </c>
      <c r="EH46" s="42">
        <v>2</v>
      </c>
      <c r="EI46" s="42">
        <v>2</v>
      </c>
      <c r="EJ46" s="42">
        <v>2</v>
      </c>
      <c r="EK46" s="42">
        <v>2</v>
      </c>
      <c r="EL46" s="42">
        <v>2</v>
      </c>
      <c r="EM46" s="42">
        <v>2</v>
      </c>
      <c r="EN46" s="42">
        <v>2</v>
      </c>
      <c r="EO46" s="42">
        <v>2</v>
      </c>
      <c r="EP46" s="42">
        <v>2</v>
      </c>
      <c r="EQ46" s="42">
        <v>2</v>
      </c>
      <c r="ER46" s="42">
        <v>2</v>
      </c>
      <c r="ES46" s="43">
        <v>0</v>
      </c>
      <c r="ET46" s="43">
        <v>0</v>
      </c>
      <c r="EU46" s="43">
        <v>0</v>
      </c>
      <c r="EV46" s="43">
        <v>0</v>
      </c>
      <c r="EW46" s="43">
        <v>0</v>
      </c>
      <c r="EX46" s="43">
        <v>0</v>
      </c>
      <c r="EY46" s="43">
        <v>0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3">
        <v>0</v>
      </c>
      <c r="FG46" s="44">
        <v>0</v>
      </c>
      <c r="FH46" s="44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4">
        <v>0</v>
      </c>
      <c r="FR46" s="19">
        <v>2</v>
      </c>
      <c r="FS46" s="19">
        <v>2</v>
      </c>
      <c r="FT46" s="19">
        <v>2</v>
      </c>
      <c r="FU46" s="19">
        <v>2</v>
      </c>
      <c r="FV46" s="19">
        <v>2</v>
      </c>
      <c r="FW46" s="19">
        <v>2</v>
      </c>
      <c r="FX46" s="19">
        <v>2</v>
      </c>
      <c r="FY46" s="19">
        <v>2</v>
      </c>
      <c r="FZ46" s="19">
        <v>2</v>
      </c>
      <c r="GA46" s="19">
        <v>2</v>
      </c>
      <c r="GB46" s="19">
        <v>2</v>
      </c>
      <c r="GC46" s="19">
        <v>2</v>
      </c>
      <c r="GD46" s="236">
        <v>0</v>
      </c>
      <c r="GE46" s="236">
        <v>0</v>
      </c>
      <c r="GF46" s="236">
        <v>0</v>
      </c>
      <c r="GG46" s="236">
        <v>0</v>
      </c>
      <c r="GH46" s="236">
        <v>0</v>
      </c>
      <c r="GI46" s="236">
        <v>0</v>
      </c>
      <c r="GJ46" s="236">
        <v>0</v>
      </c>
      <c r="GK46" s="236">
        <v>0</v>
      </c>
      <c r="GL46" s="236">
        <v>0</v>
      </c>
      <c r="GM46" s="236">
        <v>0</v>
      </c>
      <c r="GN46" s="236">
        <v>0</v>
      </c>
      <c r="GO46" s="236">
        <v>0</v>
      </c>
      <c r="GP46" s="236">
        <v>0</v>
      </c>
      <c r="GQ46" s="236">
        <v>0</v>
      </c>
      <c r="GR46" s="236">
        <v>0</v>
      </c>
      <c r="GS46" s="236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7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</row>
    <row r="47" spans="1:216" customFormat="1" x14ac:dyDescent="0.25">
      <c r="A47" t="s">
        <v>335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31">
        <v>0</v>
      </c>
      <c r="AH47" s="231">
        <v>0</v>
      </c>
      <c r="AI47" s="231">
        <v>0</v>
      </c>
      <c r="AJ47" s="231">
        <v>0</v>
      </c>
      <c r="AK47" s="231">
        <v>0</v>
      </c>
      <c r="AL47" s="231">
        <v>0</v>
      </c>
      <c r="AM47" s="231">
        <v>0</v>
      </c>
      <c r="AN47" s="231">
        <v>0</v>
      </c>
      <c r="AO47" s="261">
        <v>1</v>
      </c>
      <c r="AP47" s="261">
        <v>1</v>
      </c>
      <c r="AQ47" s="261">
        <v>1</v>
      </c>
      <c r="AR47" s="261">
        <v>1</v>
      </c>
      <c r="AS47" s="261">
        <v>1</v>
      </c>
      <c r="AT47" s="261">
        <v>1</v>
      </c>
      <c r="AU47" s="261">
        <v>1</v>
      </c>
      <c r="AV47" s="261">
        <v>1</v>
      </c>
      <c r="AW47" s="261">
        <v>1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220">
        <v>0</v>
      </c>
      <c r="BH47" s="220">
        <v>0</v>
      </c>
      <c r="BI47" s="220">
        <v>0</v>
      </c>
      <c r="BJ47" s="220">
        <v>0</v>
      </c>
      <c r="BK47" s="220">
        <v>0</v>
      </c>
      <c r="BL47" s="220">
        <v>0</v>
      </c>
      <c r="BM47" s="220">
        <v>0</v>
      </c>
      <c r="BN47" s="220">
        <v>0</v>
      </c>
      <c r="BO47" s="220">
        <v>0</v>
      </c>
      <c r="BP47" s="220">
        <v>0</v>
      </c>
      <c r="BQ47" s="220">
        <v>0</v>
      </c>
      <c r="BR47" s="220">
        <v>0</v>
      </c>
      <c r="BS47" s="19">
        <v>0</v>
      </c>
      <c r="BT47" s="19">
        <v>0</v>
      </c>
      <c r="BU47" s="19">
        <v>0</v>
      </c>
      <c r="BV47" s="19">
        <v>0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37">
        <v>0</v>
      </c>
      <c r="CD47" s="37">
        <v>0</v>
      </c>
      <c r="CE47" s="37">
        <v>0</v>
      </c>
      <c r="CF47" s="37">
        <v>0</v>
      </c>
      <c r="CG47" s="37">
        <v>0</v>
      </c>
      <c r="CH47" s="37">
        <v>0</v>
      </c>
      <c r="CI47" s="37">
        <v>0</v>
      </c>
      <c r="CJ47" s="37">
        <v>0</v>
      </c>
      <c r="CK47" s="37">
        <v>0</v>
      </c>
      <c r="CL47" s="37">
        <v>0</v>
      </c>
      <c r="CM47" s="47">
        <v>1</v>
      </c>
      <c r="CN47" s="47">
        <v>1</v>
      </c>
      <c r="CO47" s="47">
        <v>1</v>
      </c>
      <c r="CP47" s="47">
        <v>1</v>
      </c>
      <c r="CQ47" s="47">
        <v>1</v>
      </c>
      <c r="CR47" s="47">
        <v>1</v>
      </c>
      <c r="CS47" s="47">
        <v>1</v>
      </c>
      <c r="CT47" s="47">
        <v>1</v>
      </c>
      <c r="CU47" s="47">
        <v>1</v>
      </c>
      <c r="CV47" s="47">
        <v>1</v>
      </c>
      <c r="CW47" s="253">
        <v>0</v>
      </c>
      <c r="CX47" s="253">
        <v>0</v>
      </c>
      <c r="CY47" s="253">
        <v>0</v>
      </c>
      <c r="CZ47" s="253">
        <v>0</v>
      </c>
      <c r="DA47" s="253">
        <v>0</v>
      </c>
      <c r="DB47" s="253">
        <v>0</v>
      </c>
      <c r="DC47" s="253">
        <v>0</v>
      </c>
      <c r="DD47" s="253">
        <v>0</v>
      </c>
      <c r="DE47" s="253">
        <v>0</v>
      </c>
      <c r="DF47" s="253">
        <v>0</v>
      </c>
      <c r="DG47" s="253">
        <v>0</v>
      </c>
      <c r="DH47" s="253">
        <v>0</v>
      </c>
      <c r="DI47" s="253">
        <v>0</v>
      </c>
      <c r="DJ47" s="230">
        <v>0</v>
      </c>
      <c r="DK47" s="230">
        <v>0</v>
      </c>
      <c r="DL47" s="230">
        <v>0</v>
      </c>
      <c r="DM47" s="230">
        <v>0</v>
      </c>
      <c r="DN47" s="230">
        <v>0</v>
      </c>
      <c r="DO47" s="230">
        <v>0</v>
      </c>
      <c r="DP47" s="230">
        <v>0</v>
      </c>
      <c r="DQ47" s="230">
        <v>0</v>
      </c>
      <c r="DR47" s="230">
        <v>0</v>
      </c>
      <c r="DS47" s="230">
        <v>0</v>
      </c>
      <c r="DT47" s="220">
        <v>0</v>
      </c>
      <c r="DU47" s="220">
        <v>0</v>
      </c>
      <c r="DV47" s="220">
        <v>0</v>
      </c>
      <c r="DW47" s="220">
        <v>0</v>
      </c>
      <c r="DX47" s="220">
        <v>0</v>
      </c>
      <c r="DY47" s="220">
        <v>0</v>
      </c>
      <c r="DZ47" s="220">
        <v>0</v>
      </c>
      <c r="EA47" s="220">
        <v>0</v>
      </c>
      <c r="EB47" s="220">
        <v>0</v>
      </c>
      <c r="EC47" s="220">
        <v>0</v>
      </c>
      <c r="ED47" s="220">
        <v>0</v>
      </c>
      <c r="EE47" s="42">
        <v>0</v>
      </c>
      <c r="EF47" s="42">
        <v>0</v>
      </c>
      <c r="EG47" s="42">
        <v>0</v>
      </c>
      <c r="EH47" s="42">
        <v>0</v>
      </c>
      <c r="EI47" s="42">
        <v>0</v>
      </c>
      <c r="EJ47" s="42">
        <v>0</v>
      </c>
      <c r="EK47" s="42">
        <v>0</v>
      </c>
      <c r="EL47" s="42">
        <v>0</v>
      </c>
      <c r="EM47" s="42">
        <v>0</v>
      </c>
      <c r="EN47" s="42">
        <v>0</v>
      </c>
      <c r="EO47" s="42">
        <v>0</v>
      </c>
      <c r="EP47" s="42">
        <v>0</v>
      </c>
      <c r="EQ47" s="42">
        <v>0</v>
      </c>
      <c r="ER47" s="42">
        <v>0</v>
      </c>
      <c r="ES47" s="43">
        <v>0</v>
      </c>
      <c r="ET47" s="43">
        <v>0</v>
      </c>
      <c r="EU47" s="43">
        <v>0</v>
      </c>
      <c r="EV47" s="43">
        <v>0</v>
      </c>
      <c r="EW47" s="43">
        <v>0</v>
      </c>
      <c r="EX47" s="43">
        <v>0</v>
      </c>
      <c r="EY47" s="43">
        <v>0</v>
      </c>
      <c r="EZ47" s="43">
        <v>0</v>
      </c>
      <c r="FA47" s="43">
        <v>0</v>
      </c>
      <c r="FB47" s="43">
        <v>0</v>
      </c>
      <c r="FC47" s="43">
        <v>0</v>
      </c>
      <c r="FD47" s="43">
        <v>0</v>
      </c>
      <c r="FE47" s="43">
        <v>0</v>
      </c>
      <c r="FF47" s="43">
        <v>0</v>
      </c>
      <c r="FG47" s="44">
        <v>1</v>
      </c>
      <c r="FH47" s="44">
        <v>1</v>
      </c>
      <c r="FI47" s="44">
        <v>1</v>
      </c>
      <c r="FJ47" s="44">
        <v>1</v>
      </c>
      <c r="FK47" s="44">
        <v>1</v>
      </c>
      <c r="FL47" s="44">
        <v>1</v>
      </c>
      <c r="FM47" s="44">
        <v>1</v>
      </c>
      <c r="FN47" s="44">
        <v>1</v>
      </c>
      <c r="FO47" s="44">
        <v>1</v>
      </c>
      <c r="FP47" s="44">
        <v>1</v>
      </c>
      <c r="FQ47" s="44">
        <v>1</v>
      </c>
      <c r="FR47" s="19">
        <v>0</v>
      </c>
      <c r="FS47" s="19">
        <v>0</v>
      </c>
      <c r="FT47" s="19">
        <v>0</v>
      </c>
      <c r="FU47" s="19">
        <v>0</v>
      </c>
      <c r="FV47" s="19">
        <v>0</v>
      </c>
      <c r="FW47" s="19">
        <v>0</v>
      </c>
      <c r="FX47" s="19">
        <v>0</v>
      </c>
      <c r="FY47" s="19">
        <v>0</v>
      </c>
      <c r="FZ47" s="19">
        <v>0</v>
      </c>
      <c r="GA47" s="19">
        <v>0</v>
      </c>
      <c r="GB47" s="19">
        <v>0</v>
      </c>
      <c r="GC47" s="19">
        <v>0</v>
      </c>
      <c r="GD47" s="236">
        <v>0</v>
      </c>
      <c r="GE47" s="236">
        <v>0</v>
      </c>
      <c r="GF47" s="236">
        <v>0</v>
      </c>
      <c r="GG47" s="236">
        <v>0</v>
      </c>
      <c r="GH47" s="236">
        <v>0</v>
      </c>
      <c r="GI47" s="236">
        <v>0</v>
      </c>
      <c r="GJ47" s="236">
        <v>0</v>
      </c>
      <c r="GK47" s="236">
        <v>0</v>
      </c>
      <c r="GL47" s="236">
        <v>0</v>
      </c>
      <c r="GM47" s="236">
        <v>0</v>
      </c>
      <c r="GN47" s="236">
        <v>0</v>
      </c>
      <c r="GO47" s="236">
        <v>0</v>
      </c>
      <c r="GP47" s="236">
        <v>0</v>
      </c>
      <c r="GQ47" s="236">
        <v>0</v>
      </c>
      <c r="GR47" s="236">
        <v>0</v>
      </c>
      <c r="GS47" s="236">
        <v>0</v>
      </c>
      <c r="GT47" s="47">
        <v>1</v>
      </c>
      <c r="GU47" s="47">
        <v>1</v>
      </c>
      <c r="GV47" s="47">
        <v>1</v>
      </c>
      <c r="GW47" s="47">
        <v>1</v>
      </c>
      <c r="GX47" s="47">
        <v>1</v>
      </c>
      <c r="GY47" s="47">
        <v>1</v>
      </c>
      <c r="GZ47" s="47">
        <v>1</v>
      </c>
      <c r="HA47" s="47">
        <v>1</v>
      </c>
      <c r="HB47" s="47">
        <v>1</v>
      </c>
      <c r="HC47" s="47">
        <v>1</v>
      </c>
      <c r="HD47" s="47">
        <v>1</v>
      </c>
      <c r="HE47" s="47">
        <v>1</v>
      </c>
      <c r="HF47" s="47">
        <v>1</v>
      </c>
    </row>
    <row r="48" spans="1:216" customFormat="1" x14ac:dyDescent="0.25">
      <c r="A48" t="s">
        <v>28</v>
      </c>
      <c r="B48" s="23">
        <v>0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31">
        <v>0</v>
      </c>
      <c r="AH48" s="231">
        <v>0</v>
      </c>
      <c r="AI48" s="231">
        <v>0</v>
      </c>
      <c r="AJ48" s="231">
        <v>0</v>
      </c>
      <c r="AK48" s="231">
        <v>0</v>
      </c>
      <c r="AL48" s="231">
        <v>0</v>
      </c>
      <c r="AM48" s="231">
        <v>0</v>
      </c>
      <c r="AN48" s="231">
        <v>0</v>
      </c>
      <c r="AO48" s="261">
        <v>1</v>
      </c>
      <c r="AP48" s="261">
        <v>1</v>
      </c>
      <c r="AQ48" s="261">
        <v>1</v>
      </c>
      <c r="AR48" s="261">
        <v>1</v>
      </c>
      <c r="AS48" s="261">
        <v>1</v>
      </c>
      <c r="AT48" s="261">
        <v>1</v>
      </c>
      <c r="AU48" s="261">
        <v>1</v>
      </c>
      <c r="AV48" s="261">
        <v>1</v>
      </c>
      <c r="AW48" s="261">
        <v>1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220">
        <v>2</v>
      </c>
      <c r="BH48" s="220">
        <v>2</v>
      </c>
      <c r="BI48" s="220">
        <v>2</v>
      </c>
      <c r="BJ48" s="220">
        <v>2</v>
      </c>
      <c r="BK48" s="220">
        <v>2</v>
      </c>
      <c r="BL48" s="220">
        <v>2</v>
      </c>
      <c r="BM48" s="220">
        <v>2</v>
      </c>
      <c r="BN48" s="220">
        <v>2</v>
      </c>
      <c r="BO48" s="220">
        <v>2</v>
      </c>
      <c r="BP48" s="220">
        <v>2</v>
      </c>
      <c r="BQ48" s="220">
        <v>2</v>
      </c>
      <c r="BR48" s="220">
        <v>2</v>
      </c>
      <c r="BS48" s="19">
        <v>1</v>
      </c>
      <c r="BT48" s="19">
        <v>1</v>
      </c>
      <c r="BU48" s="19">
        <v>1</v>
      </c>
      <c r="BV48" s="19">
        <v>1</v>
      </c>
      <c r="BW48" s="19">
        <v>1</v>
      </c>
      <c r="BX48" s="19">
        <v>1</v>
      </c>
      <c r="BY48" s="19">
        <v>1</v>
      </c>
      <c r="BZ48" s="19">
        <v>1</v>
      </c>
      <c r="CA48" s="19">
        <v>1</v>
      </c>
      <c r="CB48" s="19">
        <v>1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47">
        <v>0</v>
      </c>
      <c r="CN48" s="47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253">
        <v>0</v>
      </c>
      <c r="CX48" s="253">
        <v>0</v>
      </c>
      <c r="CY48" s="253">
        <v>0</v>
      </c>
      <c r="CZ48" s="253">
        <v>0</v>
      </c>
      <c r="DA48" s="253">
        <v>0</v>
      </c>
      <c r="DB48" s="253">
        <v>0</v>
      </c>
      <c r="DC48" s="253">
        <v>0</v>
      </c>
      <c r="DD48" s="253">
        <v>0</v>
      </c>
      <c r="DE48" s="253">
        <v>0</v>
      </c>
      <c r="DF48" s="253">
        <v>0</v>
      </c>
      <c r="DG48" s="253">
        <v>0</v>
      </c>
      <c r="DH48" s="253">
        <v>0</v>
      </c>
      <c r="DI48" s="253">
        <v>0</v>
      </c>
      <c r="DJ48" s="230">
        <v>0</v>
      </c>
      <c r="DK48" s="230">
        <v>0</v>
      </c>
      <c r="DL48" s="230">
        <v>0</v>
      </c>
      <c r="DM48" s="230">
        <v>0</v>
      </c>
      <c r="DN48" s="230">
        <v>0</v>
      </c>
      <c r="DO48" s="230">
        <v>0</v>
      </c>
      <c r="DP48" s="230">
        <v>0</v>
      </c>
      <c r="DQ48" s="230">
        <v>0</v>
      </c>
      <c r="DR48" s="230">
        <v>0</v>
      </c>
      <c r="DS48" s="230">
        <v>0</v>
      </c>
      <c r="DT48" s="220">
        <v>1</v>
      </c>
      <c r="DU48" s="220">
        <v>1</v>
      </c>
      <c r="DV48" s="220">
        <v>1</v>
      </c>
      <c r="DW48" s="220">
        <v>1</v>
      </c>
      <c r="DX48" s="220">
        <v>1</v>
      </c>
      <c r="DY48" s="220">
        <v>1</v>
      </c>
      <c r="DZ48" s="220">
        <v>1</v>
      </c>
      <c r="EA48" s="220">
        <v>1</v>
      </c>
      <c r="EB48" s="220">
        <v>1</v>
      </c>
      <c r="EC48" s="220">
        <v>1</v>
      </c>
      <c r="ED48" s="220">
        <v>1</v>
      </c>
      <c r="EE48" s="42">
        <v>2</v>
      </c>
      <c r="EF48" s="42">
        <v>2</v>
      </c>
      <c r="EG48" s="42">
        <v>2</v>
      </c>
      <c r="EH48" s="42">
        <v>2</v>
      </c>
      <c r="EI48" s="42">
        <v>2</v>
      </c>
      <c r="EJ48" s="42">
        <v>2</v>
      </c>
      <c r="EK48" s="42">
        <v>2</v>
      </c>
      <c r="EL48" s="42">
        <v>2</v>
      </c>
      <c r="EM48" s="42">
        <v>2</v>
      </c>
      <c r="EN48" s="42">
        <v>2</v>
      </c>
      <c r="EO48" s="42">
        <v>2</v>
      </c>
      <c r="EP48" s="42">
        <v>2</v>
      </c>
      <c r="EQ48" s="42">
        <v>2</v>
      </c>
      <c r="ER48" s="42">
        <v>2</v>
      </c>
      <c r="ES48" s="43">
        <v>2</v>
      </c>
      <c r="ET48" s="43">
        <v>2</v>
      </c>
      <c r="EU48" s="43">
        <v>2</v>
      </c>
      <c r="EV48" s="43">
        <v>2</v>
      </c>
      <c r="EW48" s="43">
        <v>2</v>
      </c>
      <c r="EX48" s="43">
        <v>2</v>
      </c>
      <c r="EY48" s="43">
        <v>2</v>
      </c>
      <c r="EZ48" s="43">
        <v>2</v>
      </c>
      <c r="FA48" s="43">
        <v>2</v>
      </c>
      <c r="FB48" s="43">
        <v>2</v>
      </c>
      <c r="FC48" s="43">
        <v>2</v>
      </c>
      <c r="FD48" s="43">
        <v>2</v>
      </c>
      <c r="FE48" s="43">
        <v>2</v>
      </c>
      <c r="FF48" s="43">
        <v>2</v>
      </c>
      <c r="FG48" s="44">
        <v>1</v>
      </c>
      <c r="FH48" s="44">
        <v>1</v>
      </c>
      <c r="FI48" s="44">
        <v>1</v>
      </c>
      <c r="FJ48" s="44">
        <v>1</v>
      </c>
      <c r="FK48" s="44">
        <v>1</v>
      </c>
      <c r="FL48" s="44">
        <v>1</v>
      </c>
      <c r="FM48" s="44">
        <v>1</v>
      </c>
      <c r="FN48" s="44">
        <v>1</v>
      </c>
      <c r="FO48" s="44">
        <v>1</v>
      </c>
      <c r="FP48" s="44">
        <v>1</v>
      </c>
      <c r="FQ48" s="44">
        <v>1</v>
      </c>
      <c r="FR48" s="19">
        <v>0</v>
      </c>
      <c r="FS48" s="19">
        <v>0</v>
      </c>
      <c r="FT48" s="19">
        <v>0</v>
      </c>
      <c r="FU48" s="19">
        <v>0</v>
      </c>
      <c r="FV48" s="19">
        <v>0</v>
      </c>
      <c r="FW48" s="19">
        <v>0</v>
      </c>
      <c r="FX48" s="19">
        <v>0</v>
      </c>
      <c r="FY48" s="19">
        <v>0</v>
      </c>
      <c r="FZ48" s="19">
        <v>0</v>
      </c>
      <c r="GA48" s="19">
        <v>0</v>
      </c>
      <c r="GB48" s="19">
        <v>0</v>
      </c>
      <c r="GC48" s="19">
        <v>0</v>
      </c>
      <c r="GD48" s="236">
        <v>0</v>
      </c>
      <c r="GE48" s="236">
        <v>0</v>
      </c>
      <c r="GF48" s="236">
        <v>0</v>
      </c>
      <c r="GG48" s="236">
        <v>0</v>
      </c>
      <c r="GH48" s="236">
        <v>0</v>
      </c>
      <c r="GI48" s="236">
        <v>0</v>
      </c>
      <c r="GJ48" s="236">
        <v>0</v>
      </c>
      <c r="GK48" s="236">
        <v>0</v>
      </c>
      <c r="GL48" s="236">
        <v>0</v>
      </c>
      <c r="GM48" s="236">
        <v>0</v>
      </c>
      <c r="GN48" s="236">
        <v>0</v>
      </c>
      <c r="GO48" s="236">
        <v>0</v>
      </c>
      <c r="GP48" s="236">
        <v>0</v>
      </c>
      <c r="GQ48" s="236">
        <v>0</v>
      </c>
      <c r="GR48" s="236">
        <v>0</v>
      </c>
      <c r="GS48" s="236">
        <v>0</v>
      </c>
      <c r="GT48" s="47">
        <v>1</v>
      </c>
      <c r="GU48" s="47">
        <v>1</v>
      </c>
      <c r="GV48" s="47">
        <v>1</v>
      </c>
      <c r="GW48" s="47">
        <v>1</v>
      </c>
      <c r="GX48" s="47">
        <v>1</v>
      </c>
      <c r="GY48" s="47">
        <v>1</v>
      </c>
      <c r="GZ48" s="47">
        <v>1</v>
      </c>
      <c r="HA48" s="47">
        <v>1</v>
      </c>
      <c r="HB48" s="47">
        <v>1</v>
      </c>
      <c r="HC48" s="47">
        <v>1</v>
      </c>
      <c r="HD48" s="47">
        <v>1</v>
      </c>
      <c r="HE48" s="47">
        <v>1</v>
      </c>
      <c r="HF48" s="47">
        <v>1</v>
      </c>
    </row>
    <row r="49" spans="1:214" customFormat="1" x14ac:dyDescent="0.25">
      <c r="A49" t="s">
        <v>290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31">
        <v>1</v>
      </c>
      <c r="AH49" s="231">
        <v>1</v>
      </c>
      <c r="AI49" s="231">
        <v>1</v>
      </c>
      <c r="AJ49" s="231">
        <v>1</v>
      </c>
      <c r="AK49" s="231">
        <v>1</v>
      </c>
      <c r="AL49" s="231">
        <v>1</v>
      </c>
      <c r="AM49" s="231">
        <v>1</v>
      </c>
      <c r="AN49" s="231">
        <v>1</v>
      </c>
      <c r="AO49" s="261">
        <v>0</v>
      </c>
      <c r="AP49" s="261">
        <v>0</v>
      </c>
      <c r="AQ49" s="261">
        <v>0</v>
      </c>
      <c r="AR49" s="261">
        <v>0</v>
      </c>
      <c r="AS49" s="261">
        <v>0</v>
      </c>
      <c r="AT49" s="261">
        <v>0</v>
      </c>
      <c r="AU49" s="261">
        <v>0</v>
      </c>
      <c r="AV49" s="261">
        <v>0</v>
      </c>
      <c r="AW49" s="261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220">
        <v>0</v>
      </c>
      <c r="BH49" s="220">
        <v>0</v>
      </c>
      <c r="BI49" s="220">
        <v>0</v>
      </c>
      <c r="BJ49" s="220">
        <v>0</v>
      </c>
      <c r="BK49" s="220">
        <v>0</v>
      </c>
      <c r="BL49" s="220">
        <v>0</v>
      </c>
      <c r="BM49" s="220">
        <v>0</v>
      </c>
      <c r="BN49" s="220">
        <v>0</v>
      </c>
      <c r="BO49" s="220">
        <v>0</v>
      </c>
      <c r="BP49" s="220">
        <v>0</v>
      </c>
      <c r="BQ49" s="220">
        <v>0</v>
      </c>
      <c r="BR49" s="220">
        <v>0</v>
      </c>
      <c r="BS49" s="19">
        <v>0</v>
      </c>
      <c r="BT49" s="19">
        <v>0</v>
      </c>
      <c r="BU49" s="19">
        <v>0</v>
      </c>
      <c r="BV49" s="19">
        <v>0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37">
        <v>0</v>
      </c>
      <c r="CD49" s="37">
        <v>0</v>
      </c>
      <c r="CE49" s="37">
        <v>0</v>
      </c>
      <c r="CF49" s="37">
        <v>0</v>
      </c>
      <c r="CG49" s="37">
        <v>0</v>
      </c>
      <c r="CH49" s="37">
        <v>0</v>
      </c>
      <c r="CI49" s="37">
        <v>0</v>
      </c>
      <c r="CJ49" s="37">
        <v>0</v>
      </c>
      <c r="CK49" s="37">
        <v>0</v>
      </c>
      <c r="CL49" s="37">
        <v>0</v>
      </c>
      <c r="CM49" s="47">
        <v>0</v>
      </c>
      <c r="CN49" s="47">
        <v>0</v>
      </c>
      <c r="CO49" s="47">
        <v>0</v>
      </c>
      <c r="CP49" s="47">
        <v>0</v>
      </c>
      <c r="CQ49" s="47">
        <v>0</v>
      </c>
      <c r="CR49" s="47">
        <v>0</v>
      </c>
      <c r="CS49" s="47">
        <v>0</v>
      </c>
      <c r="CT49" s="47">
        <v>0</v>
      </c>
      <c r="CU49" s="47">
        <v>0</v>
      </c>
      <c r="CV49" s="47">
        <v>0</v>
      </c>
      <c r="CW49" s="253">
        <v>0</v>
      </c>
      <c r="CX49" s="253">
        <v>0</v>
      </c>
      <c r="CY49" s="253">
        <v>0</v>
      </c>
      <c r="CZ49" s="253">
        <v>0</v>
      </c>
      <c r="DA49" s="253">
        <v>0</v>
      </c>
      <c r="DB49" s="253">
        <v>0</v>
      </c>
      <c r="DC49" s="253">
        <v>0</v>
      </c>
      <c r="DD49" s="253">
        <v>0</v>
      </c>
      <c r="DE49" s="253">
        <v>0</v>
      </c>
      <c r="DF49" s="253">
        <v>0</v>
      </c>
      <c r="DG49" s="253">
        <v>0</v>
      </c>
      <c r="DH49" s="253">
        <v>0</v>
      </c>
      <c r="DI49" s="253">
        <v>0</v>
      </c>
      <c r="DJ49" s="230">
        <v>0</v>
      </c>
      <c r="DK49" s="230">
        <v>0</v>
      </c>
      <c r="DL49" s="230">
        <v>0</v>
      </c>
      <c r="DM49" s="230">
        <v>0</v>
      </c>
      <c r="DN49" s="230">
        <v>0</v>
      </c>
      <c r="DO49" s="230">
        <v>0</v>
      </c>
      <c r="DP49" s="230">
        <v>0</v>
      </c>
      <c r="DQ49" s="230">
        <v>0</v>
      </c>
      <c r="DR49" s="230">
        <v>0</v>
      </c>
      <c r="DS49" s="230">
        <v>0</v>
      </c>
      <c r="DT49" s="220">
        <v>0</v>
      </c>
      <c r="DU49" s="220">
        <v>0</v>
      </c>
      <c r="DV49" s="220">
        <v>0</v>
      </c>
      <c r="DW49" s="220">
        <v>0</v>
      </c>
      <c r="DX49" s="220">
        <v>0</v>
      </c>
      <c r="DY49" s="220">
        <v>0</v>
      </c>
      <c r="DZ49" s="220">
        <v>0</v>
      </c>
      <c r="EA49" s="220">
        <v>0</v>
      </c>
      <c r="EB49" s="220">
        <v>0</v>
      </c>
      <c r="EC49" s="220">
        <v>0</v>
      </c>
      <c r="ED49" s="220">
        <v>0</v>
      </c>
      <c r="EE49" s="42">
        <v>1</v>
      </c>
      <c r="EF49" s="42">
        <v>1</v>
      </c>
      <c r="EG49" s="42">
        <v>1</v>
      </c>
      <c r="EH49" s="42">
        <v>1</v>
      </c>
      <c r="EI49" s="42">
        <v>1</v>
      </c>
      <c r="EJ49" s="42">
        <v>1</v>
      </c>
      <c r="EK49" s="42">
        <v>1</v>
      </c>
      <c r="EL49" s="42">
        <v>1</v>
      </c>
      <c r="EM49" s="42">
        <v>1</v>
      </c>
      <c r="EN49" s="42">
        <v>1</v>
      </c>
      <c r="EO49" s="42">
        <v>1</v>
      </c>
      <c r="EP49" s="42">
        <v>1</v>
      </c>
      <c r="EQ49" s="42">
        <v>1</v>
      </c>
      <c r="ER49" s="42">
        <v>1</v>
      </c>
      <c r="ES49" s="43">
        <v>0</v>
      </c>
      <c r="ET49" s="43">
        <v>0</v>
      </c>
      <c r="EU49" s="43">
        <v>0</v>
      </c>
      <c r="EV49" s="43">
        <v>0</v>
      </c>
      <c r="EW49" s="43">
        <v>0</v>
      </c>
      <c r="EX49" s="43">
        <v>0</v>
      </c>
      <c r="EY49" s="43">
        <v>0</v>
      </c>
      <c r="EZ49" s="43">
        <v>0</v>
      </c>
      <c r="FA49" s="43">
        <v>0</v>
      </c>
      <c r="FB49" s="43">
        <v>0</v>
      </c>
      <c r="FC49" s="43">
        <v>0</v>
      </c>
      <c r="FD49" s="43">
        <v>0</v>
      </c>
      <c r="FE49" s="43">
        <v>0</v>
      </c>
      <c r="FF49" s="43">
        <v>0</v>
      </c>
      <c r="FG49" s="44">
        <v>0</v>
      </c>
      <c r="FH49" s="44">
        <v>0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4">
        <v>0</v>
      </c>
      <c r="FR49" s="19">
        <v>0</v>
      </c>
      <c r="FS49" s="19">
        <v>0</v>
      </c>
      <c r="FT49" s="19">
        <v>0</v>
      </c>
      <c r="FU49" s="19">
        <v>0</v>
      </c>
      <c r="FV49" s="19">
        <v>0</v>
      </c>
      <c r="FW49" s="19">
        <v>0</v>
      </c>
      <c r="FX49" s="19">
        <v>0</v>
      </c>
      <c r="FY49" s="19">
        <v>0</v>
      </c>
      <c r="FZ49" s="19">
        <v>0</v>
      </c>
      <c r="GA49" s="19">
        <v>0</v>
      </c>
      <c r="GB49" s="19">
        <v>0</v>
      </c>
      <c r="GC49" s="19">
        <v>0</v>
      </c>
      <c r="GD49" s="236">
        <v>1</v>
      </c>
      <c r="GE49" s="236">
        <v>1</v>
      </c>
      <c r="GF49" s="236">
        <v>1</v>
      </c>
      <c r="GG49" s="236">
        <v>1</v>
      </c>
      <c r="GH49" s="236">
        <v>1</v>
      </c>
      <c r="GI49" s="236">
        <v>1</v>
      </c>
      <c r="GJ49" s="236">
        <v>1</v>
      </c>
      <c r="GK49" s="236">
        <v>1</v>
      </c>
      <c r="GL49" s="236">
        <v>1</v>
      </c>
      <c r="GM49" s="236">
        <v>1</v>
      </c>
      <c r="GN49" s="236">
        <v>1</v>
      </c>
      <c r="GO49" s="236">
        <v>1</v>
      </c>
      <c r="GP49" s="236">
        <v>1</v>
      </c>
      <c r="GQ49" s="236">
        <v>1</v>
      </c>
      <c r="GR49" s="236">
        <v>1</v>
      </c>
      <c r="GS49" s="236">
        <v>1</v>
      </c>
      <c r="GT49" s="47">
        <v>0</v>
      </c>
      <c r="GU49" s="47">
        <v>0</v>
      </c>
      <c r="GV49" s="47">
        <v>0</v>
      </c>
      <c r="GW49" s="47">
        <v>0</v>
      </c>
      <c r="GX49" s="47">
        <v>0</v>
      </c>
      <c r="GY49" s="47">
        <v>0</v>
      </c>
      <c r="GZ49" s="47">
        <v>0</v>
      </c>
      <c r="HA49" s="47">
        <v>0</v>
      </c>
      <c r="HB49" s="47">
        <v>0</v>
      </c>
      <c r="HC49" s="47">
        <v>0</v>
      </c>
      <c r="HD49" s="47">
        <v>0</v>
      </c>
      <c r="HE49" s="47">
        <v>0</v>
      </c>
      <c r="HF49" s="47">
        <v>0</v>
      </c>
    </row>
    <row r="50" spans="1:214" customFormat="1" x14ac:dyDescent="0.25">
      <c r="A50" t="s">
        <v>97</v>
      </c>
      <c r="B50" s="23">
        <v>1</v>
      </c>
      <c r="C50" s="23">
        <v>1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1</v>
      </c>
      <c r="J50" s="23">
        <v>1</v>
      </c>
      <c r="K50" s="23">
        <v>1</v>
      </c>
      <c r="L50" s="23">
        <v>1</v>
      </c>
      <c r="M50" s="23">
        <v>1</v>
      </c>
      <c r="N50" s="23">
        <v>1</v>
      </c>
      <c r="O50" s="23">
        <v>1</v>
      </c>
      <c r="P50" s="23">
        <v>1</v>
      </c>
      <c r="Q50" s="23">
        <v>1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31">
        <v>0</v>
      </c>
      <c r="AH50" s="231">
        <v>0</v>
      </c>
      <c r="AI50" s="231">
        <v>0</v>
      </c>
      <c r="AJ50" s="231">
        <v>0</v>
      </c>
      <c r="AK50" s="231">
        <v>0</v>
      </c>
      <c r="AL50" s="231">
        <v>0</v>
      </c>
      <c r="AM50" s="231">
        <v>0</v>
      </c>
      <c r="AN50" s="231">
        <v>0</v>
      </c>
      <c r="AO50" s="261">
        <v>0</v>
      </c>
      <c r="AP50" s="261">
        <v>0</v>
      </c>
      <c r="AQ50" s="261">
        <v>0</v>
      </c>
      <c r="AR50" s="261">
        <v>0</v>
      </c>
      <c r="AS50" s="261">
        <v>0</v>
      </c>
      <c r="AT50" s="261">
        <v>0</v>
      </c>
      <c r="AU50" s="261">
        <v>0</v>
      </c>
      <c r="AV50" s="261">
        <v>0</v>
      </c>
      <c r="AW50" s="261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220">
        <v>0</v>
      </c>
      <c r="BH50" s="220">
        <v>0</v>
      </c>
      <c r="BI50" s="220">
        <v>0</v>
      </c>
      <c r="BJ50" s="220">
        <v>0</v>
      </c>
      <c r="BK50" s="220">
        <v>0</v>
      </c>
      <c r="BL50" s="220">
        <v>0</v>
      </c>
      <c r="BM50" s="220">
        <v>0</v>
      </c>
      <c r="BN50" s="220">
        <v>0</v>
      </c>
      <c r="BO50" s="220">
        <v>0</v>
      </c>
      <c r="BP50" s="220">
        <v>0</v>
      </c>
      <c r="BQ50" s="220">
        <v>0</v>
      </c>
      <c r="BR50" s="220">
        <v>0</v>
      </c>
      <c r="BS50" s="19">
        <v>1</v>
      </c>
      <c r="BT50" s="19">
        <v>1</v>
      </c>
      <c r="BU50" s="19">
        <v>1</v>
      </c>
      <c r="BV50" s="19">
        <v>1</v>
      </c>
      <c r="BW50" s="19">
        <v>1</v>
      </c>
      <c r="BX50" s="19">
        <v>1</v>
      </c>
      <c r="BY50" s="19">
        <v>1</v>
      </c>
      <c r="BZ50" s="19">
        <v>1</v>
      </c>
      <c r="CA50" s="19">
        <v>1</v>
      </c>
      <c r="CB50" s="19">
        <v>1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v>0</v>
      </c>
      <c r="CM50" s="47">
        <v>0</v>
      </c>
      <c r="CN50" s="47">
        <v>0</v>
      </c>
      <c r="CO50" s="47">
        <v>0</v>
      </c>
      <c r="CP50" s="47">
        <v>0</v>
      </c>
      <c r="CQ50" s="47">
        <v>0</v>
      </c>
      <c r="CR50" s="47">
        <v>0</v>
      </c>
      <c r="CS50" s="47">
        <v>0</v>
      </c>
      <c r="CT50" s="47">
        <v>0</v>
      </c>
      <c r="CU50" s="47">
        <v>0</v>
      </c>
      <c r="CV50" s="47">
        <v>0</v>
      </c>
      <c r="CW50" s="253">
        <v>0</v>
      </c>
      <c r="CX50" s="253">
        <v>0</v>
      </c>
      <c r="CY50" s="253">
        <v>0</v>
      </c>
      <c r="CZ50" s="253">
        <v>0</v>
      </c>
      <c r="DA50" s="253">
        <v>0</v>
      </c>
      <c r="DB50" s="253">
        <v>0</v>
      </c>
      <c r="DC50" s="253">
        <v>0</v>
      </c>
      <c r="DD50" s="253">
        <v>0</v>
      </c>
      <c r="DE50" s="253">
        <v>0</v>
      </c>
      <c r="DF50" s="253">
        <v>0</v>
      </c>
      <c r="DG50" s="253">
        <v>0</v>
      </c>
      <c r="DH50" s="253">
        <v>0</v>
      </c>
      <c r="DI50" s="253">
        <v>0</v>
      </c>
      <c r="DJ50" s="230">
        <v>0</v>
      </c>
      <c r="DK50" s="230">
        <v>0</v>
      </c>
      <c r="DL50" s="230">
        <v>0</v>
      </c>
      <c r="DM50" s="230">
        <v>0</v>
      </c>
      <c r="DN50" s="230">
        <v>0</v>
      </c>
      <c r="DO50" s="230">
        <v>0</v>
      </c>
      <c r="DP50" s="230">
        <v>0</v>
      </c>
      <c r="DQ50" s="230">
        <v>0</v>
      </c>
      <c r="DR50" s="230">
        <v>0</v>
      </c>
      <c r="DS50" s="230">
        <v>0</v>
      </c>
      <c r="DT50" s="220">
        <v>1</v>
      </c>
      <c r="DU50" s="220">
        <v>1</v>
      </c>
      <c r="DV50" s="220">
        <v>1</v>
      </c>
      <c r="DW50" s="220">
        <v>1</v>
      </c>
      <c r="DX50" s="220">
        <v>1</v>
      </c>
      <c r="DY50" s="220">
        <v>1</v>
      </c>
      <c r="DZ50" s="220">
        <v>1</v>
      </c>
      <c r="EA50" s="220">
        <v>1</v>
      </c>
      <c r="EB50" s="220">
        <v>1</v>
      </c>
      <c r="EC50" s="220">
        <v>1</v>
      </c>
      <c r="ED50" s="220">
        <v>1</v>
      </c>
      <c r="EE50" s="42">
        <v>0</v>
      </c>
      <c r="EF50" s="42">
        <v>0</v>
      </c>
      <c r="EG50" s="42">
        <v>0</v>
      </c>
      <c r="EH50" s="42">
        <v>0</v>
      </c>
      <c r="EI50" s="42">
        <v>0</v>
      </c>
      <c r="EJ50" s="42">
        <v>0</v>
      </c>
      <c r="EK50" s="42">
        <v>0</v>
      </c>
      <c r="EL50" s="42">
        <v>0</v>
      </c>
      <c r="EM50" s="42">
        <v>0</v>
      </c>
      <c r="EN50" s="42">
        <v>0</v>
      </c>
      <c r="EO50" s="42">
        <v>0</v>
      </c>
      <c r="EP50" s="42">
        <v>0</v>
      </c>
      <c r="EQ50" s="42">
        <v>0</v>
      </c>
      <c r="ER50" s="42">
        <v>0</v>
      </c>
      <c r="ES50" s="43">
        <v>0</v>
      </c>
      <c r="ET50" s="43">
        <v>0</v>
      </c>
      <c r="EU50" s="43">
        <v>0</v>
      </c>
      <c r="EV50" s="43">
        <v>0</v>
      </c>
      <c r="EW50" s="43">
        <v>0</v>
      </c>
      <c r="EX50" s="43">
        <v>0</v>
      </c>
      <c r="EY50" s="43">
        <v>0</v>
      </c>
      <c r="EZ50" s="43">
        <v>0</v>
      </c>
      <c r="FA50" s="43">
        <v>0</v>
      </c>
      <c r="FB50" s="43">
        <v>0</v>
      </c>
      <c r="FC50" s="43">
        <v>0</v>
      </c>
      <c r="FD50" s="43">
        <v>0</v>
      </c>
      <c r="FE50" s="43">
        <v>0</v>
      </c>
      <c r="FF50" s="43">
        <v>0</v>
      </c>
      <c r="FG50" s="44">
        <v>0</v>
      </c>
      <c r="FH50" s="44">
        <v>0</v>
      </c>
      <c r="FI50" s="44">
        <v>0</v>
      </c>
      <c r="FJ50" s="44">
        <v>0</v>
      </c>
      <c r="FK50" s="44">
        <v>0</v>
      </c>
      <c r="FL50" s="44">
        <v>0</v>
      </c>
      <c r="FM50" s="44">
        <v>0</v>
      </c>
      <c r="FN50" s="44">
        <v>0</v>
      </c>
      <c r="FO50" s="44">
        <v>0</v>
      </c>
      <c r="FP50" s="44">
        <v>0</v>
      </c>
      <c r="FQ50" s="44">
        <v>0</v>
      </c>
      <c r="FR50" s="19">
        <v>0</v>
      </c>
      <c r="FS50" s="19">
        <v>0</v>
      </c>
      <c r="FT50" s="19">
        <v>0</v>
      </c>
      <c r="FU50" s="19">
        <v>0</v>
      </c>
      <c r="FV50" s="19">
        <v>0</v>
      </c>
      <c r="FW50" s="19">
        <v>0</v>
      </c>
      <c r="FX50" s="19">
        <v>0</v>
      </c>
      <c r="FY50" s="19">
        <v>0</v>
      </c>
      <c r="FZ50" s="19">
        <v>0</v>
      </c>
      <c r="GA50" s="19">
        <v>0</v>
      </c>
      <c r="GB50" s="19">
        <v>0</v>
      </c>
      <c r="GC50" s="19">
        <v>0</v>
      </c>
      <c r="GD50" s="236">
        <v>0</v>
      </c>
      <c r="GE50" s="236">
        <v>0</v>
      </c>
      <c r="GF50" s="236">
        <v>0</v>
      </c>
      <c r="GG50" s="236">
        <v>0</v>
      </c>
      <c r="GH50" s="236">
        <v>0</v>
      </c>
      <c r="GI50" s="236">
        <v>0</v>
      </c>
      <c r="GJ50" s="236">
        <v>0</v>
      </c>
      <c r="GK50" s="236">
        <v>0</v>
      </c>
      <c r="GL50" s="236">
        <v>0</v>
      </c>
      <c r="GM50" s="236">
        <v>0</v>
      </c>
      <c r="GN50" s="236">
        <v>0</v>
      </c>
      <c r="GO50" s="236">
        <v>0</v>
      </c>
      <c r="GP50" s="236">
        <v>0</v>
      </c>
      <c r="GQ50" s="236">
        <v>0</v>
      </c>
      <c r="GR50" s="236">
        <v>0</v>
      </c>
      <c r="GS50" s="236">
        <v>0</v>
      </c>
      <c r="GT50" s="47">
        <v>0</v>
      </c>
      <c r="GU50" s="47">
        <v>0</v>
      </c>
      <c r="GV50" s="47">
        <v>0</v>
      </c>
      <c r="GW50" s="47">
        <v>0</v>
      </c>
      <c r="GX50" s="47">
        <v>0</v>
      </c>
      <c r="GY50" s="47">
        <v>0</v>
      </c>
      <c r="GZ50" s="47">
        <v>0</v>
      </c>
      <c r="HA50" s="47">
        <v>0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</row>
    <row r="51" spans="1:214" customFormat="1" x14ac:dyDescent="0.25">
      <c r="A51" t="s">
        <v>27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31">
        <v>0</v>
      </c>
      <c r="AH51" s="231">
        <v>0</v>
      </c>
      <c r="AI51" s="231">
        <v>0</v>
      </c>
      <c r="AJ51" s="231">
        <v>0</v>
      </c>
      <c r="AK51" s="231">
        <v>0</v>
      </c>
      <c r="AL51" s="231">
        <v>0</v>
      </c>
      <c r="AM51" s="231">
        <v>0</v>
      </c>
      <c r="AN51" s="231">
        <v>0</v>
      </c>
      <c r="AO51" s="261">
        <v>1</v>
      </c>
      <c r="AP51" s="261">
        <v>1</v>
      </c>
      <c r="AQ51" s="261">
        <v>1</v>
      </c>
      <c r="AR51" s="261">
        <v>1</v>
      </c>
      <c r="AS51" s="261">
        <v>1</v>
      </c>
      <c r="AT51" s="261">
        <v>1</v>
      </c>
      <c r="AU51" s="261">
        <v>1</v>
      </c>
      <c r="AV51" s="261">
        <v>1</v>
      </c>
      <c r="AW51" s="261">
        <v>1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220">
        <v>0</v>
      </c>
      <c r="BH51" s="220">
        <v>0</v>
      </c>
      <c r="BI51" s="220">
        <v>0</v>
      </c>
      <c r="BJ51" s="220">
        <v>0</v>
      </c>
      <c r="BK51" s="220">
        <v>0</v>
      </c>
      <c r="BL51" s="220">
        <v>0</v>
      </c>
      <c r="BM51" s="220">
        <v>0</v>
      </c>
      <c r="BN51" s="220">
        <v>0</v>
      </c>
      <c r="BO51" s="220">
        <v>0</v>
      </c>
      <c r="BP51" s="220">
        <v>0</v>
      </c>
      <c r="BQ51" s="220">
        <v>0</v>
      </c>
      <c r="BR51" s="220">
        <v>0</v>
      </c>
      <c r="BS51" s="19">
        <v>0</v>
      </c>
      <c r="BT51" s="19">
        <v>0</v>
      </c>
      <c r="BU51" s="19">
        <v>0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37">
        <v>0</v>
      </c>
      <c r="CL51" s="37">
        <v>0</v>
      </c>
      <c r="CM51" s="47">
        <v>0</v>
      </c>
      <c r="CN51" s="47">
        <v>0</v>
      </c>
      <c r="CO51" s="47">
        <v>0</v>
      </c>
      <c r="CP51" s="47">
        <v>0</v>
      </c>
      <c r="CQ51" s="47">
        <v>0</v>
      </c>
      <c r="CR51" s="47">
        <v>0</v>
      </c>
      <c r="CS51" s="47">
        <v>0</v>
      </c>
      <c r="CT51" s="47">
        <v>0</v>
      </c>
      <c r="CU51" s="47">
        <v>0</v>
      </c>
      <c r="CV51" s="47">
        <v>0</v>
      </c>
      <c r="CW51" s="253">
        <v>0</v>
      </c>
      <c r="CX51" s="253">
        <v>0</v>
      </c>
      <c r="CY51" s="253">
        <v>0</v>
      </c>
      <c r="CZ51" s="253">
        <v>0</v>
      </c>
      <c r="DA51" s="253">
        <v>0</v>
      </c>
      <c r="DB51" s="253">
        <v>0</v>
      </c>
      <c r="DC51" s="253">
        <v>0</v>
      </c>
      <c r="DD51" s="253">
        <v>0</v>
      </c>
      <c r="DE51" s="253">
        <v>0</v>
      </c>
      <c r="DF51" s="253">
        <v>0</v>
      </c>
      <c r="DG51" s="253">
        <v>0</v>
      </c>
      <c r="DH51" s="253">
        <v>0</v>
      </c>
      <c r="DI51" s="253">
        <v>0</v>
      </c>
      <c r="DJ51" s="230">
        <v>0</v>
      </c>
      <c r="DK51" s="230">
        <v>0</v>
      </c>
      <c r="DL51" s="230">
        <v>0</v>
      </c>
      <c r="DM51" s="230">
        <v>0</v>
      </c>
      <c r="DN51" s="230">
        <v>0</v>
      </c>
      <c r="DO51" s="230">
        <v>0</v>
      </c>
      <c r="DP51" s="230">
        <v>0</v>
      </c>
      <c r="DQ51" s="230">
        <v>0</v>
      </c>
      <c r="DR51" s="230">
        <v>0</v>
      </c>
      <c r="DS51" s="230">
        <v>0</v>
      </c>
      <c r="DT51" s="220">
        <v>0</v>
      </c>
      <c r="DU51" s="220">
        <v>0</v>
      </c>
      <c r="DV51" s="220">
        <v>0</v>
      </c>
      <c r="DW51" s="220">
        <v>0</v>
      </c>
      <c r="DX51" s="220">
        <v>0</v>
      </c>
      <c r="DY51" s="220">
        <v>0</v>
      </c>
      <c r="DZ51" s="220">
        <v>0</v>
      </c>
      <c r="EA51" s="220">
        <v>0</v>
      </c>
      <c r="EB51" s="220">
        <v>0</v>
      </c>
      <c r="EC51" s="220">
        <v>0</v>
      </c>
      <c r="ED51" s="220">
        <v>0</v>
      </c>
      <c r="EE51" s="42">
        <v>0</v>
      </c>
      <c r="EF51" s="42">
        <v>0</v>
      </c>
      <c r="EG51" s="42">
        <v>0</v>
      </c>
      <c r="EH51" s="42">
        <v>0</v>
      </c>
      <c r="EI51" s="42">
        <v>0</v>
      </c>
      <c r="EJ51" s="42">
        <v>0</v>
      </c>
      <c r="EK51" s="42">
        <v>0</v>
      </c>
      <c r="EL51" s="42">
        <v>0</v>
      </c>
      <c r="EM51" s="42">
        <v>0</v>
      </c>
      <c r="EN51" s="42">
        <v>0</v>
      </c>
      <c r="EO51" s="42">
        <v>0</v>
      </c>
      <c r="EP51" s="42">
        <v>0</v>
      </c>
      <c r="EQ51" s="42">
        <v>0</v>
      </c>
      <c r="ER51" s="42">
        <v>0</v>
      </c>
      <c r="ES51" s="43">
        <v>0</v>
      </c>
      <c r="ET51" s="43">
        <v>0</v>
      </c>
      <c r="EU51" s="43">
        <v>0</v>
      </c>
      <c r="EV51" s="43">
        <v>0</v>
      </c>
      <c r="EW51" s="43">
        <v>0</v>
      </c>
      <c r="EX51" s="43">
        <v>0</v>
      </c>
      <c r="EY51" s="43">
        <v>0</v>
      </c>
      <c r="EZ51" s="43">
        <v>0</v>
      </c>
      <c r="FA51" s="43">
        <v>0</v>
      </c>
      <c r="FB51" s="43">
        <v>0</v>
      </c>
      <c r="FC51" s="43">
        <v>0</v>
      </c>
      <c r="FD51" s="43">
        <v>0</v>
      </c>
      <c r="FE51" s="43">
        <v>0</v>
      </c>
      <c r="FF51" s="43">
        <v>0</v>
      </c>
      <c r="FG51" s="44">
        <v>1</v>
      </c>
      <c r="FH51" s="44">
        <v>1</v>
      </c>
      <c r="FI51" s="44">
        <v>1</v>
      </c>
      <c r="FJ51" s="44">
        <v>1</v>
      </c>
      <c r="FK51" s="44">
        <v>1</v>
      </c>
      <c r="FL51" s="44">
        <v>1</v>
      </c>
      <c r="FM51" s="44">
        <v>1</v>
      </c>
      <c r="FN51" s="44">
        <v>1</v>
      </c>
      <c r="FO51" s="44">
        <v>1</v>
      </c>
      <c r="FP51" s="44">
        <v>1</v>
      </c>
      <c r="FQ51" s="44">
        <v>1</v>
      </c>
      <c r="FR51" s="19">
        <v>0</v>
      </c>
      <c r="FS51" s="19">
        <v>0</v>
      </c>
      <c r="FT51" s="19">
        <v>0</v>
      </c>
      <c r="FU51" s="19">
        <v>0</v>
      </c>
      <c r="FV51" s="19">
        <v>0</v>
      </c>
      <c r="FW51" s="19">
        <v>0</v>
      </c>
      <c r="FX51" s="19">
        <v>0</v>
      </c>
      <c r="FY51" s="19">
        <v>0</v>
      </c>
      <c r="FZ51" s="19">
        <v>0</v>
      </c>
      <c r="GA51" s="19">
        <v>0</v>
      </c>
      <c r="GB51" s="19">
        <v>0</v>
      </c>
      <c r="GC51" s="19">
        <v>0</v>
      </c>
      <c r="GD51" s="236">
        <v>0</v>
      </c>
      <c r="GE51" s="236">
        <v>0</v>
      </c>
      <c r="GF51" s="236">
        <v>0</v>
      </c>
      <c r="GG51" s="236">
        <v>0</v>
      </c>
      <c r="GH51" s="236">
        <v>0</v>
      </c>
      <c r="GI51" s="236">
        <v>0</v>
      </c>
      <c r="GJ51" s="236">
        <v>0</v>
      </c>
      <c r="GK51" s="236">
        <v>0</v>
      </c>
      <c r="GL51" s="236">
        <v>0</v>
      </c>
      <c r="GM51" s="236">
        <v>0</v>
      </c>
      <c r="GN51" s="236">
        <v>0</v>
      </c>
      <c r="GO51" s="236">
        <v>0</v>
      </c>
      <c r="GP51" s="236">
        <v>0</v>
      </c>
      <c r="GQ51" s="236">
        <v>0</v>
      </c>
      <c r="GR51" s="236">
        <v>0</v>
      </c>
      <c r="GS51" s="236">
        <v>0</v>
      </c>
      <c r="GT51" s="47">
        <v>1</v>
      </c>
      <c r="GU51" s="47">
        <v>1</v>
      </c>
      <c r="GV51" s="47">
        <v>1</v>
      </c>
      <c r="GW51" s="47">
        <v>1</v>
      </c>
      <c r="GX51" s="47">
        <v>1</v>
      </c>
      <c r="GY51" s="47">
        <v>1</v>
      </c>
      <c r="GZ51" s="47">
        <v>1</v>
      </c>
      <c r="HA51" s="47">
        <v>1</v>
      </c>
      <c r="HB51" s="47">
        <v>1</v>
      </c>
      <c r="HC51" s="47">
        <v>1</v>
      </c>
      <c r="HD51" s="47">
        <v>1</v>
      </c>
      <c r="HE51" s="47">
        <v>1</v>
      </c>
      <c r="HF51" s="47">
        <v>1</v>
      </c>
    </row>
    <row r="52" spans="1:214" customFormat="1" x14ac:dyDescent="0.25">
      <c r="A52" t="s">
        <v>98</v>
      </c>
      <c r="B52" s="23">
        <v>1</v>
      </c>
      <c r="C52" s="23">
        <v>1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23">
        <v>1</v>
      </c>
      <c r="L52" s="23">
        <v>1</v>
      </c>
      <c r="M52" s="23">
        <v>1</v>
      </c>
      <c r="N52" s="23">
        <v>1</v>
      </c>
      <c r="O52" s="23">
        <v>1</v>
      </c>
      <c r="P52" s="23">
        <v>1</v>
      </c>
      <c r="Q52" s="23">
        <v>1</v>
      </c>
      <c r="R52" s="21">
        <v>1</v>
      </c>
      <c r="S52" s="21">
        <v>1</v>
      </c>
      <c r="T52" s="21">
        <v>1</v>
      </c>
      <c r="U52" s="21">
        <v>1</v>
      </c>
      <c r="V52" s="21">
        <v>1</v>
      </c>
      <c r="W52" s="21">
        <v>1</v>
      </c>
      <c r="X52" s="21">
        <v>1</v>
      </c>
      <c r="Y52" s="21">
        <v>1</v>
      </c>
      <c r="Z52" s="21">
        <v>1</v>
      </c>
      <c r="AA52" s="21">
        <v>1</v>
      </c>
      <c r="AB52" s="21">
        <v>1</v>
      </c>
      <c r="AC52" s="21">
        <v>1</v>
      </c>
      <c r="AD52" s="21">
        <v>1</v>
      </c>
      <c r="AE52" s="21">
        <v>1</v>
      </c>
      <c r="AF52" s="21">
        <v>1</v>
      </c>
      <c r="AG52" s="231">
        <v>0</v>
      </c>
      <c r="AH52" s="231">
        <v>0</v>
      </c>
      <c r="AI52" s="231">
        <v>0</v>
      </c>
      <c r="AJ52" s="231">
        <v>0</v>
      </c>
      <c r="AK52" s="231">
        <v>0</v>
      </c>
      <c r="AL52" s="231">
        <v>0</v>
      </c>
      <c r="AM52" s="231">
        <v>0</v>
      </c>
      <c r="AN52" s="231">
        <v>0</v>
      </c>
      <c r="AO52" s="261">
        <v>0</v>
      </c>
      <c r="AP52" s="261">
        <v>0</v>
      </c>
      <c r="AQ52" s="261">
        <v>0</v>
      </c>
      <c r="AR52" s="261">
        <v>0</v>
      </c>
      <c r="AS52" s="261">
        <v>0</v>
      </c>
      <c r="AT52" s="261">
        <v>0</v>
      </c>
      <c r="AU52" s="261">
        <v>0</v>
      </c>
      <c r="AV52" s="261">
        <v>0</v>
      </c>
      <c r="AW52" s="261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220">
        <v>0</v>
      </c>
      <c r="BH52" s="220">
        <v>0</v>
      </c>
      <c r="BI52" s="220">
        <v>0</v>
      </c>
      <c r="BJ52" s="220">
        <v>0</v>
      </c>
      <c r="BK52" s="220">
        <v>0</v>
      </c>
      <c r="BL52" s="220">
        <v>0</v>
      </c>
      <c r="BM52" s="220">
        <v>0</v>
      </c>
      <c r="BN52" s="220">
        <v>0</v>
      </c>
      <c r="BO52" s="220">
        <v>0</v>
      </c>
      <c r="BP52" s="220">
        <v>0</v>
      </c>
      <c r="BQ52" s="220">
        <v>0</v>
      </c>
      <c r="BR52" s="220">
        <v>0</v>
      </c>
      <c r="BS52" s="19">
        <v>1</v>
      </c>
      <c r="BT52" s="19">
        <v>1</v>
      </c>
      <c r="BU52" s="19">
        <v>1</v>
      </c>
      <c r="BV52" s="19">
        <v>1</v>
      </c>
      <c r="BW52" s="19">
        <v>1</v>
      </c>
      <c r="BX52" s="19">
        <v>1</v>
      </c>
      <c r="BY52" s="19">
        <v>1</v>
      </c>
      <c r="BZ52" s="19">
        <v>1</v>
      </c>
      <c r="CA52" s="19">
        <v>1</v>
      </c>
      <c r="CB52" s="19">
        <v>1</v>
      </c>
      <c r="CC52" s="37">
        <v>1</v>
      </c>
      <c r="CD52" s="37">
        <v>1</v>
      </c>
      <c r="CE52" s="37">
        <v>1</v>
      </c>
      <c r="CF52" s="37">
        <v>1</v>
      </c>
      <c r="CG52" s="37">
        <v>1</v>
      </c>
      <c r="CH52" s="37">
        <v>1</v>
      </c>
      <c r="CI52" s="37">
        <v>1</v>
      </c>
      <c r="CJ52" s="37">
        <v>1</v>
      </c>
      <c r="CK52" s="37">
        <v>1</v>
      </c>
      <c r="CL52" s="37">
        <v>1</v>
      </c>
      <c r="CM52" s="47">
        <v>1</v>
      </c>
      <c r="CN52" s="47">
        <v>1</v>
      </c>
      <c r="CO52" s="47">
        <v>1</v>
      </c>
      <c r="CP52" s="47">
        <v>1</v>
      </c>
      <c r="CQ52" s="47">
        <v>1</v>
      </c>
      <c r="CR52" s="47">
        <v>1</v>
      </c>
      <c r="CS52" s="47">
        <v>1</v>
      </c>
      <c r="CT52" s="47">
        <v>1</v>
      </c>
      <c r="CU52" s="47">
        <v>1</v>
      </c>
      <c r="CV52" s="47">
        <v>1</v>
      </c>
      <c r="CW52" s="253">
        <v>0</v>
      </c>
      <c r="CX52" s="253">
        <v>0</v>
      </c>
      <c r="CY52" s="253">
        <v>0</v>
      </c>
      <c r="CZ52" s="253">
        <v>0</v>
      </c>
      <c r="DA52" s="253">
        <v>0</v>
      </c>
      <c r="DB52" s="253">
        <v>0</v>
      </c>
      <c r="DC52" s="253">
        <v>0</v>
      </c>
      <c r="DD52" s="253">
        <v>0</v>
      </c>
      <c r="DE52" s="253">
        <v>0</v>
      </c>
      <c r="DF52" s="253">
        <v>0</v>
      </c>
      <c r="DG52" s="253">
        <v>0</v>
      </c>
      <c r="DH52" s="253">
        <v>0</v>
      </c>
      <c r="DI52" s="253">
        <v>0</v>
      </c>
      <c r="DJ52" s="230">
        <v>0</v>
      </c>
      <c r="DK52" s="230">
        <v>0</v>
      </c>
      <c r="DL52" s="230">
        <v>0</v>
      </c>
      <c r="DM52" s="230">
        <v>0</v>
      </c>
      <c r="DN52" s="230">
        <v>0</v>
      </c>
      <c r="DO52" s="230">
        <v>0</v>
      </c>
      <c r="DP52" s="230">
        <v>0</v>
      </c>
      <c r="DQ52" s="230">
        <v>0</v>
      </c>
      <c r="DR52" s="230">
        <v>0</v>
      </c>
      <c r="DS52" s="230">
        <v>0</v>
      </c>
      <c r="DT52" s="220">
        <v>0</v>
      </c>
      <c r="DU52" s="220">
        <v>0</v>
      </c>
      <c r="DV52" s="220">
        <v>0</v>
      </c>
      <c r="DW52" s="220">
        <v>0</v>
      </c>
      <c r="DX52" s="220">
        <v>0</v>
      </c>
      <c r="DY52" s="220">
        <v>0</v>
      </c>
      <c r="DZ52" s="220">
        <v>0</v>
      </c>
      <c r="EA52" s="220">
        <v>0</v>
      </c>
      <c r="EB52" s="220">
        <v>0</v>
      </c>
      <c r="EC52" s="220">
        <v>0</v>
      </c>
      <c r="ED52" s="220">
        <v>0</v>
      </c>
      <c r="EE52" s="42">
        <v>0</v>
      </c>
      <c r="EF52" s="42">
        <v>0</v>
      </c>
      <c r="EG52" s="42">
        <v>0</v>
      </c>
      <c r="EH52" s="42">
        <v>0</v>
      </c>
      <c r="EI52" s="42">
        <v>0</v>
      </c>
      <c r="EJ52" s="42">
        <v>0</v>
      </c>
      <c r="EK52" s="42">
        <v>0</v>
      </c>
      <c r="EL52" s="42">
        <v>0</v>
      </c>
      <c r="EM52" s="42">
        <v>0</v>
      </c>
      <c r="EN52" s="42">
        <v>0</v>
      </c>
      <c r="EO52" s="42">
        <v>0</v>
      </c>
      <c r="EP52" s="42">
        <v>0</v>
      </c>
      <c r="EQ52" s="42">
        <v>0</v>
      </c>
      <c r="ER52" s="42">
        <v>0</v>
      </c>
      <c r="ES52" s="43">
        <v>0</v>
      </c>
      <c r="ET52" s="43">
        <v>0</v>
      </c>
      <c r="EU52" s="43">
        <v>0</v>
      </c>
      <c r="EV52" s="43">
        <v>0</v>
      </c>
      <c r="EW52" s="43">
        <v>0</v>
      </c>
      <c r="EX52" s="43">
        <v>0</v>
      </c>
      <c r="EY52" s="43">
        <v>0</v>
      </c>
      <c r="EZ52" s="43">
        <v>0</v>
      </c>
      <c r="FA52" s="43">
        <v>0</v>
      </c>
      <c r="FB52" s="43">
        <v>0</v>
      </c>
      <c r="FC52" s="43">
        <v>0</v>
      </c>
      <c r="FD52" s="43">
        <v>0</v>
      </c>
      <c r="FE52" s="43">
        <v>0</v>
      </c>
      <c r="FF52" s="43">
        <v>0</v>
      </c>
      <c r="FG52" s="44">
        <v>0</v>
      </c>
      <c r="FH52" s="44">
        <v>0</v>
      </c>
      <c r="FI52" s="44">
        <v>0</v>
      </c>
      <c r="FJ52" s="44">
        <v>0</v>
      </c>
      <c r="FK52" s="44">
        <v>0</v>
      </c>
      <c r="FL52" s="44">
        <v>0</v>
      </c>
      <c r="FM52" s="44">
        <v>0</v>
      </c>
      <c r="FN52" s="44">
        <v>0</v>
      </c>
      <c r="FO52" s="44">
        <v>0</v>
      </c>
      <c r="FP52" s="44">
        <v>0</v>
      </c>
      <c r="FQ52" s="44">
        <v>0</v>
      </c>
      <c r="FR52" s="19">
        <v>1</v>
      </c>
      <c r="FS52" s="19">
        <v>1</v>
      </c>
      <c r="FT52" s="19">
        <v>1</v>
      </c>
      <c r="FU52" s="19">
        <v>1</v>
      </c>
      <c r="FV52" s="19">
        <v>1</v>
      </c>
      <c r="FW52" s="19">
        <v>1</v>
      </c>
      <c r="FX52" s="19">
        <v>1</v>
      </c>
      <c r="FY52" s="19">
        <v>1</v>
      </c>
      <c r="FZ52" s="19">
        <v>1</v>
      </c>
      <c r="GA52" s="19">
        <v>1</v>
      </c>
      <c r="GB52" s="19">
        <v>1</v>
      </c>
      <c r="GC52" s="19">
        <v>1</v>
      </c>
      <c r="GD52" s="236">
        <v>0</v>
      </c>
      <c r="GE52" s="236">
        <v>0</v>
      </c>
      <c r="GF52" s="236">
        <v>0</v>
      </c>
      <c r="GG52" s="236">
        <v>0</v>
      </c>
      <c r="GH52" s="236">
        <v>0</v>
      </c>
      <c r="GI52" s="236">
        <v>0</v>
      </c>
      <c r="GJ52" s="236">
        <v>0</v>
      </c>
      <c r="GK52" s="236">
        <v>0</v>
      </c>
      <c r="GL52" s="236">
        <v>0</v>
      </c>
      <c r="GM52" s="236">
        <v>0</v>
      </c>
      <c r="GN52" s="236">
        <v>0</v>
      </c>
      <c r="GO52" s="236">
        <v>0</v>
      </c>
      <c r="GP52" s="236">
        <v>0</v>
      </c>
      <c r="GQ52" s="236">
        <v>0</v>
      </c>
      <c r="GR52" s="236">
        <v>0</v>
      </c>
      <c r="GS52" s="236">
        <v>0</v>
      </c>
      <c r="GT52" s="47">
        <v>0</v>
      </c>
      <c r="GU52" s="47">
        <v>0</v>
      </c>
      <c r="GV52" s="47">
        <v>0</v>
      </c>
      <c r="GW52" s="47">
        <v>0</v>
      </c>
      <c r="GX52" s="47">
        <v>0</v>
      </c>
      <c r="GY52" s="47">
        <v>0</v>
      </c>
      <c r="GZ52" s="47">
        <v>0</v>
      </c>
      <c r="HA52" s="47">
        <v>0</v>
      </c>
      <c r="HB52" s="47">
        <v>0</v>
      </c>
      <c r="HC52" s="47">
        <v>0</v>
      </c>
      <c r="HD52" s="47">
        <v>0</v>
      </c>
      <c r="HE52" s="47">
        <v>0</v>
      </c>
      <c r="HF52" s="47">
        <v>0</v>
      </c>
    </row>
    <row r="53" spans="1:214" customFormat="1" x14ac:dyDescent="0.25">
      <c r="A53" t="s">
        <v>99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31">
        <v>0</v>
      </c>
      <c r="AH53" s="231">
        <v>0</v>
      </c>
      <c r="AI53" s="231">
        <v>0</v>
      </c>
      <c r="AJ53" s="231">
        <v>0</v>
      </c>
      <c r="AK53" s="231">
        <v>0</v>
      </c>
      <c r="AL53" s="231">
        <v>0</v>
      </c>
      <c r="AM53" s="231">
        <v>0</v>
      </c>
      <c r="AN53" s="231">
        <v>0</v>
      </c>
      <c r="AO53" s="261">
        <v>0</v>
      </c>
      <c r="AP53" s="261">
        <v>0</v>
      </c>
      <c r="AQ53" s="261">
        <v>0</v>
      </c>
      <c r="AR53" s="261">
        <v>0</v>
      </c>
      <c r="AS53" s="261">
        <v>0</v>
      </c>
      <c r="AT53" s="261">
        <v>0</v>
      </c>
      <c r="AU53" s="261">
        <v>0</v>
      </c>
      <c r="AV53" s="261">
        <v>0</v>
      </c>
      <c r="AW53" s="261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220">
        <v>0</v>
      </c>
      <c r="BH53" s="220">
        <v>0</v>
      </c>
      <c r="BI53" s="220">
        <v>0</v>
      </c>
      <c r="BJ53" s="220">
        <v>0</v>
      </c>
      <c r="BK53" s="220">
        <v>0</v>
      </c>
      <c r="BL53" s="220">
        <v>0</v>
      </c>
      <c r="BM53" s="220">
        <v>0</v>
      </c>
      <c r="BN53" s="220">
        <v>0</v>
      </c>
      <c r="BO53" s="220">
        <v>0</v>
      </c>
      <c r="BP53" s="220">
        <v>0</v>
      </c>
      <c r="BQ53" s="220">
        <v>0</v>
      </c>
      <c r="BR53" s="220">
        <v>0</v>
      </c>
      <c r="BS53" s="19">
        <v>0</v>
      </c>
      <c r="BT53" s="19">
        <v>0</v>
      </c>
      <c r="BU53" s="19">
        <v>0</v>
      </c>
      <c r="BV53" s="19">
        <v>0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37">
        <v>0</v>
      </c>
      <c r="CD53" s="37">
        <v>0</v>
      </c>
      <c r="CE53" s="37">
        <v>0</v>
      </c>
      <c r="CF53" s="37">
        <v>0</v>
      </c>
      <c r="CG53" s="37">
        <v>0</v>
      </c>
      <c r="CH53" s="37">
        <v>0</v>
      </c>
      <c r="CI53" s="37">
        <v>0</v>
      </c>
      <c r="CJ53" s="37">
        <v>0</v>
      </c>
      <c r="CK53" s="37">
        <v>0</v>
      </c>
      <c r="CL53" s="37">
        <v>0</v>
      </c>
      <c r="CM53" s="47">
        <v>0</v>
      </c>
      <c r="CN53" s="47">
        <v>0</v>
      </c>
      <c r="CO53" s="47">
        <v>0</v>
      </c>
      <c r="CP53" s="47">
        <v>0</v>
      </c>
      <c r="CQ53" s="47">
        <v>0</v>
      </c>
      <c r="CR53" s="47">
        <v>0</v>
      </c>
      <c r="CS53" s="47">
        <v>0</v>
      </c>
      <c r="CT53" s="47">
        <v>0</v>
      </c>
      <c r="CU53" s="47">
        <v>0</v>
      </c>
      <c r="CV53" s="47">
        <v>0</v>
      </c>
      <c r="CW53" s="253">
        <v>0</v>
      </c>
      <c r="CX53" s="253">
        <v>0</v>
      </c>
      <c r="CY53" s="253">
        <v>0</v>
      </c>
      <c r="CZ53" s="253">
        <v>0</v>
      </c>
      <c r="DA53" s="253">
        <v>0</v>
      </c>
      <c r="DB53" s="253">
        <v>0</v>
      </c>
      <c r="DC53" s="253">
        <v>0</v>
      </c>
      <c r="DD53" s="253">
        <v>0</v>
      </c>
      <c r="DE53" s="253">
        <v>0</v>
      </c>
      <c r="DF53" s="253">
        <v>0</v>
      </c>
      <c r="DG53" s="253">
        <v>0</v>
      </c>
      <c r="DH53" s="253">
        <v>0</v>
      </c>
      <c r="DI53" s="253">
        <v>0</v>
      </c>
      <c r="DJ53" s="230">
        <v>1</v>
      </c>
      <c r="DK53" s="230">
        <v>1</v>
      </c>
      <c r="DL53" s="230">
        <v>1</v>
      </c>
      <c r="DM53" s="230">
        <v>1</v>
      </c>
      <c r="DN53" s="230">
        <v>1</v>
      </c>
      <c r="DO53" s="230">
        <v>1</v>
      </c>
      <c r="DP53" s="230">
        <v>1</v>
      </c>
      <c r="DQ53" s="230">
        <v>1</v>
      </c>
      <c r="DR53" s="230">
        <v>1</v>
      </c>
      <c r="DS53" s="230">
        <v>1</v>
      </c>
      <c r="DT53" s="220">
        <v>0</v>
      </c>
      <c r="DU53" s="220">
        <v>0</v>
      </c>
      <c r="DV53" s="220">
        <v>0</v>
      </c>
      <c r="DW53" s="220">
        <v>0</v>
      </c>
      <c r="DX53" s="220">
        <v>0</v>
      </c>
      <c r="DY53" s="220">
        <v>0</v>
      </c>
      <c r="DZ53" s="220">
        <v>0</v>
      </c>
      <c r="EA53" s="220">
        <v>0</v>
      </c>
      <c r="EB53" s="220">
        <v>0</v>
      </c>
      <c r="EC53" s="220">
        <v>0</v>
      </c>
      <c r="ED53" s="220">
        <v>0</v>
      </c>
      <c r="EE53" s="42">
        <v>0</v>
      </c>
      <c r="EF53" s="42">
        <v>0</v>
      </c>
      <c r="EG53" s="42">
        <v>0</v>
      </c>
      <c r="EH53" s="42">
        <v>0</v>
      </c>
      <c r="EI53" s="42">
        <v>0</v>
      </c>
      <c r="EJ53" s="42">
        <v>0</v>
      </c>
      <c r="EK53" s="42">
        <v>0</v>
      </c>
      <c r="EL53" s="42">
        <v>0</v>
      </c>
      <c r="EM53" s="42">
        <v>0</v>
      </c>
      <c r="EN53" s="42">
        <v>0</v>
      </c>
      <c r="EO53" s="42">
        <v>0</v>
      </c>
      <c r="EP53" s="42">
        <v>0</v>
      </c>
      <c r="EQ53" s="42">
        <v>0</v>
      </c>
      <c r="ER53" s="42">
        <v>0</v>
      </c>
      <c r="ES53" s="43">
        <v>0</v>
      </c>
      <c r="ET53" s="43">
        <v>0</v>
      </c>
      <c r="EU53" s="43">
        <v>0</v>
      </c>
      <c r="EV53" s="43">
        <v>0</v>
      </c>
      <c r="EW53" s="43">
        <v>0</v>
      </c>
      <c r="EX53" s="43">
        <v>0</v>
      </c>
      <c r="EY53" s="43">
        <v>0</v>
      </c>
      <c r="EZ53" s="43">
        <v>0</v>
      </c>
      <c r="FA53" s="43">
        <v>0</v>
      </c>
      <c r="FB53" s="43">
        <v>0</v>
      </c>
      <c r="FC53" s="43">
        <v>0</v>
      </c>
      <c r="FD53" s="43">
        <v>0</v>
      </c>
      <c r="FE53" s="43">
        <v>0</v>
      </c>
      <c r="FF53" s="43">
        <v>0</v>
      </c>
      <c r="FG53" s="44">
        <v>0</v>
      </c>
      <c r="FH53" s="44">
        <v>0</v>
      </c>
      <c r="FI53" s="44">
        <v>0</v>
      </c>
      <c r="FJ53" s="44">
        <v>0</v>
      </c>
      <c r="FK53" s="44">
        <v>0</v>
      </c>
      <c r="FL53" s="44">
        <v>0</v>
      </c>
      <c r="FM53" s="44">
        <v>0</v>
      </c>
      <c r="FN53" s="44">
        <v>0</v>
      </c>
      <c r="FO53" s="44">
        <v>0</v>
      </c>
      <c r="FP53" s="44">
        <v>0</v>
      </c>
      <c r="FQ53" s="44">
        <v>0</v>
      </c>
      <c r="FR53" s="19">
        <v>1</v>
      </c>
      <c r="FS53" s="19">
        <v>1</v>
      </c>
      <c r="FT53" s="19">
        <v>1</v>
      </c>
      <c r="FU53" s="19">
        <v>1</v>
      </c>
      <c r="FV53" s="19">
        <v>1</v>
      </c>
      <c r="FW53" s="19">
        <v>1</v>
      </c>
      <c r="FX53" s="19">
        <v>1</v>
      </c>
      <c r="FY53" s="19">
        <v>1</v>
      </c>
      <c r="FZ53" s="19">
        <v>1</v>
      </c>
      <c r="GA53" s="19">
        <v>1</v>
      </c>
      <c r="GB53" s="19">
        <v>1</v>
      </c>
      <c r="GC53" s="19">
        <v>1</v>
      </c>
      <c r="GD53" s="236">
        <v>0</v>
      </c>
      <c r="GE53" s="236">
        <v>0</v>
      </c>
      <c r="GF53" s="236">
        <v>0</v>
      </c>
      <c r="GG53" s="236">
        <v>0</v>
      </c>
      <c r="GH53" s="236">
        <v>0</v>
      </c>
      <c r="GI53" s="236">
        <v>0</v>
      </c>
      <c r="GJ53" s="236">
        <v>0</v>
      </c>
      <c r="GK53" s="236">
        <v>0</v>
      </c>
      <c r="GL53" s="236">
        <v>0</v>
      </c>
      <c r="GM53" s="236">
        <v>0</v>
      </c>
      <c r="GN53" s="236">
        <v>0</v>
      </c>
      <c r="GO53" s="236">
        <v>0</v>
      </c>
      <c r="GP53" s="236">
        <v>0</v>
      </c>
      <c r="GQ53" s="236">
        <v>0</v>
      </c>
      <c r="GR53" s="236">
        <v>0</v>
      </c>
      <c r="GS53" s="236">
        <v>0</v>
      </c>
      <c r="GT53" s="47">
        <v>0</v>
      </c>
      <c r="GU53" s="47">
        <v>0</v>
      </c>
      <c r="GV53" s="47">
        <v>0</v>
      </c>
      <c r="GW53" s="47">
        <v>0</v>
      </c>
      <c r="GX53" s="47">
        <v>0</v>
      </c>
      <c r="GY53" s="47">
        <v>0</v>
      </c>
      <c r="GZ53" s="47">
        <v>0</v>
      </c>
      <c r="HA53" s="47">
        <v>0</v>
      </c>
      <c r="HB53" s="47">
        <v>0</v>
      </c>
      <c r="HC53" s="47">
        <v>0</v>
      </c>
      <c r="HD53" s="47">
        <v>0</v>
      </c>
      <c r="HE53" s="47">
        <v>0</v>
      </c>
      <c r="HF53" s="47">
        <v>0</v>
      </c>
    </row>
    <row r="54" spans="1:214" customFormat="1" x14ac:dyDescent="0.25">
      <c r="R54" t="s">
        <v>336</v>
      </c>
      <c r="AK54" t="s">
        <v>337</v>
      </c>
      <c r="AL54" t="s">
        <v>337</v>
      </c>
      <c r="AZ54" t="s">
        <v>337</v>
      </c>
      <c r="BA54" t="s">
        <v>337</v>
      </c>
      <c r="CC54" t="s">
        <v>337</v>
      </c>
      <c r="DJ54" t="s">
        <v>337</v>
      </c>
      <c r="DK54" t="s">
        <v>337</v>
      </c>
      <c r="DL54" t="s">
        <v>337</v>
      </c>
      <c r="DM54" t="s">
        <v>337</v>
      </c>
      <c r="DN54" t="s">
        <v>337</v>
      </c>
      <c r="EV54" t="s">
        <v>337</v>
      </c>
      <c r="EW54" t="s">
        <v>337</v>
      </c>
      <c r="FC54" t="s">
        <v>337</v>
      </c>
    </row>
    <row r="55" spans="1:214" x14ac:dyDescent="0.25">
      <c r="A55" s="232"/>
      <c r="B55" s="232"/>
      <c r="C55" s="232"/>
      <c r="D55" s="232"/>
      <c r="E55" s="232"/>
      <c r="AN55" s="17"/>
      <c r="AO55" s="17"/>
      <c r="AP55" s="17"/>
    </row>
    <row r="56" spans="1:214" x14ac:dyDescent="0.25">
      <c r="A56" s="232"/>
      <c r="B56" s="232"/>
      <c r="C56" s="232"/>
      <c r="D56" s="232"/>
      <c r="E56" s="232"/>
      <c r="AN56" s="17"/>
      <c r="AO56" s="17"/>
      <c r="AP56" s="17"/>
    </row>
    <row r="57" spans="1:214" x14ac:dyDescent="0.25">
      <c r="A57" s="232"/>
      <c r="B57" s="232"/>
      <c r="C57" s="232"/>
      <c r="D57" s="232"/>
      <c r="E57" s="232"/>
      <c r="H57" s="232"/>
      <c r="I57" s="232"/>
      <c r="J57" s="232"/>
      <c r="K57" s="232"/>
      <c r="L57" s="232"/>
      <c r="M57" s="232"/>
      <c r="N57" s="232"/>
      <c r="O57" s="232"/>
    </row>
    <row r="58" spans="1:214" x14ac:dyDescent="0.25">
      <c r="A58" s="233" t="s">
        <v>338</v>
      </c>
      <c r="B58" s="232"/>
      <c r="C58" s="232">
        <v>0</v>
      </c>
      <c r="D58" s="232"/>
      <c r="E58" s="232"/>
      <c r="F58" s="232" t="s">
        <v>26</v>
      </c>
      <c r="H58" s="232"/>
      <c r="I58" s="232" t="s">
        <v>291</v>
      </c>
      <c r="J58" s="232"/>
      <c r="K58" s="232"/>
      <c r="L58" s="232"/>
      <c r="M58" s="232"/>
      <c r="N58" s="232"/>
      <c r="O58" s="232"/>
    </row>
    <row r="59" spans="1:214" x14ac:dyDescent="0.25">
      <c r="A59" s="233" t="s">
        <v>339</v>
      </c>
      <c r="B59" s="232"/>
      <c r="C59" s="232">
        <v>1</v>
      </c>
      <c r="D59" s="232"/>
      <c r="E59" s="232"/>
      <c r="F59" s="232" t="s">
        <v>25</v>
      </c>
      <c r="H59" s="232"/>
      <c r="I59" s="232" t="s">
        <v>292</v>
      </c>
      <c r="J59" s="232"/>
      <c r="K59" s="232"/>
      <c r="L59" s="232"/>
      <c r="M59" s="232"/>
      <c r="N59" s="232"/>
      <c r="O59" s="232"/>
    </row>
    <row r="60" spans="1:214" x14ac:dyDescent="0.25">
      <c r="A60" s="233" t="s">
        <v>341</v>
      </c>
      <c r="B60" s="232"/>
      <c r="C60" s="232">
        <v>2</v>
      </c>
      <c r="D60" s="232"/>
      <c r="E60" s="232"/>
      <c r="F60" s="232" t="s">
        <v>360</v>
      </c>
      <c r="H60" s="232"/>
      <c r="I60" s="232" t="s">
        <v>293</v>
      </c>
      <c r="J60" s="232"/>
      <c r="K60" s="232"/>
      <c r="L60" s="232"/>
      <c r="M60" s="232"/>
      <c r="N60" s="232"/>
      <c r="O60" s="232"/>
    </row>
    <row r="61" spans="1:214" x14ac:dyDescent="0.25">
      <c r="A61" s="233"/>
      <c r="B61" s="232"/>
      <c r="C61" s="232"/>
      <c r="D61" s="232"/>
      <c r="E61" s="232"/>
      <c r="F61" s="232" t="s">
        <v>24</v>
      </c>
      <c r="H61" s="232"/>
      <c r="I61" s="232" t="s">
        <v>294</v>
      </c>
      <c r="J61" s="232"/>
      <c r="K61" s="232"/>
      <c r="L61" s="232"/>
      <c r="M61" s="232"/>
      <c r="N61" s="232"/>
      <c r="O61" s="232"/>
    </row>
    <row r="62" spans="1:214" x14ac:dyDescent="0.25">
      <c r="A62" s="233" t="s">
        <v>344</v>
      </c>
      <c r="B62" s="232"/>
      <c r="C62" s="232">
        <v>0</v>
      </c>
      <c r="D62" s="232"/>
      <c r="E62" s="232"/>
      <c r="F62" s="232" t="s">
        <v>23</v>
      </c>
      <c r="H62" s="232"/>
      <c r="I62" s="232" t="s">
        <v>295</v>
      </c>
      <c r="J62" s="232"/>
      <c r="K62" s="232"/>
      <c r="L62" s="232"/>
      <c r="M62" s="232"/>
      <c r="N62" s="232"/>
      <c r="O62" s="232"/>
    </row>
    <row r="63" spans="1:214" x14ac:dyDescent="0.25">
      <c r="A63" s="233" t="s">
        <v>345</v>
      </c>
      <c r="B63" s="232"/>
      <c r="C63" s="232">
        <v>1</v>
      </c>
      <c r="D63" s="232"/>
      <c r="E63" s="232"/>
      <c r="F63" s="232" t="s">
        <v>41</v>
      </c>
      <c r="H63" s="232"/>
      <c r="I63" s="232" t="s">
        <v>296</v>
      </c>
      <c r="J63" s="232"/>
      <c r="K63" s="232"/>
      <c r="L63" s="232"/>
      <c r="M63" s="232"/>
      <c r="N63" s="232"/>
      <c r="O63" s="232"/>
    </row>
    <row r="64" spans="1:214" x14ac:dyDescent="0.25">
      <c r="A64" s="233"/>
      <c r="B64" s="232"/>
      <c r="C64" s="232"/>
      <c r="D64" s="232"/>
      <c r="E64" s="232"/>
      <c r="F64" s="232" t="s">
        <v>22</v>
      </c>
      <c r="H64" s="232"/>
      <c r="I64" s="232" t="s">
        <v>297</v>
      </c>
      <c r="J64" s="232"/>
      <c r="K64" s="232"/>
      <c r="L64" s="232"/>
      <c r="M64" s="232"/>
      <c r="N64" s="232"/>
      <c r="O64" s="232"/>
    </row>
    <row r="65" spans="1:15" x14ac:dyDescent="0.25">
      <c r="A65" s="233" t="s">
        <v>348</v>
      </c>
      <c r="B65" s="232"/>
      <c r="C65" s="232">
        <v>0</v>
      </c>
      <c r="D65" s="232"/>
      <c r="E65" s="232"/>
      <c r="F65" s="232" t="s">
        <v>21</v>
      </c>
      <c r="H65" s="232"/>
      <c r="I65" s="232" t="s">
        <v>298</v>
      </c>
      <c r="J65" s="232"/>
      <c r="K65" s="232"/>
      <c r="L65" s="232"/>
      <c r="M65" s="232"/>
      <c r="N65" s="232"/>
      <c r="O65" s="232"/>
    </row>
    <row r="66" spans="1:15" x14ac:dyDescent="0.25">
      <c r="A66" s="233" t="s">
        <v>349</v>
      </c>
      <c r="B66" s="232"/>
      <c r="C66" s="232">
        <v>1</v>
      </c>
      <c r="D66" s="232"/>
      <c r="E66" s="232"/>
      <c r="F66" s="232" t="s">
        <v>20</v>
      </c>
      <c r="H66" s="232"/>
      <c r="I66" s="232" t="s">
        <v>299</v>
      </c>
      <c r="J66" s="232"/>
      <c r="K66" s="232"/>
      <c r="L66" s="232"/>
      <c r="M66" s="232"/>
      <c r="N66" s="232"/>
      <c r="O66" s="232"/>
    </row>
    <row r="67" spans="1:15" x14ac:dyDescent="0.25">
      <c r="A67" s="233" t="s">
        <v>350</v>
      </c>
      <c r="B67" s="232"/>
      <c r="C67" s="232">
        <v>2</v>
      </c>
      <c r="D67" s="232"/>
      <c r="E67" s="232"/>
      <c r="F67" s="232" t="s">
        <v>19</v>
      </c>
      <c r="H67" s="232"/>
      <c r="I67" s="232" t="s">
        <v>300</v>
      </c>
      <c r="J67" s="232"/>
      <c r="K67" s="232"/>
      <c r="L67" s="232"/>
      <c r="M67" s="232"/>
      <c r="N67" s="232"/>
      <c r="O67" s="232"/>
    </row>
    <row r="68" spans="1:15" x14ac:dyDescent="0.25">
      <c r="A68" s="233"/>
      <c r="B68" s="232"/>
      <c r="C68" s="232"/>
      <c r="D68" s="232"/>
      <c r="E68" s="232"/>
      <c r="F68" s="232" t="s">
        <v>18</v>
      </c>
      <c r="H68" s="232"/>
      <c r="I68" s="232" t="s">
        <v>301</v>
      </c>
      <c r="J68" s="232"/>
      <c r="K68" s="232"/>
      <c r="L68" s="232"/>
      <c r="M68" s="232"/>
      <c r="N68" s="232"/>
      <c r="O68" s="232"/>
    </row>
    <row r="69" spans="1:15" x14ac:dyDescent="0.25">
      <c r="A69" s="233" t="s">
        <v>351</v>
      </c>
      <c r="B69" s="232"/>
      <c r="C69" s="232">
        <v>0</v>
      </c>
      <c r="D69" s="232"/>
      <c r="E69" s="232"/>
      <c r="F69" s="232" t="s">
        <v>17</v>
      </c>
      <c r="H69" s="232"/>
      <c r="I69" s="232" t="s">
        <v>302</v>
      </c>
      <c r="J69" s="232"/>
      <c r="K69" s="232"/>
      <c r="L69" s="232"/>
      <c r="M69" s="232"/>
      <c r="N69" s="232"/>
      <c r="O69" s="232"/>
    </row>
    <row r="70" spans="1:15" x14ac:dyDescent="0.25">
      <c r="A70" s="233" t="s">
        <v>352</v>
      </c>
      <c r="B70" s="232"/>
      <c r="C70" s="232">
        <v>1</v>
      </c>
      <c r="D70" s="232"/>
      <c r="E70" s="232"/>
      <c r="F70" s="232" t="s">
        <v>40</v>
      </c>
      <c r="H70" s="232"/>
      <c r="I70" s="232" t="s">
        <v>303</v>
      </c>
      <c r="J70" s="232"/>
      <c r="K70" s="232"/>
      <c r="L70" s="232"/>
      <c r="M70" s="232"/>
      <c r="N70" s="232"/>
      <c r="O70" s="232"/>
    </row>
    <row r="71" spans="1:15" x14ac:dyDescent="0.25">
      <c r="A71" s="233"/>
      <c r="B71" s="232"/>
      <c r="C71" s="232"/>
      <c r="D71" s="232"/>
      <c r="E71" s="232"/>
      <c r="F71" s="232" t="s">
        <v>39</v>
      </c>
      <c r="H71" s="232"/>
      <c r="I71" s="232" t="s">
        <v>304</v>
      </c>
      <c r="J71" s="232"/>
      <c r="K71" s="232"/>
      <c r="L71" s="232"/>
      <c r="M71" s="232"/>
      <c r="N71" s="232"/>
      <c r="O71" s="232"/>
    </row>
    <row r="72" spans="1:15" x14ac:dyDescent="0.25">
      <c r="A72" s="233" t="s">
        <v>97</v>
      </c>
      <c r="B72" s="232" t="s">
        <v>353</v>
      </c>
      <c r="C72" s="232">
        <v>0</v>
      </c>
      <c r="D72" s="232"/>
      <c r="E72" s="232"/>
      <c r="F72" s="232" t="s">
        <v>16</v>
      </c>
      <c r="H72" s="232"/>
      <c r="I72" s="232" t="s">
        <v>305</v>
      </c>
      <c r="J72" s="232"/>
      <c r="K72" s="232"/>
      <c r="L72" s="232"/>
      <c r="M72" s="232"/>
      <c r="N72" s="232"/>
      <c r="O72" s="232"/>
    </row>
    <row r="73" spans="1:15" x14ac:dyDescent="0.25">
      <c r="A73" s="233"/>
      <c r="B73" s="232" t="s">
        <v>354</v>
      </c>
      <c r="C73" s="232">
        <v>1</v>
      </c>
      <c r="D73" s="232"/>
      <c r="E73" s="232"/>
      <c r="F73" s="232" t="s">
        <v>15</v>
      </c>
      <c r="H73" s="232"/>
      <c r="I73" s="232" t="s">
        <v>94</v>
      </c>
      <c r="J73" s="232"/>
      <c r="K73" s="232"/>
      <c r="L73" s="232"/>
      <c r="M73" s="232"/>
      <c r="N73" s="232"/>
      <c r="O73" s="232"/>
    </row>
    <row r="74" spans="1:15" x14ac:dyDescent="0.25">
      <c r="A74" s="233"/>
      <c r="B74" s="232"/>
      <c r="C74" s="232"/>
      <c r="D74" s="232"/>
      <c r="E74" s="232"/>
      <c r="F74" s="232" t="s">
        <v>14</v>
      </c>
      <c r="H74" s="232"/>
      <c r="I74" s="232" t="s">
        <v>306</v>
      </c>
      <c r="J74" s="232"/>
      <c r="K74" s="232"/>
      <c r="L74" s="232"/>
      <c r="M74" s="232"/>
      <c r="N74" s="232"/>
      <c r="O74" s="232"/>
    </row>
    <row r="75" spans="1:15" x14ac:dyDescent="0.25">
      <c r="A75" s="233" t="s">
        <v>27</v>
      </c>
      <c r="B75" s="232" t="s">
        <v>358</v>
      </c>
      <c r="C75" s="232">
        <v>0</v>
      </c>
      <c r="D75" s="232"/>
      <c r="E75" s="232"/>
      <c r="F75" s="232" t="s">
        <v>13</v>
      </c>
      <c r="H75" s="232"/>
      <c r="I75" s="232" t="s">
        <v>307</v>
      </c>
      <c r="J75" s="232"/>
      <c r="K75" s="232"/>
      <c r="L75" s="232"/>
      <c r="M75" s="232"/>
      <c r="N75" s="232"/>
      <c r="O75" s="232"/>
    </row>
    <row r="76" spans="1:15" x14ac:dyDescent="0.25">
      <c r="A76" s="233"/>
      <c r="B76" s="232" t="s">
        <v>359</v>
      </c>
      <c r="C76" s="232">
        <v>1</v>
      </c>
      <c r="D76" s="232"/>
      <c r="E76" s="232"/>
      <c r="F76" s="232" t="s">
        <v>12</v>
      </c>
      <c r="H76" s="232"/>
      <c r="I76" s="232" t="s">
        <v>308</v>
      </c>
      <c r="J76" s="232"/>
      <c r="K76" s="232"/>
      <c r="L76" s="232"/>
      <c r="M76" s="232"/>
      <c r="N76" s="232"/>
      <c r="O76" s="232"/>
    </row>
    <row r="77" spans="1:15" x14ac:dyDescent="0.25">
      <c r="A77" s="233"/>
      <c r="B77" s="232"/>
      <c r="C77" s="232"/>
      <c r="D77" s="232"/>
      <c r="E77" s="232"/>
      <c r="F77" s="232" t="s">
        <v>38</v>
      </c>
      <c r="H77" s="232"/>
      <c r="I77" s="232" t="s">
        <v>309</v>
      </c>
      <c r="J77" s="232"/>
      <c r="K77" s="232"/>
      <c r="L77" s="232"/>
      <c r="M77" s="232"/>
      <c r="N77" s="232"/>
      <c r="O77" s="232"/>
    </row>
    <row r="78" spans="1:15" x14ac:dyDescent="0.25">
      <c r="A78" s="233" t="s">
        <v>98</v>
      </c>
      <c r="B78" s="232" t="s">
        <v>353</v>
      </c>
      <c r="C78" s="232">
        <v>0</v>
      </c>
      <c r="D78" s="232"/>
      <c r="E78" s="232"/>
      <c r="F78" s="232" t="s">
        <v>11</v>
      </c>
      <c r="H78" s="232"/>
      <c r="I78" s="232" t="s">
        <v>310</v>
      </c>
      <c r="J78" s="232"/>
      <c r="K78" s="232"/>
      <c r="L78" s="232"/>
      <c r="M78" s="232"/>
      <c r="N78" s="232"/>
      <c r="O78" s="232"/>
    </row>
    <row r="79" spans="1:15" x14ac:dyDescent="0.25">
      <c r="A79" s="233"/>
      <c r="B79" s="232" t="s">
        <v>354</v>
      </c>
      <c r="C79" s="232">
        <v>1</v>
      </c>
      <c r="D79" s="232"/>
      <c r="E79" s="232"/>
      <c r="F79" s="232" t="s">
        <v>37</v>
      </c>
      <c r="H79" s="232"/>
      <c r="I79" s="232" t="s">
        <v>311</v>
      </c>
      <c r="J79" s="232"/>
      <c r="K79" s="232"/>
      <c r="L79" s="232"/>
      <c r="M79" s="232"/>
      <c r="N79" s="232"/>
      <c r="O79" s="232"/>
    </row>
    <row r="80" spans="1:15" x14ac:dyDescent="0.25">
      <c r="A80" s="233"/>
      <c r="B80" s="232"/>
      <c r="C80" s="232"/>
      <c r="D80" s="232"/>
      <c r="E80" s="232"/>
      <c r="F80" s="232" t="s">
        <v>10</v>
      </c>
      <c r="H80" s="232"/>
      <c r="I80" s="232" t="s">
        <v>312</v>
      </c>
      <c r="J80" s="232"/>
      <c r="K80" s="232"/>
      <c r="L80" s="232"/>
      <c r="M80" s="232"/>
      <c r="N80" s="232"/>
      <c r="O80" s="232"/>
    </row>
    <row r="81" spans="1:15" x14ac:dyDescent="0.25">
      <c r="A81" s="233" t="s">
        <v>99</v>
      </c>
      <c r="B81" s="232" t="s">
        <v>355</v>
      </c>
      <c r="C81" s="232">
        <v>0</v>
      </c>
      <c r="D81" s="232"/>
      <c r="E81" s="232"/>
      <c r="F81" s="232" t="s">
        <v>9</v>
      </c>
      <c r="H81" s="232"/>
      <c r="I81" s="232" t="s">
        <v>313</v>
      </c>
      <c r="J81" s="232"/>
      <c r="K81" s="232"/>
      <c r="L81" s="232"/>
      <c r="M81" s="232"/>
      <c r="N81" s="232"/>
      <c r="O81" s="232"/>
    </row>
    <row r="82" spans="1:15" x14ac:dyDescent="0.25">
      <c r="A82" s="233"/>
      <c r="B82" s="232" t="s">
        <v>356</v>
      </c>
      <c r="C82" s="232">
        <v>1</v>
      </c>
      <c r="D82" s="232"/>
      <c r="E82" s="232"/>
      <c r="F82" s="232" t="s">
        <v>36</v>
      </c>
      <c r="H82" s="232"/>
      <c r="I82" s="232" t="s">
        <v>314</v>
      </c>
      <c r="J82" s="232"/>
      <c r="K82" s="232"/>
      <c r="L82" s="232"/>
      <c r="M82" s="232"/>
      <c r="N82" s="232"/>
      <c r="O82" s="232"/>
    </row>
    <row r="83" spans="1:15" x14ac:dyDescent="0.25">
      <c r="A83" s="233"/>
      <c r="B83" s="232" t="s">
        <v>357</v>
      </c>
      <c r="C83" s="232">
        <v>2</v>
      </c>
      <c r="D83" s="232"/>
      <c r="E83" s="232"/>
      <c r="F83" s="232" t="s">
        <v>8</v>
      </c>
      <c r="H83" s="232"/>
      <c r="I83" s="232" t="s">
        <v>315</v>
      </c>
      <c r="J83" s="232"/>
      <c r="K83" s="232"/>
      <c r="L83" s="232"/>
      <c r="M83" s="232"/>
      <c r="N83" s="232"/>
      <c r="O83" s="232"/>
    </row>
    <row r="84" spans="1:15" x14ac:dyDescent="0.25">
      <c r="A84" s="232"/>
      <c r="B84" s="232"/>
      <c r="C84" s="232"/>
      <c r="D84" s="232"/>
      <c r="E84" s="232"/>
      <c r="F84" s="232" t="s">
        <v>7</v>
      </c>
      <c r="H84" s="232"/>
      <c r="I84" s="232" t="s">
        <v>316</v>
      </c>
      <c r="J84" s="232"/>
      <c r="K84" s="232"/>
      <c r="L84" s="232"/>
      <c r="M84" s="232"/>
      <c r="N84" s="232"/>
      <c r="O84" s="232"/>
    </row>
    <row r="85" spans="1:15" x14ac:dyDescent="0.25">
      <c r="A85" s="233" t="s">
        <v>95</v>
      </c>
      <c r="B85" s="232"/>
      <c r="C85" s="232"/>
      <c r="D85" s="232"/>
      <c r="E85" s="232"/>
      <c r="F85" s="232" t="s">
        <v>6</v>
      </c>
      <c r="H85" s="232"/>
      <c r="I85" s="232" t="s">
        <v>317</v>
      </c>
      <c r="J85" s="232"/>
      <c r="K85" s="232"/>
      <c r="L85" s="232"/>
      <c r="M85" s="232"/>
      <c r="N85" s="232"/>
      <c r="O85" s="232"/>
    </row>
    <row r="86" spans="1:15" x14ac:dyDescent="0.25">
      <c r="A86" s="233" t="s">
        <v>340</v>
      </c>
      <c r="B86" s="232"/>
      <c r="C86" s="232">
        <v>0</v>
      </c>
      <c r="D86" s="232"/>
      <c r="E86" s="232"/>
      <c r="F86" s="232" t="s">
        <v>5</v>
      </c>
      <c r="H86" s="232"/>
      <c r="I86" s="232" t="s">
        <v>318</v>
      </c>
      <c r="J86" s="232"/>
      <c r="K86" s="232"/>
      <c r="L86" s="232"/>
      <c r="M86" s="232"/>
      <c r="N86" s="232"/>
      <c r="O86" s="232"/>
    </row>
    <row r="87" spans="1:15" x14ac:dyDescent="0.25">
      <c r="A87" s="233" t="s">
        <v>342</v>
      </c>
      <c r="B87" s="232"/>
      <c r="C87" s="232">
        <v>1</v>
      </c>
      <c r="D87" s="232"/>
      <c r="E87" s="232"/>
      <c r="F87" s="232" t="s">
        <v>4</v>
      </c>
      <c r="H87" s="232"/>
      <c r="I87" s="232" t="s">
        <v>319</v>
      </c>
      <c r="J87" s="232"/>
      <c r="K87" s="232"/>
      <c r="L87" s="232"/>
      <c r="M87" s="232"/>
      <c r="N87" s="232"/>
      <c r="O87" s="232"/>
    </row>
    <row r="88" spans="1:15" x14ac:dyDescent="0.25">
      <c r="A88" s="233" t="s">
        <v>343</v>
      </c>
      <c r="B88" s="232"/>
      <c r="C88" s="232">
        <v>2</v>
      </c>
      <c r="D88" s="232"/>
      <c r="E88" s="232"/>
      <c r="F88" s="232" t="s">
        <v>35</v>
      </c>
      <c r="H88" s="232"/>
      <c r="I88" s="232" t="s">
        <v>320</v>
      </c>
      <c r="J88" s="232"/>
      <c r="K88" s="232"/>
      <c r="L88" s="232"/>
      <c r="M88" s="232"/>
      <c r="N88" s="232"/>
      <c r="O88" s="232"/>
    </row>
    <row r="89" spans="1:15" x14ac:dyDescent="0.25">
      <c r="A89" s="233">
        <v>1</v>
      </c>
      <c r="B89" s="232"/>
      <c r="C89" s="232">
        <v>3</v>
      </c>
      <c r="D89" s="232"/>
      <c r="E89" s="232"/>
      <c r="F89" s="232" t="s">
        <v>33</v>
      </c>
      <c r="H89" s="232"/>
      <c r="I89" s="232" t="s">
        <v>321</v>
      </c>
      <c r="J89" s="232"/>
      <c r="K89" s="232"/>
      <c r="L89" s="232"/>
      <c r="M89" s="232"/>
      <c r="N89" s="232"/>
      <c r="O89" s="232"/>
    </row>
    <row r="90" spans="1:15" x14ac:dyDescent="0.25">
      <c r="A90" s="233" t="s">
        <v>346</v>
      </c>
      <c r="B90" s="232"/>
      <c r="C90" s="232">
        <v>4</v>
      </c>
      <c r="D90" s="232"/>
      <c r="E90" s="232"/>
      <c r="F90" s="232" t="s">
        <v>34</v>
      </c>
      <c r="H90" s="232"/>
      <c r="I90" s="232" t="s">
        <v>322</v>
      </c>
      <c r="J90" s="232"/>
      <c r="K90" s="232"/>
      <c r="L90" s="232"/>
      <c r="M90" s="232"/>
      <c r="N90" s="232"/>
      <c r="O90" s="232"/>
    </row>
    <row r="91" spans="1:15" x14ac:dyDescent="0.25">
      <c r="A91" s="233" t="s">
        <v>347</v>
      </c>
      <c r="B91" s="232"/>
      <c r="C91" s="232">
        <v>5</v>
      </c>
      <c r="D91" s="232"/>
      <c r="E91" s="232"/>
      <c r="F91" s="232" t="s">
        <v>361</v>
      </c>
      <c r="H91" s="232"/>
      <c r="I91" s="232" t="s">
        <v>323</v>
      </c>
      <c r="J91" s="232"/>
      <c r="K91" s="232"/>
      <c r="L91" s="232"/>
      <c r="M91" s="232"/>
      <c r="N91" s="232"/>
      <c r="O91" s="232"/>
    </row>
    <row r="92" spans="1:15" x14ac:dyDescent="0.25">
      <c r="A92" s="232"/>
      <c r="B92" s="232"/>
      <c r="C92" s="232"/>
      <c r="D92" s="232"/>
      <c r="E92" s="232"/>
      <c r="F92" s="232" t="s">
        <v>32</v>
      </c>
      <c r="H92" s="232"/>
      <c r="I92" s="232" t="s">
        <v>324</v>
      </c>
      <c r="J92" s="232"/>
      <c r="K92" s="232"/>
      <c r="L92" s="232"/>
      <c r="M92" s="232"/>
      <c r="N92" s="232"/>
      <c r="O92" s="232"/>
    </row>
    <row r="93" spans="1:15" x14ac:dyDescent="0.25">
      <c r="F93" s="232" t="s">
        <v>3</v>
      </c>
      <c r="H93" s="232"/>
      <c r="I93" s="232" t="s">
        <v>325</v>
      </c>
      <c r="J93" s="232"/>
      <c r="K93" s="232"/>
      <c r="L93" s="232"/>
      <c r="M93" s="232"/>
      <c r="N93" s="232"/>
      <c r="O93" s="232"/>
    </row>
    <row r="94" spans="1:15" x14ac:dyDescent="0.25">
      <c r="F94" s="232" t="s">
        <v>31</v>
      </c>
      <c r="H94" s="232"/>
      <c r="I94" s="232" t="s">
        <v>326</v>
      </c>
      <c r="J94" s="232"/>
      <c r="K94" s="232"/>
      <c r="L94" s="232"/>
      <c r="M94" s="232"/>
      <c r="N94" s="232"/>
      <c r="O94" s="232"/>
    </row>
    <row r="95" spans="1:15" x14ac:dyDescent="0.25">
      <c r="F95" s="232" t="s">
        <v>30</v>
      </c>
      <c r="H95" s="232"/>
      <c r="I95" s="232" t="s">
        <v>327</v>
      </c>
      <c r="J95" s="232"/>
      <c r="K95" s="232"/>
      <c r="L95" s="232"/>
      <c r="M95" s="232"/>
      <c r="N95" s="232"/>
      <c r="O95" s="232"/>
    </row>
    <row r="96" spans="1:15" x14ac:dyDescent="0.25">
      <c r="F96" s="232" t="s">
        <v>29</v>
      </c>
      <c r="H96" s="232"/>
      <c r="I96" s="232" t="s">
        <v>328</v>
      </c>
      <c r="J96" s="232"/>
      <c r="K96" s="232"/>
      <c r="L96" s="232"/>
      <c r="M96" s="232"/>
      <c r="N96" s="232"/>
      <c r="O96" s="232"/>
    </row>
    <row r="97" spans="6:15" x14ac:dyDescent="0.25">
      <c r="F97" s="232" t="s">
        <v>330</v>
      </c>
      <c r="H97" s="232"/>
      <c r="I97" s="232" t="s">
        <v>329</v>
      </c>
      <c r="J97" s="232"/>
      <c r="K97" s="232"/>
      <c r="L97" s="232"/>
      <c r="M97" s="232"/>
      <c r="N97" s="232"/>
      <c r="O97" s="232"/>
    </row>
    <row r="98" spans="6:15" x14ac:dyDescent="0.25">
      <c r="F98" s="232" t="s">
        <v>332</v>
      </c>
      <c r="H98" s="232"/>
      <c r="I98" s="232" t="s">
        <v>331</v>
      </c>
      <c r="J98" s="232"/>
      <c r="K98" s="232"/>
      <c r="L98" s="232"/>
      <c r="M98" s="232"/>
      <c r="N98" s="232"/>
      <c r="O98" s="232"/>
    </row>
    <row r="99" spans="6:15" x14ac:dyDescent="0.25">
      <c r="F99" s="232" t="s">
        <v>288</v>
      </c>
      <c r="H99" s="232"/>
      <c r="I99" s="232" t="s">
        <v>333</v>
      </c>
      <c r="J99" s="232"/>
      <c r="K99" s="232"/>
      <c r="L99" s="232"/>
      <c r="M99" s="232"/>
      <c r="N99" s="232"/>
      <c r="O99" s="232"/>
    </row>
    <row r="100" spans="6:15" x14ac:dyDescent="0.25">
      <c r="F100" s="232" t="s">
        <v>289</v>
      </c>
      <c r="H100" s="232"/>
      <c r="I100" s="232" t="s">
        <v>334</v>
      </c>
      <c r="J100" s="232"/>
      <c r="K100" s="232"/>
      <c r="L100" s="232"/>
      <c r="M100" s="232"/>
      <c r="N100" s="232"/>
      <c r="O100" s="232"/>
    </row>
    <row r="101" spans="6:15" x14ac:dyDescent="0.25">
      <c r="H101" s="232"/>
      <c r="I101" s="232"/>
      <c r="J101" s="232"/>
      <c r="K101" s="232"/>
      <c r="L101" s="232"/>
      <c r="M101" s="232"/>
      <c r="N101" s="232"/>
      <c r="O101" s="232"/>
    </row>
    <row r="102" spans="6:15" x14ac:dyDescent="0.25">
      <c r="H102" s="232"/>
      <c r="I102" s="232"/>
      <c r="J102" s="232"/>
      <c r="K102" s="232"/>
      <c r="L102" s="232"/>
      <c r="M102" s="232"/>
      <c r="N102" s="232"/>
      <c r="O102" s="232"/>
    </row>
    <row r="103" spans="6:15" x14ac:dyDescent="0.25">
      <c r="H103" s="232"/>
      <c r="I103" s="232"/>
      <c r="J103" s="232"/>
      <c r="K103" s="232"/>
      <c r="L103" s="232"/>
      <c r="M103" s="232"/>
      <c r="N103" s="232"/>
      <c r="O103" s="232"/>
    </row>
    <row r="104" spans="6:15" x14ac:dyDescent="0.25">
      <c r="H104" s="232"/>
      <c r="I104" s="232"/>
      <c r="J104" s="232"/>
      <c r="K104" s="232"/>
      <c r="L104" s="232"/>
      <c r="M104" s="232"/>
      <c r="N104" s="232"/>
      <c r="O104" s="2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473F9-0FF9-4CA9-B2DB-8D3ADF22E0C5}">
  <dimension ref="A1:BA53"/>
  <sheetViews>
    <sheetView workbookViewId="0"/>
  </sheetViews>
  <sheetFormatPr defaultRowHeight="15" x14ac:dyDescent="0.25"/>
  <cols>
    <col min="1" max="1" width="24.5703125" customWidth="1"/>
    <col min="2" max="53" width="10.7109375" customWidth="1"/>
  </cols>
  <sheetData>
    <row r="1" spans="1:53" s="269" customFormat="1" ht="67.5" customHeight="1" x14ac:dyDescent="0.25">
      <c r="A1" s="270"/>
      <c r="B1" s="268" t="s">
        <v>26</v>
      </c>
      <c r="C1" s="268" t="s">
        <v>25</v>
      </c>
      <c r="D1" s="268" t="s">
        <v>360</v>
      </c>
      <c r="E1" s="268" t="s">
        <v>24</v>
      </c>
      <c r="F1" s="268" t="s">
        <v>23</v>
      </c>
      <c r="G1" s="268" t="s">
        <v>41</v>
      </c>
      <c r="H1" s="268" t="s">
        <v>22</v>
      </c>
      <c r="I1" s="268" t="s">
        <v>21</v>
      </c>
      <c r="J1" s="268" t="s">
        <v>20</v>
      </c>
      <c r="K1" s="268" t="s">
        <v>19</v>
      </c>
      <c r="L1" s="268" t="s">
        <v>18</v>
      </c>
      <c r="M1" s="268" t="s">
        <v>17</v>
      </c>
      <c r="N1" s="268" t="s">
        <v>40</v>
      </c>
      <c r="O1" s="268" t="s">
        <v>39</v>
      </c>
      <c r="P1" s="268" t="s">
        <v>16</v>
      </c>
      <c r="Q1" s="266" t="s">
        <v>15</v>
      </c>
      <c r="R1" s="268" t="s">
        <v>14</v>
      </c>
      <c r="S1" s="268" t="s">
        <v>13</v>
      </c>
      <c r="T1" s="268" t="s">
        <v>12</v>
      </c>
      <c r="U1" s="268" t="s">
        <v>38</v>
      </c>
      <c r="V1" s="268" t="s">
        <v>11</v>
      </c>
      <c r="W1" s="268" t="s">
        <v>37</v>
      </c>
      <c r="X1" s="268" t="s">
        <v>10</v>
      </c>
      <c r="Y1" s="268" t="s">
        <v>9</v>
      </c>
      <c r="Z1" s="268" t="s">
        <v>36</v>
      </c>
      <c r="AA1" s="268" t="s">
        <v>8</v>
      </c>
      <c r="AB1" s="268" t="s">
        <v>7</v>
      </c>
      <c r="AC1" s="268" t="s">
        <v>6</v>
      </c>
      <c r="AD1" s="268" t="s">
        <v>5</v>
      </c>
      <c r="AE1" s="268" t="s">
        <v>4</v>
      </c>
      <c r="AF1" s="268" t="s">
        <v>35</v>
      </c>
      <c r="AG1" s="268" t="s">
        <v>33</v>
      </c>
      <c r="AH1" s="268" t="s">
        <v>34</v>
      </c>
      <c r="AI1" s="268" t="s">
        <v>361</v>
      </c>
      <c r="AJ1" s="268" t="s">
        <v>32</v>
      </c>
      <c r="AK1" s="268" t="s">
        <v>3</v>
      </c>
      <c r="AL1" s="268" t="s">
        <v>31</v>
      </c>
      <c r="AM1" s="268" t="s">
        <v>30</v>
      </c>
      <c r="AN1" s="268" t="s">
        <v>29</v>
      </c>
      <c r="AO1" s="268" t="s">
        <v>330</v>
      </c>
      <c r="AP1" s="268" t="s">
        <v>332</v>
      </c>
      <c r="AQ1" s="268" t="s">
        <v>288</v>
      </c>
      <c r="AR1" s="268" t="s">
        <v>289</v>
      </c>
      <c r="AS1" s="267" t="s">
        <v>95</v>
      </c>
      <c r="AT1" s="267" t="s">
        <v>96</v>
      </c>
      <c r="AU1" s="267" t="s">
        <v>335</v>
      </c>
      <c r="AV1" s="267" t="s">
        <v>28</v>
      </c>
      <c r="AW1" s="267" t="s">
        <v>290</v>
      </c>
      <c r="AX1" s="267" t="s">
        <v>97</v>
      </c>
      <c r="AY1" s="267" t="s">
        <v>27</v>
      </c>
      <c r="AZ1" s="267" t="s">
        <v>98</v>
      </c>
      <c r="BA1" s="267" t="s">
        <v>99</v>
      </c>
    </row>
    <row r="2" spans="1:53" x14ac:dyDescent="0.25">
      <c r="A2" s="271" t="s">
        <v>26</v>
      </c>
      <c r="B2">
        <v>1</v>
      </c>
    </row>
    <row r="3" spans="1:53" x14ac:dyDescent="0.25">
      <c r="A3" s="271" t="s">
        <v>25</v>
      </c>
      <c r="B3">
        <v>0.34589327315525537</v>
      </c>
      <c r="C3">
        <v>1</v>
      </c>
    </row>
    <row r="4" spans="1:53" x14ac:dyDescent="0.25">
      <c r="A4" s="271" t="s">
        <v>360</v>
      </c>
      <c r="B4">
        <v>-0.7180604952425067</v>
      </c>
      <c r="C4">
        <v>0.37322139622256978</v>
      </c>
      <c r="D4">
        <v>1</v>
      </c>
    </row>
    <row r="5" spans="1:53" x14ac:dyDescent="0.25">
      <c r="A5" s="271" t="s">
        <v>24</v>
      </c>
      <c r="B5">
        <v>0.63376184135692737</v>
      </c>
      <c r="C5">
        <v>0.70089495946920766</v>
      </c>
      <c r="D5">
        <v>-0.12193167203322147</v>
      </c>
      <c r="E5">
        <v>1</v>
      </c>
    </row>
    <row r="6" spans="1:53" x14ac:dyDescent="0.25">
      <c r="A6" s="271" t="s">
        <v>23</v>
      </c>
      <c r="B6">
        <v>0.59185554830388398</v>
      </c>
      <c r="C6">
        <v>0.34512850575516696</v>
      </c>
      <c r="D6">
        <v>-0.30358720951498647</v>
      </c>
      <c r="E6">
        <v>0.58386575642498517</v>
      </c>
      <c r="F6">
        <v>1</v>
      </c>
    </row>
    <row r="7" spans="1:53" x14ac:dyDescent="0.25">
      <c r="A7" s="271" t="s">
        <v>41</v>
      </c>
      <c r="B7">
        <v>0.66143088182395271</v>
      </c>
      <c r="C7">
        <v>0.83520779320710381</v>
      </c>
      <c r="D7">
        <v>-5.0460525775493002E-2</v>
      </c>
      <c r="E7">
        <v>0.7874917376384899</v>
      </c>
      <c r="F7">
        <v>0.52928137996476254</v>
      </c>
      <c r="G7">
        <v>1</v>
      </c>
    </row>
    <row r="8" spans="1:53" x14ac:dyDescent="0.25">
      <c r="A8" s="271" t="s">
        <v>22</v>
      </c>
      <c r="B8">
        <v>0.62660185938177004</v>
      </c>
      <c r="C8">
        <v>0.82984697605839242</v>
      </c>
      <c r="D8">
        <v>-3.5851899588145233E-2</v>
      </c>
      <c r="E8">
        <v>0.77898614940195865</v>
      </c>
      <c r="F8">
        <v>0.50463953142755769</v>
      </c>
      <c r="G8">
        <v>0.90094838523639653</v>
      </c>
      <c r="H8">
        <v>1</v>
      </c>
    </row>
    <row r="9" spans="1:53" x14ac:dyDescent="0.25">
      <c r="A9" s="271" t="s">
        <v>21</v>
      </c>
      <c r="B9">
        <v>0.51755079569595075</v>
      </c>
      <c r="C9">
        <v>0.88460999869831503</v>
      </c>
      <c r="D9">
        <v>0.12553711247827104</v>
      </c>
      <c r="E9">
        <v>0.75724152607899919</v>
      </c>
      <c r="F9">
        <v>0.45038073129074502</v>
      </c>
      <c r="G9">
        <v>0.86502898624165436</v>
      </c>
      <c r="H9">
        <v>0.93903649585837556</v>
      </c>
      <c r="I9">
        <v>1</v>
      </c>
    </row>
    <row r="10" spans="1:53" x14ac:dyDescent="0.25">
      <c r="A10" s="271" t="s">
        <v>20</v>
      </c>
      <c r="B10">
        <v>-5.4536773205610047E-2</v>
      </c>
      <c r="C10">
        <v>0.84430476977532853</v>
      </c>
      <c r="D10">
        <v>0.6771676076450559</v>
      </c>
      <c r="E10">
        <v>0.3478899979899992</v>
      </c>
      <c r="F10">
        <v>4.5210095191784677E-2</v>
      </c>
      <c r="G10">
        <v>0.45299056922033321</v>
      </c>
      <c r="H10">
        <v>0.42137192821917868</v>
      </c>
      <c r="I10">
        <v>0.53778249541988876</v>
      </c>
      <c r="J10">
        <v>1</v>
      </c>
    </row>
    <row r="11" spans="1:53" x14ac:dyDescent="0.25">
      <c r="A11" s="271" t="s">
        <v>19</v>
      </c>
      <c r="B11">
        <v>0.59669879691588668</v>
      </c>
      <c r="C11">
        <v>0.43778085771895997</v>
      </c>
      <c r="D11">
        <v>-0.2580181499946354</v>
      </c>
      <c r="E11">
        <v>0.57463758995106984</v>
      </c>
      <c r="F11">
        <v>0.43424100137980354</v>
      </c>
      <c r="G11">
        <v>0.56576173098321847</v>
      </c>
      <c r="H11">
        <v>0.64041148187650554</v>
      </c>
      <c r="I11">
        <v>0.61253169556089659</v>
      </c>
      <c r="J11">
        <v>0.10585233151191563</v>
      </c>
      <c r="K11">
        <v>1</v>
      </c>
    </row>
    <row r="12" spans="1:53" x14ac:dyDescent="0.25">
      <c r="A12" s="271" t="s">
        <v>18</v>
      </c>
      <c r="B12">
        <v>-8.5899263749734778E-2</v>
      </c>
      <c r="C12">
        <v>0.82477339739544075</v>
      </c>
      <c r="D12">
        <v>0.69361981927777316</v>
      </c>
      <c r="E12">
        <v>0.32041285082844062</v>
      </c>
      <c r="F12">
        <v>2.3314363816191723E-2</v>
      </c>
      <c r="G12">
        <v>0.42569433014588531</v>
      </c>
      <c r="H12">
        <v>0.38986318175628498</v>
      </c>
      <c r="I12">
        <v>0.50776387866800976</v>
      </c>
      <c r="J12">
        <v>0.99862462640363414</v>
      </c>
      <c r="K12">
        <v>5.3571772157723872E-2</v>
      </c>
      <c r="L12">
        <v>1</v>
      </c>
    </row>
    <row r="13" spans="1:53" x14ac:dyDescent="0.25">
      <c r="A13" s="271" t="s">
        <v>17</v>
      </c>
      <c r="B13">
        <v>-0.51792946265554507</v>
      </c>
      <c r="C13">
        <v>0.30547786372491587</v>
      </c>
      <c r="D13">
        <v>0.77221369236572368</v>
      </c>
      <c r="E13">
        <v>-0.20150499654184326</v>
      </c>
      <c r="F13">
        <v>-0.33892171216985389</v>
      </c>
      <c r="G13">
        <v>-0.23124802983812423</v>
      </c>
      <c r="H13">
        <v>-0.20306841213287008</v>
      </c>
      <c r="I13">
        <v>-4.8869522517291132E-2</v>
      </c>
      <c r="J13">
        <v>0.75015417103066317</v>
      </c>
      <c r="K13">
        <v>-0.26988867445494769</v>
      </c>
      <c r="L13">
        <v>0.76753922966332644</v>
      </c>
      <c r="M13">
        <v>1</v>
      </c>
    </row>
    <row r="14" spans="1:53" x14ac:dyDescent="0.25">
      <c r="A14" s="271" t="s">
        <v>40</v>
      </c>
      <c r="B14">
        <v>-7.9386714155448554E-2</v>
      </c>
      <c r="C14">
        <v>0.40531307419507151</v>
      </c>
      <c r="D14">
        <v>0.37196826447151798</v>
      </c>
      <c r="E14">
        <v>0.20575174584236006</v>
      </c>
      <c r="F14">
        <v>2.279120283605092E-3</v>
      </c>
      <c r="G14">
        <v>7.5165393390831531E-2</v>
      </c>
      <c r="H14">
        <v>0.37425751799309903</v>
      </c>
      <c r="I14">
        <v>0.55865201775103512</v>
      </c>
      <c r="J14">
        <v>0.35730511249542496</v>
      </c>
      <c r="K14">
        <v>0.28964159243618187</v>
      </c>
      <c r="L14">
        <v>0.34210743331563831</v>
      </c>
      <c r="M14">
        <v>0.3218904718995953</v>
      </c>
      <c r="N14">
        <v>1</v>
      </c>
    </row>
    <row r="15" spans="1:53" x14ac:dyDescent="0.25">
      <c r="A15" s="271" t="s">
        <v>39</v>
      </c>
      <c r="B15">
        <v>0.22269231551021196</v>
      </c>
      <c r="C15">
        <v>0.37188527247655323</v>
      </c>
      <c r="D15">
        <v>2.2099659036801792E-3</v>
      </c>
      <c r="E15">
        <v>0.33522698361923448</v>
      </c>
      <c r="F15">
        <v>0.18655834082619527</v>
      </c>
      <c r="G15">
        <v>0.23087921810898601</v>
      </c>
      <c r="H15">
        <v>0.62455845654415298</v>
      </c>
      <c r="I15">
        <v>0.54894006798304873</v>
      </c>
      <c r="J15">
        <v>0.1243118175165787</v>
      </c>
      <c r="K15">
        <v>0.43483147398750754</v>
      </c>
      <c r="L15">
        <v>0.10106681400299704</v>
      </c>
      <c r="M15">
        <v>-6.7668941446865874E-2</v>
      </c>
      <c r="N15">
        <v>0.70428740008839252</v>
      </c>
      <c r="O15">
        <v>1</v>
      </c>
    </row>
    <row r="16" spans="1:53" x14ac:dyDescent="0.25">
      <c r="A16" s="271" t="s">
        <v>16</v>
      </c>
      <c r="B16">
        <v>-0.38163835277600761</v>
      </c>
      <c r="C16">
        <v>0.51780894572917147</v>
      </c>
      <c r="D16">
        <v>0.76694501266370851</v>
      </c>
      <c r="E16">
        <v>1.8979816205654164E-2</v>
      </c>
      <c r="F16">
        <v>-0.19363602558078194</v>
      </c>
      <c r="G16">
        <v>8.9193884972526741E-2</v>
      </c>
      <c r="H16">
        <v>2.8575413215013851E-2</v>
      </c>
      <c r="I16">
        <v>0.14791601883528305</v>
      </c>
      <c r="J16">
        <v>0.84572624168755162</v>
      </c>
      <c r="K16">
        <v>-0.42197199011230896</v>
      </c>
      <c r="L16">
        <v>0.87153196133113642</v>
      </c>
      <c r="M16">
        <v>0.84700814027381266</v>
      </c>
      <c r="N16">
        <v>0.17610757411088793</v>
      </c>
      <c r="O16">
        <v>-0.11727578713827398</v>
      </c>
      <c r="P16">
        <v>1</v>
      </c>
    </row>
    <row r="17" spans="1:32" x14ac:dyDescent="0.25">
      <c r="A17" s="271" t="s">
        <v>15</v>
      </c>
      <c r="B17">
        <v>0.74403165750560674</v>
      </c>
      <c r="C17">
        <v>0.38564504614144968</v>
      </c>
      <c r="D17">
        <v>-0.49102370259792066</v>
      </c>
      <c r="E17">
        <v>0.63900338326525385</v>
      </c>
      <c r="F17">
        <v>0.56039262704120174</v>
      </c>
      <c r="G17">
        <v>0.63435629321375475</v>
      </c>
      <c r="H17">
        <v>0.62028801897531083</v>
      </c>
      <c r="I17">
        <v>0.49266436408516506</v>
      </c>
      <c r="J17">
        <v>-3.5314581536850091E-3</v>
      </c>
      <c r="K17">
        <v>0.57739959379722994</v>
      </c>
      <c r="L17">
        <v>-3.5336214089268334E-2</v>
      </c>
      <c r="M17">
        <v>-0.48395519616219895</v>
      </c>
      <c r="N17">
        <v>-7.163330513341494E-2</v>
      </c>
      <c r="O17">
        <v>0.27037721281213906</v>
      </c>
      <c r="P17">
        <v>-0.33720365244847939</v>
      </c>
      <c r="Q17">
        <v>1</v>
      </c>
    </row>
    <row r="18" spans="1:32" x14ac:dyDescent="0.25">
      <c r="A18" s="271" t="s">
        <v>14</v>
      </c>
      <c r="B18">
        <v>0.76581964522641111</v>
      </c>
      <c r="C18">
        <v>0.69084452185732892</v>
      </c>
      <c r="D18">
        <v>-0.29672600786712872</v>
      </c>
      <c r="E18">
        <v>0.78004461922003854</v>
      </c>
      <c r="F18">
        <v>0.65068221577509255</v>
      </c>
      <c r="G18">
        <v>0.85910505321375774</v>
      </c>
      <c r="H18">
        <v>0.8784347756145956</v>
      </c>
      <c r="I18">
        <v>0.83250413776884102</v>
      </c>
      <c r="J18">
        <v>0.24689264749015163</v>
      </c>
      <c r="K18">
        <v>0.66704456744063134</v>
      </c>
      <c r="L18">
        <v>0.21240832918326058</v>
      </c>
      <c r="M18">
        <v>-0.36938081163856873</v>
      </c>
      <c r="N18">
        <v>0.20816886476352187</v>
      </c>
      <c r="O18">
        <v>0.46183791174079736</v>
      </c>
      <c r="P18">
        <v>-0.15457582674222986</v>
      </c>
      <c r="Q18">
        <v>0.71074548588333375</v>
      </c>
      <c r="R18">
        <v>1</v>
      </c>
    </row>
    <row r="19" spans="1:32" x14ac:dyDescent="0.25">
      <c r="A19" s="271" t="s">
        <v>13</v>
      </c>
      <c r="B19">
        <v>0.63156318466728423</v>
      </c>
      <c r="C19">
        <v>0.10548109445314999</v>
      </c>
      <c r="D19">
        <v>-0.63107357589193913</v>
      </c>
      <c r="E19">
        <v>0.3735290395914696</v>
      </c>
      <c r="F19">
        <v>0.40639724182032583</v>
      </c>
      <c r="G19">
        <v>0.39340618553914586</v>
      </c>
      <c r="H19">
        <v>0.42310623723157814</v>
      </c>
      <c r="I19">
        <v>0.32446411690048321</v>
      </c>
      <c r="J19">
        <v>-0.2848998709414412</v>
      </c>
      <c r="K19">
        <v>0.49408367045028256</v>
      </c>
      <c r="L19">
        <v>-0.31265781348094951</v>
      </c>
      <c r="M19">
        <v>-0.6173460709165246</v>
      </c>
      <c r="N19">
        <v>-3.6118578753843972E-2</v>
      </c>
      <c r="O19">
        <v>0.28272809809342114</v>
      </c>
      <c r="P19">
        <v>-0.54373845803652809</v>
      </c>
      <c r="Q19">
        <v>0.56823443394542428</v>
      </c>
      <c r="R19">
        <v>0.54691875357727593</v>
      </c>
      <c r="S19">
        <v>1</v>
      </c>
    </row>
    <row r="20" spans="1:32" x14ac:dyDescent="0.25">
      <c r="A20" s="271" t="s">
        <v>12</v>
      </c>
      <c r="B20">
        <v>0.8325361057322026</v>
      </c>
      <c r="C20">
        <v>0.66732849239381475</v>
      </c>
      <c r="D20">
        <v>-0.35608718511790599</v>
      </c>
      <c r="E20">
        <v>0.8128883865332196</v>
      </c>
      <c r="F20">
        <v>0.64954560462902589</v>
      </c>
      <c r="G20">
        <v>0.87045737363855169</v>
      </c>
      <c r="H20">
        <v>0.8571889427261068</v>
      </c>
      <c r="I20">
        <v>0.7884654498253848</v>
      </c>
      <c r="J20">
        <v>0.22474146382076321</v>
      </c>
      <c r="K20">
        <v>0.64425095095731688</v>
      </c>
      <c r="L20">
        <v>0.19077089144036477</v>
      </c>
      <c r="M20">
        <v>-0.39310894222588727</v>
      </c>
      <c r="N20">
        <v>0.11566711120025198</v>
      </c>
      <c r="O20">
        <v>0.39521854535373974</v>
      </c>
      <c r="P20">
        <v>-0.16464771456155664</v>
      </c>
      <c r="Q20">
        <v>0.74870223718921169</v>
      </c>
      <c r="R20">
        <v>0.91590413642952573</v>
      </c>
      <c r="S20">
        <v>0.53283422944744474</v>
      </c>
      <c r="T20">
        <v>1</v>
      </c>
    </row>
    <row r="21" spans="1:32" x14ac:dyDescent="0.25">
      <c r="A21" s="271" t="s">
        <v>38</v>
      </c>
      <c r="B21">
        <v>0.83578557291021738</v>
      </c>
      <c r="C21">
        <v>0.64287096166929802</v>
      </c>
      <c r="D21">
        <v>-0.34999005737708017</v>
      </c>
      <c r="E21">
        <v>0.79644633534746234</v>
      </c>
      <c r="F21">
        <v>0.63564861522444838</v>
      </c>
      <c r="G21">
        <v>0.85489531708877242</v>
      </c>
      <c r="H21">
        <v>0.84692386558089738</v>
      </c>
      <c r="I21">
        <v>0.77816256382801219</v>
      </c>
      <c r="J21">
        <v>0.21191219573164929</v>
      </c>
      <c r="K21">
        <v>0.66812229028305536</v>
      </c>
      <c r="L21">
        <v>0.17896058505270393</v>
      </c>
      <c r="M21">
        <v>-0.38920034710541751</v>
      </c>
      <c r="N21">
        <v>0.12335076401589673</v>
      </c>
      <c r="O21">
        <v>0.37797861378075831</v>
      </c>
      <c r="P21">
        <v>-0.16903866533736198</v>
      </c>
      <c r="Q21">
        <v>0.72232408102314827</v>
      </c>
      <c r="R21">
        <v>0.92663329458212607</v>
      </c>
      <c r="S21">
        <v>0.51819977846115206</v>
      </c>
      <c r="T21">
        <v>0.95779692513600811</v>
      </c>
      <c r="U21">
        <v>1</v>
      </c>
    </row>
    <row r="22" spans="1:32" x14ac:dyDescent="0.25">
      <c r="A22" s="271" t="s">
        <v>11</v>
      </c>
      <c r="B22">
        <v>-0.46308849383883655</v>
      </c>
      <c r="C22">
        <v>0.35011962397574342</v>
      </c>
      <c r="D22">
        <v>0.74673634101815933</v>
      </c>
      <c r="E22">
        <v>0.11493043633551603</v>
      </c>
      <c r="F22">
        <v>-4.1962310854840576E-2</v>
      </c>
      <c r="G22">
        <v>0.16034784107754529</v>
      </c>
      <c r="H22">
        <v>0.20639965514295353</v>
      </c>
      <c r="I22">
        <v>0.28846621502103492</v>
      </c>
      <c r="J22">
        <v>0.39975678839600348</v>
      </c>
      <c r="K22">
        <v>2.3992437936914981E-3</v>
      </c>
      <c r="L22">
        <v>0.40450610136680126</v>
      </c>
      <c r="M22">
        <v>0.30095282400080936</v>
      </c>
      <c r="N22">
        <v>0.31274467665860289</v>
      </c>
      <c r="O22">
        <v>0.17464089489813517</v>
      </c>
      <c r="P22">
        <v>0.39950669525679655</v>
      </c>
      <c r="Q22">
        <v>-0.20613543905610662</v>
      </c>
      <c r="R22">
        <v>6.8105581676899049E-2</v>
      </c>
      <c r="S22">
        <v>-0.32075597026088137</v>
      </c>
      <c r="T22">
        <v>1.0101657317734037E-2</v>
      </c>
      <c r="U22">
        <v>8.4830699127134562E-2</v>
      </c>
      <c r="V22">
        <v>1</v>
      </c>
    </row>
    <row r="23" spans="1:32" x14ac:dyDescent="0.25">
      <c r="A23" s="271" t="s">
        <v>37</v>
      </c>
      <c r="B23">
        <v>0.76064459051682387</v>
      </c>
      <c r="C23">
        <v>0.75219955225918433</v>
      </c>
      <c r="D23">
        <v>-0.20835379707431073</v>
      </c>
      <c r="E23">
        <v>0.8098803905437465</v>
      </c>
      <c r="F23">
        <v>0.57405530773842017</v>
      </c>
      <c r="G23">
        <v>0.90862679715948869</v>
      </c>
      <c r="H23">
        <v>0.88922236196831972</v>
      </c>
      <c r="I23">
        <v>0.85484139365281242</v>
      </c>
      <c r="J23">
        <v>0.34482205912239522</v>
      </c>
      <c r="K23">
        <v>0.65765867202823725</v>
      </c>
      <c r="L23">
        <v>0.31221790629961821</v>
      </c>
      <c r="M23">
        <v>-0.28474258538009778</v>
      </c>
      <c r="N23">
        <v>0.19716247279784863</v>
      </c>
      <c r="O23">
        <v>0.37003986474541273</v>
      </c>
      <c r="P23">
        <v>-5.3803746432808761E-2</v>
      </c>
      <c r="Q23">
        <v>0.6783908035690841</v>
      </c>
      <c r="R23">
        <v>0.93139103786450295</v>
      </c>
      <c r="S23">
        <v>0.48260715698446</v>
      </c>
      <c r="T23">
        <v>0.94068614363459224</v>
      </c>
      <c r="U23">
        <v>0.92598091609359989</v>
      </c>
      <c r="V23">
        <v>9.3589935178915909E-2</v>
      </c>
      <c r="W23">
        <v>1</v>
      </c>
    </row>
    <row r="24" spans="1:32" x14ac:dyDescent="0.25">
      <c r="A24" s="271" t="s">
        <v>10</v>
      </c>
      <c r="B24">
        <v>-0.57224347107702223</v>
      </c>
      <c r="C24">
        <v>0.38325112724031213</v>
      </c>
      <c r="D24">
        <v>0.84125803950887457</v>
      </c>
      <c r="E24">
        <v>3.3444710376196556E-2</v>
      </c>
      <c r="F24">
        <v>-0.16828610651976833</v>
      </c>
      <c r="G24">
        <v>0.11702866195792673</v>
      </c>
      <c r="H24">
        <v>0.14744008740965978</v>
      </c>
      <c r="I24">
        <v>0.27156024096320247</v>
      </c>
      <c r="J24">
        <v>0.48858191402727219</v>
      </c>
      <c r="K24">
        <v>-6.3169866282830389E-2</v>
      </c>
      <c r="L24">
        <v>0.49501549224450625</v>
      </c>
      <c r="M24">
        <v>0.4215682528415679</v>
      </c>
      <c r="N24">
        <v>0.36365752428647097</v>
      </c>
      <c r="O24">
        <v>0.11392688499583391</v>
      </c>
      <c r="P24">
        <v>0.48919109961522117</v>
      </c>
      <c r="Q24">
        <v>-0.30127528194593134</v>
      </c>
      <c r="R24">
        <v>-1.9305452172806003E-2</v>
      </c>
      <c r="S24">
        <v>-0.38294898021082802</v>
      </c>
      <c r="T24">
        <v>-0.1062511958261594</v>
      </c>
      <c r="U24">
        <v>-0.10868697593625967</v>
      </c>
      <c r="V24">
        <v>0.87328177253662675</v>
      </c>
      <c r="W24">
        <v>7.9598247407765221E-2</v>
      </c>
      <c r="X24">
        <v>1</v>
      </c>
    </row>
    <row r="25" spans="1:32" x14ac:dyDescent="0.25">
      <c r="A25" s="271" t="s">
        <v>9</v>
      </c>
      <c r="B25">
        <v>0.75983500045495556</v>
      </c>
      <c r="C25">
        <v>0.19769875484003668</v>
      </c>
      <c r="D25">
        <v>-0.57917110582206577</v>
      </c>
      <c r="E25">
        <v>0.4940563668143324</v>
      </c>
      <c r="F25">
        <v>0.53563472589609162</v>
      </c>
      <c r="G25">
        <v>0.49511564931605184</v>
      </c>
      <c r="H25">
        <v>0.47761020648432567</v>
      </c>
      <c r="I25">
        <v>0.36576644842135059</v>
      </c>
      <c r="J25">
        <v>-0.16015156918884843</v>
      </c>
      <c r="K25">
        <v>0.54480378736684754</v>
      </c>
      <c r="L25">
        <v>-0.18977754534095576</v>
      </c>
      <c r="M25">
        <v>-0.5216411851906092</v>
      </c>
      <c r="N25">
        <v>-9.32722451703238E-2</v>
      </c>
      <c r="O25">
        <v>0.21293753836604229</v>
      </c>
      <c r="P25">
        <v>-0.45084001397491852</v>
      </c>
      <c r="Q25">
        <v>0.64832976306261791</v>
      </c>
      <c r="R25">
        <v>0.65207917370946877</v>
      </c>
      <c r="S25">
        <v>0.58521836574926167</v>
      </c>
      <c r="T25">
        <v>0.71898121638340273</v>
      </c>
      <c r="U25">
        <v>0.7116518914083938</v>
      </c>
      <c r="V25">
        <v>-0.19606048487181024</v>
      </c>
      <c r="W25">
        <v>0.61931741975066523</v>
      </c>
      <c r="X25">
        <v>-0.35343013741902979</v>
      </c>
      <c r="Y25">
        <v>1</v>
      </c>
    </row>
    <row r="26" spans="1:32" x14ac:dyDescent="0.25">
      <c r="A26" s="271" t="s">
        <v>36</v>
      </c>
      <c r="B26">
        <v>4.1957399414808368E-2</v>
      </c>
      <c r="C26">
        <v>-0.65694033313306377</v>
      </c>
      <c r="D26">
        <v>-0.50438607684778947</v>
      </c>
      <c r="E26">
        <v>-0.33281646187214148</v>
      </c>
      <c r="F26">
        <v>-2.9898454329139901E-2</v>
      </c>
      <c r="G26">
        <v>-0.54017675129024467</v>
      </c>
      <c r="H26">
        <v>-0.46502499721173074</v>
      </c>
      <c r="I26">
        <v>-0.53914786404006421</v>
      </c>
      <c r="J26">
        <v>-0.60112977308900839</v>
      </c>
      <c r="K26">
        <v>-7.3146257875120038E-2</v>
      </c>
      <c r="L26">
        <v>-0.60079592369530554</v>
      </c>
      <c r="M26">
        <v>-0.25135806485557494</v>
      </c>
      <c r="N26">
        <v>-0.19008105848797108</v>
      </c>
      <c r="O26">
        <v>-6.4515836648080707E-2</v>
      </c>
      <c r="P26">
        <v>-0.507854787769072</v>
      </c>
      <c r="Q26">
        <v>-3.3151825941942305E-2</v>
      </c>
      <c r="R26">
        <v>-0.30030328537045475</v>
      </c>
      <c r="S26">
        <v>0.13112710929380186</v>
      </c>
      <c r="T26">
        <v>-0.24236589651840065</v>
      </c>
      <c r="U26">
        <v>-0.19728700850955974</v>
      </c>
      <c r="V26">
        <v>-0.37094179806437588</v>
      </c>
      <c r="W26">
        <v>-0.33635363090242704</v>
      </c>
      <c r="X26">
        <v>-0.4760688313493695</v>
      </c>
      <c r="Y26">
        <v>0.44704279443067013</v>
      </c>
      <c r="Z26">
        <v>1</v>
      </c>
    </row>
    <row r="27" spans="1:32" x14ac:dyDescent="0.25">
      <c r="A27" s="271" t="s">
        <v>8</v>
      </c>
      <c r="B27">
        <v>0.20375826014884679</v>
      </c>
      <c r="C27">
        <v>-0.26421671986444739</v>
      </c>
      <c r="D27">
        <v>-0.39490472606739424</v>
      </c>
      <c r="E27">
        <v>-8.4368234816808704E-2</v>
      </c>
      <c r="F27">
        <v>0.11781726359971822</v>
      </c>
      <c r="G27">
        <v>-8.785115575840885E-2</v>
      </c>
      <c r="H27">
        <v>-0.16278428196296735</v>
      </c>
      <c r="I27">
        <v>-0.25816370086471629</v>
      </c>
      <c r="J27">
        <v>-0.3093704958140745</v>
      </c>
      <c r="K27">
        <v>-0.4550623046029208</v>
      </c>
      <c r="L27">
        <v>-0.28788709870745238</v>
      </c>
      <c r="M27">
        <v>-0.2982816422125858</v>
      </c>
      <c r="N27">
        <v>-0.39552561664794333</v>
      </c>
      <c r="O27">
        <v>-0.2132316588377646</v>
      </c>
      <c r="P27">
        <v>-6.7842534412693375E-2</v>
      </c>
      <c r="Q27">
        <v>9.0902447473108397E-2</v>
      </c>
      <c r="R27">
        <v>-3.7164685979910378E-2</v>
      </c>
      <c r="S27">
        <v>0.11850182161987251</v>
      </c>
      <c r="T27">
        <v>6.3316204594732819E-2</v>
      </c>
      <c r="U27">
        <v>6.3736580700278808E-2</v>
      </c>
      <c r="V27">
        <v>-0.23723876344779851</v>
      </c>
      <c r="W27">
        <v>-4.2892553830009936E-2</v>
      </c>
      <c r="X27">
        <v>-0.35156764141221075</v>
      </c>
      <c r="Y27">
        <v>0.48797001772074766</v>
      </c>
      <c r="Z27">
        <v>0.550115933272876</v>
      </c>
      <c r="AA27">
        <v>1</v>
      </c>
    </row>
    <row r="28" spans="1:32" x14ac:dyDescent="0.25">
      <c r="A28" s="271" t="s">
        <v>7</v>
      </c>
      <c r="B28">
        <v>0.34285487953882149</v>
      </c>
      <c r="C28">
        <v>-0.62136699818052599</v>
      </c>
      <c r="D28">
        <v>-0.79064250549562942</v>
      </c>
      <c r="E28">
        <v>-0.13224765573855313</v>
      </c>
      <c r="F28">
        <v>0.16283271368451982</v>
      </c>
      <c r="G28">
        <v>-0.2126938462862453</v>
      </c>
      <c r="H28">
        <v>-0.18822390250859145</v>
      </c>
      <c r="I28">
        <v>-0.33459903705013849</v>
      </c>
      <c r="J28">
        <v>-0.85850409582619258</v>
      </c>
      <c r="K28">
        <v>0.10463394791429348</v>
      </c>
      <c r="L28">
        <v>-0.8682337949344352</v>
      </c>
      <c r="M28">
        <v>-0.77639464900631983</v>
      </c>
      <c r="N28">
        <v>-0.3700028997711779</v>
      </c>
      <c r="O28">
        <v>-3.6993729604265044E-2</v>
      </c>
      <c r="P28">
        <v>-0.84960720945037849</v>
      </c>
      <c r="Q28">
        <v>0.2462685427049858</v>
      </c>
      <c r="R28">
        <v>2.1664998609776807E-2</v>
      </c>
      <c r="S28">
        <v>0.45904887595727434</v>
      </c>
      <c r="T28">
        <v>8.0169041451014916E-2</v>
      </c>
      <c r="U28">
        <v>9.6763502459924239E-2</v>
      </c>
      <c r="V28">
        <v>-0.43080608421992478</v>
      </c>
      <c r="W28">
        <v>-7.6500916698821392E-2</v>
      </c>
      <c r="X28">
        <v>-0.59365530318372761</v>
      </c>
      <c r="Y28">
        <v>0.56731479887828673</v>
      </c>
      <c r="Z28">
        <v>0.76668644169155087</v>
      </c>
      <c r="AA28">
        <v>0.50653680747578811</v>
      </c>
      <c r="AB28">
        <v>1</v>
      </c>
    </row>
    <row r="29" spans="1:32" x14ac:dyDescent="0.25">
      <c r="A29" s="271" t="s">
        <v>6</v>
      </c>
      <c r="B29">
        <v>0.42510944974331566</v>
      </c>
      <c r="C29">
        <v>0.5580880740598092</v>
      </c>
      <c r="D29">
        <v>-6.5776082339757663E-3</v>
      </c>
      <c r="E29">
        <v>0.6025176549482697</v>
      </c>
      <c r="F29">
        <v>0.43887741307646649</v>
      </c>
      <c r="G29">
        <v>0.58046915096426555</v>
      </c>
      <c r="H29">
        <v>0.63862664544606296</v>
      </c>
      <c r="I29">
        <v>0.61859413568510169</v>
      </c>
      <c r="J29">
        <v>0.30956747767495191</v>
      </c>
      <c r="K29">
        <v>0.60013889972483259</v>
      </c>
      <c r="L29">
        <v>0.27888122304180019</v>
      </c>
      <c r="M29">
        <v>-5.7927595078274358E-2</v>
      </c>
      <c r="N29">
        <v>0.27214306164478164</v>
      </c>
      <c r="O29">
        <v>0.41405259376265097</v>
      </c>
      <c r="P29">
        <v>-1.9974426316559202E-2</v>
      </c>
      <c r="Q29">
        <v>0.51907501931438882</v>
      </c>
      <c r="R29">
        <v>0.60289892725408589</v>
      </c>
      <c r="S29">
        <v>0.4034208122577907</v>
      </c>
      <c r="T29">
        <v>0.60791375263703018</v>
      </c>
      <c r="U29">
        <v>0.59228916071767868</v>
      </c>
      <c r="V29">
        <v>0.16356763570372637</v>
      </c>
      <c r="W29">
        <v>0.58782032888431046</v>
      </c>
      <c r="X29">
        <v>9.6868544126119643E-2</v>
      </c>
      <c r="Y29">
        <v>0.36387307525287926</v>
      </c>
      <c r="Z29">
        <v>-0.29982174610793538</v>
      </c>
      <c r="AA29">
        <v>-0.25902441297058043</v>
      </c>
      <c r="AB29">
        <v>-0.20393272217080471</v>
      </c>
      <c r="AC29">
        <v>1</v>
      </c>
    </row>
    <row r="30" spans="1:32" x14ac:dyDescent="0.25">
      <c r="A30" s="271" t="s">
        <v>5</v>
      </c>
      <c r="B30">
        <v>6.0190957128512558E-2</v>
      </c>
      <c r="C30">
        <v>6.9562488422784438E-2</v>
      </c>
      <c r="D30">
        <v>-1.4667632742208446E-2</v>
      </c>
      <c r="E30">
        <v>3.9718037855644525E-2</v>
      </c>
      <c r="F30">
        <v>-9.6498762812728747E-3</v>
      </c>
      <c r="G30">
        <v>0.10021058251882813</v>
      </c>
      <c r="H30">
        <v>7.8948282015935706E-2</v>
      </c>
      <c r="I30">
        <v>8.0293584923092076E-2</v>
      </c>
      <c r="J30">
        <v>3.572759949397894E-2</v>
      </c>
      <c r="K30">
        <v>0.13670194689178658</v>
      </c>
      <c r="L30">
        <v>2.8591193654239528E-2</v>
      </c>
      <c r="M30">
        <v>-2.885680921923952E-2</v>
      </c>
      <c r="N30">
        <v>-2.0191925525264369E-3</v>
      </c>
      <c r="O30">
        <v>9.9113455755326287E-3</v>
      </c>
      <c r="P30">
        <v>-4.1191126562844592E-2</v>
      </c>
      <c r="Q30">
        <v>5.9627861376579487E-2</v>
      </c>
      <c r="R30">
        <v>7.0858240354602864E-2</v>
      </c>
      <c r="S30">
        <v>0.13975402380457597</v>
      </c>
      <c r="T30">
        <v>4.5274616376895845E-2</v>
      </c>
      <c r="U30">
        <v>6.3258840045142373E-2</v>
      </c>
      <c r="V30">
        <v>-1.4559438490780603E-2</v>
      </c>
      <c r="W30">
        <v>7.0165243817851095E-2</v>
      </c>
      <c r="X30">
        <v>-1.2012601939192768E-2</v>
      </c>
      <c r="Y30">
        <v>1.9725431059690733E-2</v>
      </c>
      <c r="Z30">
        <v>-9.0762500156138917E-2</v>
      </c>
      <c r="AA30">
        <v>-0.12527435724202735</v>
      </c>
      <c r="AB30">
        <v>-4.7996980452106063E-2</v>
      </c>
      <c r="AC30">
        <v>4.5942729955164269E-2</v>
      </c>
      <c r="AD30">
        <v>1</v>
      </c>
    </row>
    <row r="31" spans="1:32" x14ac:dyDescent="0.25">
      <c r="A31" s="271" t="s">
        <v>4</v>
      </c>
      <c r="B31">
        <v>6.4331489535689124E-2</v>
      </c>
      <c r="C31">
        <v>0.19572807630798245</v>
      </c>
      <c r="D31">
        <v>7.7458790359037771E-2</v>
      </c>
      <c r="E31">
        <v>0.15529715784761558</v>
      </c>
      <c r="F31">
        <v>0.1792030291089842</v>
      </c>
      <c r="G31">
        <v>0.13143536768973174</v>
      </c>
      <c r="H31">
        <v>0.18091197774418627</v>
      </c>
      <c r="I31">
        <v>0.18864476982304354</v>
      </c>
      <c r="J31">
        <v>0.1431752883392409</v>
      </c>
      <c r="K31">
        <v>0.18277235124684818</v>
      </c>
      <c r="L31">
        <v>0.13327843409868154</v>
      </c>
      <c r="M31">
        <v>4.5560489187896E-2</v>
      </c>
      <c r="N31">
        <v>0.14994825127575301</v>
      </c>
      <c r="O31">
        <v>0.16759904057235545</v>
      </c>
      <c r="P31">
        <v>4.2119218074710287E-2</v>
      </c>
      <c r="Q31">
        <v>9.4010973523531882E-2</v>
      </c>
      <c r="R31">
        <v>0.15222878187552813</v>
      </c>
      <c r="S31">
        <v>-6.4014899668023845E-2</v>
      </c>
      <c r="T31">
        <v>0.17635006279353657</v>
      </c>
      <c r="U31">
        <v>0.15689266062285312</v>
      </c>
      <c r="V31">
        <v>0.14595927749986645</v>
      </c>
      <c r="W31">
        <v>0.13556396440608154</v>
      </c>
      <c r="X31">
        <v>9.9851421434074758E-2</v>
      </c>
      <c r="Y31">
        <v>0.10303163765942285</v>
      </c>
      <c r="Z31">
        <v>-4.3885985918484735E-2</v>
      </c>
      <c r="AA31">
        <v>-6.8279819462567726E-2</v>
      </c>
      <c r="AB31">
        <v>-7.5940115105195882E-2</v>
      </c>
      <c r="AC31">
        <v>0.40696175438403165</v>
      </c>
      <c r="AD31">
        <v>-0.5642527683953914</v>
      </c>
      <c r="AE31">
        <v>1</v>
      </c>
    </row>
    <row r="32" spans="1:32" x14ac:dyDescent="0.25">
      <c r="A32" s="271" t="s">
        <v>35</v>
      </c>
      <c r="B32">
        <v>-0.36911453101051234</v>
      </c>
      <c r="C32">
        <v>0.19492504850241663</v>
      </c>
      <c r="D32">
        <v>0.48633752493012611</v>
      </c>
      <c r="E32">
        <v>-3.5139010678226336E-3</v>
      </c>
      <c r="F32">
        <v>-0.11202420144112245</v>
      </c>
      <c r="G32">
        <v>-3.9544259980209301E-2</v>
      </c>
      <c r="H32">
        <v>9.782048622180517E-3</v>
      </c>
      <c r="I32">
        <v>8.1772100030813824E-2</v>
      </c>
      <c r="J32">
        <v>0.31921050337605505</v>
      </c>
      <c r="K32">
        <v>-5.5726181120590308E-2</v>
      </c>
      <c r="L32">
        <v>0.32296243133259661</v>
      </c>
      <c r="M32">
        <v>0.39617855383276923</v>
      </c>
      <c r="N32">
        <v>0.24306676003423422</v>
      </c>
      <c r="O32">
        <v>8.1689191300141531E-2</v>
      </c>
      <c r="P32">
        <v>0.33700237101672159</v>
      </c>
      <c r="Q32">
        <v>-0.20406795882076159</v>
      </c>
      <c r="R32">
        <v>-0.14284039692876219</v>
      </c>
      <c r="S32">
        <v>-0.24578684536417977</v>
      </c>
      <c r="T32">
        <v>-0.18916383678220519</v>
      </c>
      <c r="U32">
        <v>-0.20240197392146855</v>
      </c>
      <c r="V32">
        <v>0.29506305469366634</v>
      </c>
      <c r="W32">
        <v>-0.15996919949715246</v>
      </c>
      <c r="X32">
        <v>0.35796581158982366</v>
      </c>
      <c r="Y32">
        <v>-0.65002961749992838</v>
      </c>
      <c r="Z32">
        <v>-0.60025581249988502</v>
      </c>
      <c r="AA32">
        <v>-0.62291327895932758</v>
      </c>
      <c r="AB32">
        <v>-0.60596726003209644</v>
      </c>
      <c r="AC32">
        <v>0.46175263560513563</v>
      </c>
      <c r="AD32">
        <v>1.0777710116375126E-2</v>
      </c>
      <c r="AE32">
        <v>0.23224114927894446</v>
      </c>
      <c r="AF32">
        <v>1</v>
      </c>
    </row>
    <row r="33" spans="1:48" x14ac:dyDescent="0.25">
      <c r="A33" s="271" t="s">
        <v>33</v>
      </c>
      <c r="B33">
        <v>-0.41238786278928408</v>
      </c>
      <c r="C33">
        <v>-0.44353342144319818</v>
      </c>
      <c r="D33">
        <v>9.1993418357445539E-2</v>
      </c>
      <c r="E33">
        <v>-0.39991960957158762</v>
      </c>
      <c r="F33">
        <v>-0.22652404549086358</v>
      </c>
      <c r="G33">
        <v>-0.65850023882070507</v>
      </c>
      <c r="H33">
        <v>-0.50051806077305561</v>
      </c>
      <c r="I33">
        <v>-0.47065488749744311</v>
      </c>
      <c r="J33">
        <v>-0.20489365189917139</v>
      </c>
      <c r="K33">
        <v>-0.14002899140440972</v>
      </c>
      <c r="L33">
        <v>-0.19975054838794171</v>
      </c>
      <c r="M33">
        <v>0.299183907227551</v>
      </c>
      <c r="N33">
        <v>0.17319811971850793</v>
      </c>
      <c r="O33">
        <v>2.5873208872737068E-2</v>
      </c>
      <c r="P33">
        <v>-7.7350199776481887E-2</v>
      </c>
      <c r="Q33">
        <v>-0.33029685704323253</v>
      </c>
      <c r="R33">
        <v>-0.49683918214556316</v>
      </c>
      <c r="S33">
        <v>-0.11711033357929761</v>
      </c>
      <c r="T33">
        <v>-0.48813049892492694</v>
      </c>
      <c r="U33">
        <v>-0.50783191053905885</v>
      </c>
      <c r="V33">
        <v>-8.9531179610678718E-2</v>
      </c>
      <c r="W33">
        <v>-0.54862666215015288</v>
      </c>
      <c r="X33">
        <v>-7.0579006621265275E-2</v>
      </c>
      <c r="Y33">
        <v>-0.31847650782870196</v>
      </c>
      <c r="Z33">
        <v>0.39969154125343698</v>
      </c>
      <c r="AA33">
        <v>-0.15315654986370436</v>
      </c>
      <c r="AB33">
        <v>2.0736106008817253E-2</v>
      </c>
      <c r="AC33">
        <v>0.2083630238845324</v>
      </c>
      <c r="AD33">
        <v>-8.2752109263707421E-2</v>
      </c>
      <c r="AE33">
        <v>0.20800365517336691</v>
      </c>
      <c r="AF33">
        <v>0.47889790321719111</v>
      </c>
      <c r="AG33">
        <v>1</v>
      </c>
    </row>
    <row r="34" spans="1:48" x14ac:dyDescent="0.25">
      <c r="A34" s="271" t="s">
        <v>34</v>
      </c>
      <c r="B34">
        <v>-0.31985122144188227</v>
      </c>
      <c r="C34">
        <v>3.328267784540518E-2</v>
      </c>
      <c r="D34">
        <v>0.29630957228590948</v>
      </c>
      <c r="E34">
        <v>-0.10593042569880172</v>
      </c>
      <c r="F34">
        <v>-0.11303936580788149</v>
      </c>
      <c r="G34">
        <v>-0.12576202581985846</v>
      </c>
      <c r="H34">
        <v>-0.14661004437932568</v>
      </c>
      <c r="I34">
        <v>-0.13558012299177197</v>
      </c>
      <c r="J34">
        <v>0.16650388683990025</v>
      </c>
      <c r="K34">
        <v>-0.59968359806245275</v>
      </c>
      <c r="L34">
        <v>0.19794130197356699</v>
      </c>
      <c r="M34">
        <v>0.24799310610001776</v>
      </c>
      <c r="N34">
        <v>-6.9738430399100326E-2</v>
      </c>
      <c r="O34">
        <v>-0.13392742167003618</v>
      </c>
      <c r="P34">
        <v>0.47812012364352241</v>
      </c>
      <c r="Q34">
        <v>-0.23027223904563349</v>
      </c>
      <c r="R34">
        <v>-0.23452596465130954</v>
      </c>
      <c r="S34">
        <v>-0.17042661363984035</v>
      </c>
      <c r="T34">
        <v>-0.20938951834184066</v>
      </c>
      <c r="U34">
        <v>-0.26733390459465872</v>
      </c>
      <c r="V34">
        <v>9.9347303300519066E-2</v>
      </c>
      <c r="W34">
        <v>-0.23209449596381254</v>
      </c>
      <c r="X34">
        <v>0.15302868961048463</v>
      </c>
      <c r="Y34">
        <v>-0.34595972510496376</v>
      </c>
      <c r="Z34">
        <v>-0.21387178391715725</v>
      </c>
      <c r="AA34">
        <v>0.31129500990200915</v>
      </c>
      <c r="AB34">
        <v>-0.33125158531962046</v>
      </c>
      <c r="AC34">
        <v>0.26521671733984653</v>
      </c>
      <c r="AD34">
        <v>-0.11017009430803761</v>
      </c>
      <c r="AE34">
        <v>0.18576978717732701</v>
      </c>
      <c r="AF34">
        <v>0.53850438026280056</v>
      </c>
      <c r="AG34">
        <v>0.38933590010571417</v>
      </c>
      <c r="AH34">
        <v>1</v>
      </c>
    </row>
    <row r="35" spans="1:48" x14ac:dyDescent="0.25">
      <c r="A35" s="271" t="s">
        <v>361</v>
      </c>
      <c r="B35">
        <v>-0.71602902089650056</v>
      </c>
      <c r="C35">
        <v>-0.32779123304848951</v>
      </c>
      <c r="D35">
        <v>0.48527866123190622</v>
      </c>
      <c r="E35">
        <v>-0.45261093861813734</v>
      </c>
      <c r="F35">
        <v>-0.37849454923760317</v>
      </c>
      <c r="G35">
        <v>-0.5721592094872302</v>
      </c>
      <c r="H35">
        <v>-0.54003446184388715</v>
      </c>
      <c r="I35">
        <v>-0.47629319124005376</v>
      </c>
      <c r="J35">
        <v>-4.8508268220295668E-5</v>
      </c>
      <c r="K35">
        <v>-0.4588955723753308</v>
      </c>
      <c r="L35">
        <v>2.425074554546788E-2</v>
      </c>
      <c r="M35">
        <v>0.42983843818930373</v>
      </c>
      <c r="N35">
        <v>3.4382725319252815E-2</v>
      </c>
      <c r="O35">
        <v>-0.2011563519455957</v>
      </c>
      <c r="P35">
        <v>0.28340215326986878</v>
      </c>
      <c r="Q35">
        <v>-0.55216653289260442</v>
      </c>
      <c r="R35">
        <v>-0.69219637302652659</v>
      </c>
      <c r="S35">
        <v>-0.41395727506210866</v>
      </c>
      <c r="T35">
        <v>-0.68893495383562331</v>
      </c>
      <c r="U35">
        <v>-0.69099529070480725</v>
      </c>
      <c r="V35">
        <v>0.18143047315033647</v>
      </c>
      <c r="W35">
        <v>-0.70308567902879726</v>
      </c>
      <c r="X35">
        <v>0.21713695568372568</v>
      </c>
      <c r="Y35">
        <v>-0.60240034681877275</v>
      </c>
      <c r="Z35">
        <v>1.4025041504544212E-2</v>
      </c>
      <c r="AA35">
        <v>-0.13661733003447593</v>
      </c>
      <c r="AB35">
        <v>-0.29756523326586221</v>
      </c>
      <c r="AC35">
        <v>-0.10484021095642576</v>
      </c>
      <c r="AD35">
        <v>3.9413316838369352E-3</v>
      </c>
      <c r="AE35">
        <v>-2.8405683019110388E-2</v>
      </c>
      <c r="AF35">
        <v>0.48302971811566264</v>
      </c>
      <c r="AG35">
        <v>0.58543563554340838</v>
      </c>
      <c r="AH35">
        <v>0.47889704072094691</v>
      </c>
      <c r="AI35">
        <v>1</v>
      </c>
    </row>
    <row r="36" spans="1:48" x14ac:dyDescent="0.25">
      <c r="A36" s="271" t="s">
        <v>32</v>
      </c>
      <c r="B36">
        <v>0.75950047038972279</v>
      </c>
      <c r="C36">
        <v>0.60054470916354175</v>
      </c>
      <c r="D36">
        <v>-0.31169314030284612</v>
      </c>
      <c r="E36">
        <v>0.67475560497308473</v>
      </c>
      <c r="F36">
        <v>0.54553389248762174</v>
      </c>
      <c r="G36">
        <v>0.77194115169937372</v>
      </c>
      <c r="H36">
        <v>0.75992278887901976</v>
      </c>
      <c r="I36">
        <v>0.71139455094558701</v>
      </c>
      <c r="J36">
        <v>0.22709324861851229</v>
      </c>
      <c r="K36">
        <v>0.60943284336229187</v>
      </c>
      <c r="L36">
        <v>0.19597942553036105</v>
      </c>
      <c r="M36">
        <v>-0.30410465546822707</v>
      </c>
      <c r="N36">
        <v>0.11459158268354563</v>
      </c>
      <c r="O36">
        <v>0.29970002691687325</v>
      </c>
      <c r="P36">
        <v>-0.13901031130360064</v>
      </c>
      <c r="Q36">
        <v>0.66800404889856724</v>
      </c>
      <c r="R36">
        <v>0.86880557318655727</v>
      </c>
      <c r="S36">
        <v>0.48185094999530093</v>
      </c>
      <c r="T36">
        <v>0.87587503293811253</v>
      </c>
      <c r="U36">
        <v>0.82562024175796345</v>
      </c>
      <c r="V36">
        <v>-6.1410636010996285E-2</v>
      </c>
      <c r="W36">
        <v>0.88263275300969968</v>
      </c>
      <c r="X36">
        <v>-6.8379698143119644E-2</v>
      </c>
      <c r="Y36">
        <v>0.57842661845730892</v>
      </c>
      <c r="Z36">
        <v>-0.22619754210475942</v>
      </c>
      <c r="AA36">
        <v>-3.5901240164305119E-2</v>
      </c>
      <c r="AB36">
        <v>2.5801221661356552E-2</v>
      </c>
      <c r="AC36">
        <v>0.5670463013825835</v>
      </c>
      <c r="AD36">
        <v>8.0069440274263461E-3</v>
      </c>
      <c r="AE36">
        <v>0.21967508193680577</v>
      </c>
      <c r="AF36">
        <v>-0.14589727233048794</v>
      </c>
      <c r="AG36">
        <v>-0.40027928684895081</v>
      </c>
      <c r="AH36">
        <v>-0.23537862945103794</v>
      </c>
      <c r="AI36">
        <v>-0.84496859151866066</v>
      </c>
      <c r="AJ36">
        <v>1</v>
      </c>
    </row>
    <row r="37" spans="1:48" x14ac:dyDescent="0.25">
      <c r="A37" s="271" t="s">
        <v>3</v>
      </c>
      <c r="B37">
        <v>0.39645225647069882</v>
      </c>
      <c r="C37">
        <v>0.57071082347753188</v>
      </c>
      <c r="D37">
        <v>-1.0195798295957074E-2</v>
      </c>
      <c r="E37">
        <v>0.4114966413960407</v>
      </c>
      <c r="F37">
        <v>0.20375106049568165</v>
      </c>
      <c r="G37">
        <v>0.56142793440353234</v>
      </c>
      <c r="H37">
        <v>0.53664764982713764</v>
      </c>
      <c r="I37">
        <v>0.51295932808711664</v>
      </c>
      <c r="J37">
        <v>0.38612851013185129</v>
      </c>
      <c r="K37">
        <v>0.23233590083558564</v>
      </c>
      <c r="L37">
        <v>0.37470902072145079</v>
      </c>
      <c r="M37">
        <v>8.4073905681782291E-3</v>
      </c>
      <c r="N37">
        <v>0.12127697018777991</v>
      </c>
      <c r="O37">
        <v>0.20947113804853476</v>
      </c>
      <c r="P37">
        <v>0.18727097573471649</v>
      </c>
      <c r="Q37">
        <v>0.34035609461930311</v>
      </c>
      <c r="R37">
        <v>0.51934693693425615</v>
      </c>
      <c r="S37">
        <v>0.33100476683180374</v>
      </c>
      <c r="T37">
        <v>0.51088094663232586</v>
      </c>
      <c r="U37">
        <v>0.46917224543579356</v>
      </c>
      <c r="V37">
        <v>7.65219462965319E-3</v>
      </c>
      <c r="W37">
        <v>0.54079634910647378</v>
      </c>
      <c r="X37">
        <v>4.6802878732996225E-2</v>
      </c>
      <c r="Y37">
        <v>0.22016692153249257</v>
      </c>
      <c r="Z37">
        <v>-0.37561505074059098</v>
      </c>
      <c r="AA37">
        <v>-3.3140489334851329E-2</v>
      </c>
      <c r="AB37">
        <v>-0.26800253199571361</v>
      </c>
      <c r="AC37">
        <v>0.28062774170765298</v>
      </c>
      <c r="AD37">
        <v>1.9741979702137043E-2</v>
      </c>
      <c r="AE37">
        <v>6.956528624188496E-4</v>
      </c>
      <c r="AF37">
        <v>-2.8554522939982217E-3</v>
      </c>
      <c r="AG37">
        <v>-0.38429795209399559</v>
      </c>
      <c r="AH37">
        <v>-3.2121326671741189E-2</v>
      </c>
      <c r="AI37">
        <v>-0.4069267951507522</v>
      </c>
      <c r="AJ37">
        <v>0.51726545132116963</v>
      </c>
      <c r="AK37">
        <v>1</v>
      </c>
    </row>
    <row r="38" spans="1:48" x14ac:dyDescent="0.25">
      <c r="A38" s="271" t="s">
        <v>31</v>
      </c>
      <c r="B38">
        <v>-0.20045254353635364</v>
      </c>
      <c r="C38">
        <v>0.40318563072373148</v>
      </c>
      <c r="D38">
        <v>0.48253428005715299</v>
      </c>
      <c r="E38">
        <v>0.1335090911977489</v>
      </c>
      <c r="F38">
        <v>1.1137101288143726E-2</v>
      </c>
      <c r="G38">
        <v>0.25186214944963575</v>
      </c>
      <c r="H38">
        <v>0.28032581633055509</v>
      </c>
      <c r="I38">
        <v>0.34744933346970974</v>
      </c>
      <c r="J38">
        <v>0.37719872803353077</v>
      </c>
      <c r="K38">
        <v>0.12832615307787593</v>
      </c>
      <c r="L38">
        <v>0.37140375528580494</v>
      </c>
      <c r="M38">
        <v>0.21631228073567904</v>
      </c>
      <c r="N38">
        <v>0.27050530806222345</v>
      </c>
      <c r="O38">
        <v>0.15521876446023117</v>
      </c>
      <c r="P38">
        <v>0.26222679182679132</v>
      </c>
      <c r="Q38">
        <v>1.3538186403242542E-2</v>
      </c>
      <c r="R38">
        <v>0.27164873296702702</v>
      </c>
      <c r="S38">
        <v>-0.12137829673551634</v>
      </c>
      <c r="T38">
        <v>0.20194259893716648</v>
      </c>
      <c r="U38">
        <v>0.12215730253537814</v>
      </c>
      <c r="V38">
        <v>0.5575010732010145</v>
      </c>
      <c r="W38">
        <v>0.29169579609231794</v>
      </c>
      <c r="X38">
        <v>0.67426728484636289</v>
      </c>
      <c r="Y38">
        <v>-0.11174230327560597</v>
      </c>
      <c r="Z38">
        <v>-0.36347605658240023</v>
      </c>
      <c r="AA38">
        <v>-0.30360319751920617</v>
      </c>
      <c r="AB38">
        <v>-0.37131575047187215</v>
      </c>
      <c r="AC38">
        <v>0.31610970582240594</v>
      </c>
      <c r="AD38">
        <v>-7.2564519032082317E-2</v>
      </c>
      <c r="AE38">
        <v>0.27716587207532434</v>
      </c>
      <c r="AF38">
        <v>0.25112463867641027</v>
      </c>
      <c r="AG38">
        <v>-5.257093972584078E-2</v>
      </c>
      <c r="AH38">
        <v>2.2608225911273563E-2</v>
      </c>
      <c r="AI38">
        <v>-0.38074839646902542</v>
      </c>
      <c r="AJ38">
        <v>0.47051416496560594</v>
      </c>
      <c r="AK38">
        <v>0.22991206245548404</v>
      </c>
      <c r="AL38">
        <v>1</v>
      </c>
    </row>
    <row r="39" spans="1:48" x14ac:dyDescent="0.25">
      <c r="A39" s="271" t="s">
        <v>30</v>
      </c>
      <c r="B39">
        <v>0.4255481930451035</v>
      </c>
      <c r="C39">
        <v>1.0764668412821646E-4</v>
      </c>
      <c r="D39">
        <v>-0.37822544654562068</v>
      </c>
      <c r="E39">
        <v>0.2774443031668033</v>
      </c>
      <c r="F39">
        <v>0.37225010149939253</v>
      </c>
      <c r="G39">
        <v>0.2384086865961971</v>
      </c>
      <c r="H39">
        <v>0.24201476567509328</v>
      </c>
      <c r="I39">
        <v>0.20167824722992081</v>
      </c>
      <c r="J39">
        <v>-0.21430711438101654</v>
      </c>
      <c r="K39">
        <v>0.42178838414739706</v>
      </c>
      <c r="L39">
        <v>-0.23628758059714119</v>
      </c>
      <c r="M39">
        <v>-0.37302987944663263</v>
      </c>
      <c r="N39">
        <v>-2.4334884105154907E-2</v>
      </c>
      <c r="O39">
        <v>0.11004599158298871</v>
      </c>
      <c r="P39">
        <v>-0.39478631706016626</v>
      </c>
      <c r="Q39">
        <v>0.3635997930932553</v>
      </c>
      <c r="R39">
        <v>0.37466048994647899</v>
      </c>
      <c r="S39">
        <v>0.19638810744594457</v>
      </c>
      <c r="T39">
        <v>0.40473435840441724</v>
      </c>
      <c r="U39">
        <v>0.40827220714048179</v>
      </c>
      <c r="V39">
        <v>-0.10815452479517604</v>
      </c>
      <c r="W39">
        <v>0.3808683115366257</v>
      </c>
      <c r="X39">
        <v>-0.15979516987592421</v>
      </c>
      <c r="Y39">
        <v>0.43021172462004498</v>
      </c>
      <c r="Z39">
        <v>0.18200789800292608</v>
      </c>
      <c r="AA39">
        <v>1.992590371628335E-2</v>
      </c>
      <c r="AB39">
        <v>0.36203975661771692</v>
      </c>
      <c r="AC39">
        <v>0.32753837295824123</v>
      </c>
      <c r="AD39">
        <v>-1.8735218306317587E-2</v>
      </c>
      <c r="AE39">
        <v>0.23641130851270303</v>
      </c>
      <c r="AF39">
        <v>-0.18049495627239112</v>
      </c>
      <c r="AG39">
        <v>-4.0692871201210054E-2</v>
      </c>
      <c r="AH39">
        <v>-0.24317044865241758</v>
      </c>
      <c r="AI39">
        <v>-0.52204442657441052</v>
      </c>
      <c r="AJ39">
        <v>0.52332037186604285</v>
      </c>
      <c r="AK39">
        <v>-0.43207441571111155</v>
      </c>
      <c r="AL39">
        <v>0.23384192210569896</v>
      </c>
      <c r="AM39">
        <v>1</v>
      </c>
    </row>
    <row r="40" spans="1:48" x14ac:dyDescent="0.25">
      <c r="A40" s="271" t="s">
        <v>29</v>
      </c>
      <c r="B40">
        <v>0.51515714704485027</v>
      </c>
      <c r="C40">
        <v>3.0140874350382898E-2</v>
      </c>
      <c r="D40">
        <v>-0.47620482404430309</v>
      </c>
      <c r="E40">
        <v>0.2201330644992146</v>
      </c>
      <c r="F40">
        <v>0.28433657746392438</v>
      </c>
      <c r="G40">
        <v>0.15607730605232417</v>
      </c>
      <c r="H40">
        <v>0.21677611180022072</v>
      </c>
      <c r="I40">
        <v>0.16963730336675051</v>
      </c>
      <c r="J40">
        <v>-0.15540975576122842</v>
      </c>
      <c r="K40">
        <v>0.36863543569933543</v>
      </c>
      <c r="L40">
        <v>-0.17616740585677756</v>
      </c>
      <c r="M40">
        <v>-0.26760257735372711</v>
      </c>
      <c r="N40">
        <v>5.3991617645097897E-2</v>
      </c>
      <c r="O40">
        <v>0.18853863077285438</v>
      </c>
      <c r="P40">
        <v>-0.35014280179126556</v>
      </c>
      <c r="Q40">
        <v>0.39380560052648006</v>
      </c>
      <c r="R40">
        <v>0.45788773297253654</v>
      </c>
      <c r="S40">
        <v>0.37923956366333222</v>
      </c>
      <c r="T40">
        <v>0.4663254110918314</v>
      </c>
      <c r="U40">
        <v>0.39579848901379305</v>
      </c>
      <c r="V40">
        <v>-0.29953323890283734</v>
      </c>
      <c r="W40">
        <v>0.42300275310805152</v>
      </c>
      <c r="X40">
        <v>-0.26896786007200174</v>
      </c>
      <c r="Y40">
        <v>0.42243563090819575</v>
      </c>
      <c r="Z40">
        <v>0.24936099733815256</v>
      </c>
      <c r="AA40">
        <v>6.0784925174033756E-2</v>
      </c>
      <c r="AB40">
        <v>0.3080581549080802</v>
      </c>
      <c r="AC40">
        <v>0.27749493092851973</v>
      </c>
      <c r="AD40">
        <v>-7.9511733973757631E-2</v>
      </c>
      <c r="AE40">
        <v>0.19802100189201588</v>
      </c>
      <c r="AF40">
        <v>-0.23705248780473059</v>
      </c>
      <c r="AG40">
        <v>4.7744822247609175E-2</v>
      </c>
      <c r="AH40">
        <v>-0.2772290646452007</v>
      </c>
      <c r="AI40">
        <v>-0.76688981747370255</v>
      </c>
      <c r="AJ40">
        <v>0.74042978007960536</v>
      </c>
      <c r="AK40">
        <v>0.21482452449100781</v>
      </c>
      <c r="AL40">
        <v>0.43677951800560644</v>
      </c>
      <c r="AM40">
        <v>0.59078935597182991</v>
      </c>
      <c r="AN40">
        <v>1</v>
      </c>
    </row>
    <row r="41" spans="1:48" x14ac:dyDescent="0.25">
      <c r="A41" s="271" t="s">
        <v>330</v>
      </c>
      <c r="B41">
        <v>0.67530583304927583</v>
      </c>
      <c r="C41">
        <v>0.2653951178057648</v>
      </c>
      <c r="D41">
        <v>-0.45421150547145611</v>
      </c>
      <c r="E41">
        <v>0.51696720478240066</v>
      </c>
      <c r="F41">
        <v>0.54730017812353982</v>
      </c>
      <c r="G41">
        <v>0.54495357325165117</v>
      </c>
      <c r="H41">
        <v>0.5170410189513901</v>
      </c>
      <c r="I41">
        <v>0.43249454272313231</v>
      </c>
      <c r="J41">
        <v>-0.10164510126674756</v>
      </c>
      <c r="K41">
        <v>0.37245687092210561</v>
      </c>
      <c r="L41">
        <v>-0.12104259844995394</v>
      </c>
      <c r="M41">
        <v>-0.52930640609495494</v>
      </c>
      <c r="N41">
        <v>-6.2034899029760317E-2</v>
      </c>
      <c r="O41">
        <v>0.20332447336588083</v>
      </c>
      <c r="P41">
        <v>-0.29799554541045004</v>
      </c>
      <c r="Q41">
        <v>0.62711119527556325</v>
      </c>
      <c r="R41">
        <v>0.61321421879933868</v>
      </c>
      <c r="S41">
        <v>0.47770035055362853</v>
      </c>
      <c r="T41">
        <v>0.68318774185994358</v>
      </c>
      <c r="U41">
        <v>0.661460561457893</v>
      </c>
      <c r="V41">
        <v>-0.11549263893714401</v>
      </c>
      <c r="W41">
        <v>0.59485687482151639</v>
      </c>
      <c r="X41">
        <v>-0.24904545805326933</v>
      </c>
      <c r="Y41">
        <v>0.59999048279259848</v>
      </c>
      <c r="Z41">
        <v>8.1353330947728196E-3</v>
      </c>
      <c r="AA41">
        <v>0.27938401353298964</v>
      </c>
      <c r="AB41">
        <v>0.29318956979321542</v>
      </c>
      <c r="AC41">
        <v>0.30943097977849315</v>
      </c>
      <c r="AD41">
        <v>-6.8929632564148184E-3</v>
      </c>
      <c r="AE41">
        <v>0.13885268274236751</v>
      </c>
      <c r="AF41">
        <v>-0.34269891186447332</v>
      </c>
      <c r="AG41">
        <v>-0.37581748434667284</v>
      </c>
      <c r="AH41">
        <v>-0.16646670364070246</v>
      </c>
      <c r="AI41">
        <v>-0.54353108724844168</v>
      </c>
      <c r="AJ41">
        <v>0.59121643445061289</v>
      </c>
      <c r="AK41">
        <v>0.20177415576627927</v>
      </c>
      <c r="AL41">
        <v>3.5719364075004448E-3</v>
      </c>
      <c r="AM41">
        <v>0.42507630931954571</v>
      </c>
      <c r="AN41">
        <v>0.36678267055736041</v>
      </c>
      <c r="AO41">
        <v>1</v>
      </c>
    </row>
    <row r="42" spans="1:48" x14ac:dyDescent="0.25">
      <c r="A42" s="271" t="s">
        <v>332</v>
      </c>
      <c r="B42">
        <v>0.61214888349076935</v>
      </c>
      <c r="C42">
        <v>0.34057628487603553</v>
      </c>
      <c r="D42">
        <v>-0.37607994322729432</v>
      </c>
      <c r="E42">
        <v>0.47006262001882848</v>
      </c>
      <c r="F42">
        <v>0.46547931946991028</v>
      </c>
      <c r="G42">
        <v>0.51713092985741138</v>
      </c>
      <c r="H42">
        <v>0.48869050695092914</v>
      </c>
      <c r="I42">
        <v>0.38703709257630103</v>
      </c>
      <c r="J42">
        <v>1.9022304251724926E-2</v>
      </c>
      <c r="K42">
        <v>0.42051975445507939</v>
      </c>
      <c r="L42">
        <v>-3.9466327824624154E-3</v>
      </c>
      <c r="M42">
        <v>-0.40286573173541945</v>
      </c>
      <c r="N42">
        <v>-0.11193599242279434</v>
      </c>
      <c r="O42">
        <v>0.1821029649828485</v>
      </c>
      <c r="P42">
        <v>-0.22620208474747253</v>
      </c>
      <c r="Q42">
        <v>0.56642128993777219</v>
      </c>
      <c r="R42">
        <v>0.55446702067912268</v>
      </c>
      <c r="S42">
        <v>0.42574030639738208</v>
      </c>
      <c r="T42">
        <v>0.63571120326295905</v>
      </c>
      <c r="U42">
        <v>0.62173452798798623</v>
      </c>
      <c r="V42">
        <v>-0.10219148804661615</v>
      </c>
      <c r="W42">
        <v>0.56993606768825666</v>
      </c>
      <c r="X42">
        <v>-0.20708518219994185</v>
      </c>
      <c r="Y42">
        <v>0.59535197528824302</v>
      </c>
      <c r="Z42">
        <v>1.8142197248612098E-2</v>
      </c>
      <c r="AA42">
        <v>0.18391808276608601</v>
      </c>
      <c r="AB42">
        <v>0.18280743635411975</v>
      </c>
      <c r="AC42">
        <v>0.43671868350534915</v>
      </c>
      <c r="AD42">
        <v>3.1181392114008694E-2</v>
      </c>
      <c r="AE42">
        <v>8.8291583134382651E-2</v>
      </c>
      <c r="AF42">
        <v>-0.24464026825259799</v>
      </c>
      <c r="AG42">
        <v>-0.33435308606478714</v>
      </c>
      <c r="AH42">
        <v>-0.16340927054829377</v>
      </c>
      <c r="AI42">
        <v>-0.47224373847517609</v>
      </c>
      <c r="AJ42">
        <v>0.55522016376240124</v>
      </c>
      <c r="AK42">
        <v>0.32695582744038071</v>
      </c>
      <c r="AL42">
        <v>1.1140961443744466E-2</v>
      </c>
      <c r="AM42">
        <v>0.27674828409940866</v>
      </c>
      <c r="AN42">
        <v>0.32888043679997947</v>
      </c>
      <c r="AO42">
        <v>0.54170572521782345</v>
      </c>
      <c r="AP42">
        <v>1</v>
      </c>
    </row>
    <row r="43" spans="1:48" x14ac:dyDescent="0.25">
      <c r="A43" s="271" t="s">
        <v>288</v>
      </c>
      <c r="B43">
        <v>0.18048616298936257</v>
      </c>
      <c r="C43">
        <v>2.8379047087890432E-2</v>
      </c>
      <c r="D43">
        <v>-0.15699452839534114</v>
      </c>
      <c r="E43">
        <v>0.15512792099055031</v>
      </c>
      <c r="F43">
        <v>0.16341244914808833</v>
      </c>
      <c r="G43">
        <v>0.14373688073651542</v>
      </c>
      <c r="H43">
        <v>0.15068795540048188</v>
      </c>
      <c r="I43">
        <v>0.14698884798029796</v>
      </c>
      <c r="J43">
        <v>-9.9128686031865504E-2</v>
      </c>
      <c r="K43">
        <v>1.2826940344448916E-2</v>
      </c>
      <c r="L43">
        <v>-9.9630408258113909E-2</v>
      </c>
      <c r="M43">
        <v>-0.24157827132976947</v>
      </c>
      <c r="N43">
        <v>5.5877021321588956E-2</v>
      </c>
      <c r="O43">
        <v>9.8833728354990907E-2</v>
      </c>
      <c r="P43">
        <v>-9.9663094615274922E-2</v>
      </c>
      <c r="Q43">
        <v>0.19300400766149919</v>
      </c>
      <c r="R43">
        <v>0.19078587105716702</v>
      </c>
      <c r="S43">
        <v>0.14605409578708878</v>
      </c>
      <c r="T43">
        <v>0.16301806206528474</v>
      </c>
      <c r="U43">
        <v>0.17124349102064754</v>
      </c>
      <c r="V43">
        <v>-1.1761755022930639E-2</v>
      </c>
      <c r="W43">
        <v>0.14062035845197529</v>
      </c>
      <c r="X43">
        <v>-5.9864716973629481E-2</v>
      </c>
      <c r="Y43">
        <v>0.1023959072737695</v>
      </c>
      <c r="Z43">
        <v>-3.6253318126436257E-2</v>
      </c>
      <c r="AA43">
        <v>0.12284723079506625</v>
      </c>
      <c r="AB43">
        <v>0.14012730932095618</v>
      </c>
      <c r="AC43">
        <v>-4.4706997833483246E-2</v>
      </c>
      <c r="AD43">
        <v>-3.7451244271524894E-2</v>
      </c>
      <c r="AE43">
        <v>6.4042306683520039E-2</v>
      </c>
      <c r="AF43">
        <v>-0.1566814406592196</v>
      </c>
      <c r="AG43">
        <v>-0.15972587164542304</v>
      </c>
      <c r="AH43">
        <v>-4.287812732007501E-2</v>
      </c>
      <c r="AI43">
        <v>-0.18941864187917273</v>
      </c>
      <c r="AJ43">
        <v>0.13473713252207856</v>
      </c>
      <c r="AK43">
        <v>-5.4881848223259665E-2</v>
      </c>
      <c r="AL43">
        <v>-1.4709627523280026E-2</v>
      </c>
      <c r="AM43">
        <v>0.1779457484816179</v>
      </c>
      <c r="AN43">
        <v>6.7415354723671231E-2</v>
      </c>
      <c r="AO43">
        <v>0.5916471623814531</v>
      </c>
      <c r="AP43">
        <v>-0.3335572902314321</v>
      </c>
      <c r="AQ43">
        <v>1</v>
      </c>
    </row>
    <row r="44" spans="1:48" x14ac:dyDescent="0.25">
      <c r="A44" s="271" t="s">
        <v>289</v>
      </c>
      <c r="B44">
        <v>0.1117110325129153</v>
      </c>
      <c r="C44">
        <v>0.33025532414845549</v>
      </c>
      <c r="D44">
        <v>0.15968254454085506</v>
      </c>
      <c r="E44">
        <v>0.16386316734904985</v>
      </c>
      <c r="F44">
        <v>3.1282631272020217E-2</v>
      </c>
      <c r="G44">
        <v>0.20564557748356968</v>
      </c>
      <c r="H44">
        <v>0.19291142614479609</v>
      </c>
      <c r="I44">
        <v>0.24940651059737307</v>
      </c>
      <c r="J44">
        <v>0.35854011775687195</v>
      </c>
      <c r="K44">
        <v>0.2565184332598337</v>
      </c>
      <c r="L44">
        <v>0.34651580305222368</v>
      </c>
      <c r="M44">
        <v>0.30329438360910416</v>
      </c>
      <c r="N44">
        <v>0.1949750733761976</v>
      </c>
      <c r="O44">
        <v>6.7741749543300395E-2</v>
      </c>
      <c r="P44">
        <v>0.17497028380232907</v>
      </c>
      <c r="Q44">
        <v>3.8291239157153628E-2</v>
      </c>
      <c r="R44">
        <v>0.22155574795325392</v>
      </c>
      <c r="S44">
        <v>-2.3062126777465618E-2</v>
      </c>
      <c r="T44">
        <v>0.18122726260931146</v>
      </c>
      <c r="U44">
        <v>0.16997312239416104</v>
      </c>
      <c r="V44">
        <v>3.0994257280274832E-2</v>
      </c>
      <c r="W44">
        <v>0.28316441190915786</v>
      </c>
      <c r="X44">
        <v>0.16229259938224713</v>
      </c>
      <c r="Y44">
        <v>5.2476321205779412E-3</v>
      </c>
      <c r="Z44">
        <v>-0.17336629723526586</v>
      </c>
      <c r="AA44">
        <v>-0.3226676309147351</v>
      </c>
      <c r="AB44">
        <v>-0.27897543707726424</v>
      </c>
      <c r="AC44">
        <v>0.28653582406329442</v>
      </c>
      <c r="AD44">
        <v>-5.5694469123018587E-3</v>
      </c>
      <c r="AE44">
        <v>5.471920661593755E-2</v>
      </c>
      <c r="AF44">
        <v>0.17959055491031287</v>
      </c>
      <c r="AG44">
        <v>4.168966769116722E-2</v>
      </c>
      <c r="AH44">
        <v>-0.12570165279100867</v>
      </c>
      <c r="AI44">
        <v>-0.35584754478871444</v>
      </c>
      <c r="AJ44">
        <v>0.43211494283211244</v>
      </c>
      <c r="AK44">
        <v>0.31600151367969315</v>
      </c>
      <c r="AL44">
        <v>0.499466269836989</v>
      </c>
      <c r="AM44">
        <v>0.11021592181485684</v>
      </c>
      <c r="AN44">
        <v>0.44025367971716423</v>
      </c>
      <c r="AO44">
        <v>-0.42581510466612144</v>
      </c>
      <c r="AP44">
        <v>-6.0535100900261174E-3</v>
      </c>
      <c r="AQ44">
        <v>-0.47085319435174633</v>
      </c>
      <c r="AR44">
        <v>1</v>
      </c>
    </row>
    <row r="45" spans="1:48" x14ac:dyDescent="0.25">
      <c r="A45" s="272" t="s">
        <v>95</v>
      </c>
      <c r="B45">
        <v>0.18825626762797709</v>
      </c>
      <c r="C45">
        <v>4.8279751644393964E-2</v>
      </c>
      <c r="D45">
        <v>-0.15612218275204023</v>
      </c>
      <c r="E45">
        <v>0.27406776461152754</v>
      </c>
      <c r="F45">
        <v>0.30941427944112504</v>
      </c>
      <c r="G45">
        <v>0.10109409722611702</v>
      </c>
      <c r="H45">
        <v>0.13754783149505331</v>
      </c>
      <c r="I45">
        <v>9.7083742178985161E-2</v>
      </c>
      <c r="J45">
        <v>-4.6244493346615241E-2</v>
      </c>
      <c r="K45">
        <v>0.28266228460911413</v>
      </c>
      <c r="L45">
        <v>-6.1940601814876858E-2</v>
      </c>
      <c r="M45">
        <v>-0.12690032838640403</v>
      </c>
      <c r="N45">
        <v>-4.2202425412539496E-3</v>
      </c>
      <c r="O45">
        <v>0.1114271414806092</v>
      </c>
      <c r="P45">
        <v>-0.17943764264240797</v>
      </c>
      <c r="Q45">
        <v>0.19865411621443466</v>
      </c>
      <c r="R45">
        <v>0.22820133928796985</v>
      </c>
      <c r="S45">
        <v>0.17753008741301299</v>
      </c>
      <c r="T45">
        <v>0.23226596727141993</v>
      </c>
      <c r="U45">
        <v>0.21545273614817975</v>
      </c>
      <c r="V45">
        <v>1.1503151628307772E-2</v>
      </c>
      <c r="W45">
        <v>0.1595133941494582</v>
      </c>
      <c r="X45">
        <v>-6.7872647493969346E-2</v>
      </c>
      <c r="Y45">
        <v>0.17225463389630205</v>
      </c>
      <c r="Z45">
        <v>8.5970727257873872E-2</v>
      </c>
      <c r="AA45">
        <v>-0.10225160730677085</v>
      </c>
      <c r="AB45">
        <v>0.17454844928592037</v>
      </c>
      <c r="AC45">
        <v>0.48163583564710793</v>
      </c>
      <c r="AD45">
        <v>8.6261963990601122E-3</v>
      </c>
      <c r="AE45">
        <v>0.11927489793923235</v>
      </c>
      <c r="AF45">
        <v>0.19847920503380484</v>
      </c>
      <c r="AG45">
        <v>0.1908138557747526</v>
      </c>
      <c r="AH45">
        <v>3.4372490977064951E-3</v>
      </c>
      <c r="AI45">
        <v>-6.8591792364090215E-2</v>
      </c>
      <c r="AJ45">
        <v>0.2180638653562717</v>
      </c>
      <c r="AK45">
        <v>-0.24334620294042808</v>
      </c>
      <c r="AL45">
        <v>6.4204650655590695E-2</v>
      </c>
      <c r="AM45">
        <v>0.44575469880219509</v>
      </c>
      <c r="AN45">
        <v>0.20936492575198873</v>
      </c>
      <c r="AO45">
        <v>0.11840070775080359</v>
      </c>
      <c r="AP45">
        <v>0.10838419122139527</v>
      </c>
      <c r="AQ45">
        <v>3.6894192780402062E-2</v>
      </c>
      <c r="AR45">
        <v>0.10497433985685888</v>
      </c>
      <c r="AS45">
        <v>1</v>
      </c>
    </row>
    <row r="46" spans="1:48" x14ac:dyDescent="0.25">
      <c r="A46" s="272" t="s">
        <v>96</v>
      </c>
      <c r="B46">
        <v>0.23039153584490174</v>
      </c>
      <c r="C46">
        <v>0.41188594357299885</v>
      </c>
      <c r="D46">
        <v>-2.0621332289967858E-2</v>
      </c>
      <c r="E46">
        <v>0.38728168837123333</v>
      </c>
      <c r="F46">
        <v>0.28238998778494884</v>
      </c>
      <c r="G46">
        <v>0.40426349136732914</v>
      </c>
      <c r="H46">
        <v>0.42253451276258808</v>
      </c>
      <c r="I46">
        <v>0.40519683759790315</v>
      </c>
      <c r="J46">
        <v>0.19857880857192517</v>
      </c>
      <c r="K46">
        <v>0.33891710116040658</v>
      </c>
      <c r="L46">
        <v>0.17883880556887125</v>
      </c>
      <c r="M46">
        <v>-0.12595251380060041</v>
      </c>
      <c r="N46">
        <v>0.12811702872579478</v>
      </c>
      <c r="O46">
        <v>0.20986075858784597</v>
      </c>
      <c r="P46">
        <v>-4.4011199103980624E-2</v>
      </c>
      <c r="Q46">
        <v>0.38476968287082131</v>
      </c>
      <c r="R46">
        <v>0.48389196443076943</v>
      </c>
      <c r="S46">
        <v>0.39029702321346649</v>
      </c>
      <c r="T46">
        <v>0.40589594823910241</v>
      </c>
      <c r="U46">
        <v>0.29727988941476524</v>
      </c>
      <c r="V46">
        <v>1.095613950334931E-2</v>
      </c>
      <c r="W46">
        <v>0.41391048375452649</v>
      </c>
      <c r="X46">
        <v>0.1254078037782928</v>
      </c>
      <c r="Y46">
        <v>0.15829752986512319</v>
      </c>
      <c r="Z46">
        <v>-0.23971239636771915</v>
      </c>
      <c r="AA46">
        <v>-0.21548467650429737</v>
      </c>
      <c r="AB46">
        <v>-0.13420530046768361</v>
      </c>
      <c r="AC46">
        <v>0.51508842280419054</v>
      </c>
      <c r="AD46">
        <v>-1.458693690981591E-2</v>
      </c>
      <c r="AE46">
        <v>0.16520989854404711</v>
      </c>
      <c r="AF46">
        <v>0.17986644790388859</v>
      </c>
      <c r="AG46">
        <v>-6.1862569912431685E-2</v>
      </c>
      <c r="AH46">
        <v>1.8777884924521683E-2</v>
      </c>
      <c r="AI46">
        <v>-0.34169346373425824</v>
      </c>
      <c r="AJ46">
        <v>0.51469475664222319</v>
      </c>
      <c r="AK46">
        <v>0.35511378485804451</v>
      </c>
      <c r="AL46">
        <v>0.42517591357222606</v>
      </c>
      <c r="AM46">
        <v>0.1506223533769965</v>
      </c>
      <c r="AN46">
        <v>0.34357804414020299</v>
      </c>
      <c r="AO46">
        <v>0.14912186863360663</v>
      </c>
      <c r="AP46">
        <v>0.18975910777219621</v>
      </c>
      <c r="AQ46">
        <v>1.6929619859347836E-2</v>
      </c>
      <c r="AR46">
        <v>0.35861083156950019</v>
      </c>
      <c r="AS46">
        <v>0.31650251038326221</v>
      </c>
      <c r="AT46">
        <v>1</v>
      </c>
    </row>
    <row r="47" spans="1:48" x14ac:dyDescent="0.25">
      <c r="A47" s="272" t="s">
        <v>335</v>
      </c>
      <c r="B47">
        <v>0.21600158091256288</v>
      </c>
      <c r="C47">
        <v>-0.45565292538957469</v>
      </c>
      <c r="D47">
        <v>-0.54038933390116484</v>
      </c>
      <c r="E47">
        <v>-0.15520068521664312</v>
      </c>
      <c r="F47">
        <v>0.13544314256335602</v>
      </c>
      <c r="G47">
        <v>-0.25074432666259261</v>
      </c>
      <c r="H47">
        <v>-0.18432002377048617</v>
      </c>
      <c r="I47">
        <v>-0.29347758945166569</v>
      </c>
      <c r="J47">
        <v>-0.51735543948413976</v>
      </c>
      <c r="K47">
        <v>9.3298441495867968E-2</v>
      </c>
      <c r="L47">
        <v>-0.52355739717310656</v>
      </c>
      <c r="M47">
        <v>-0.38720576165536258</v>
      </c>
      <c r="N47">
        <v>-0.20382489814509533</v>
      </c>
      <c r="O47">
        <v>3.8485075913417224E-2</v>
      </c>
      <c r="P47">
        <v>-0.52072552864606636</v>
      </c>
      <c r="Q47">
        <v>9.2619490128468832E-2</v>
      </c>
      <c r="R47">
        <v>9.9466988618597488E-3</v>
      </c>
      <c r="S47">
        <v>0.22953489960094542</v>
      </c>
      <c r="T47">
        <v>2.3667424250139912E-2</v>
      </c>
      <c r="U47">
        <v>4.298101765904825E-2</v>
      </c>
      <c r="V47">
        <v>-0.28539832573446411</v>
      </c>
      <c r="W47">
        <v>-8.0619809036427112E-2</v>
      </c>
      <c r="X47">
        <v>-0.39805930513081977</v>
      </c>
      <c r="Y47">
        <v>0.29446132014339327</v>
      </c>
      <c r="Z47">
        <v>0.55478521165090267</v>
      </c>
      <c r="AA47">
        <v>0.24686132387236365</v>
      </c>
      <c r="AB47">
        <v>0.65942272454725559</v>
      </c>
      <c r="AC47">
        <v>-9.5822024306402742E-2</v>
      </c>
      <c r="AD47">
        <v>-4.5411679156120946E-2</v>
      </c>
      <c r="AE47">
        <v>-1.4750636576948617E-2</v>
      </c>
      <c r="AF47">
        <v>-0.3172519409902812</v>
      </c>
      <c r="AG47">
        <v>0.1735826181694293</v>
      </c>
      <c r="AH47">
        <v>-0.22612203076308254</v>
      </c>
      <c r="AI47">
        <v>-0.23538153327262942</v>
      </c>
      <c r="AJ47">
        <v>6.1294705061208821E-2</v>
      </c>
      <c r="AK47">
        <v>-0.36811356440183529</v>
      </c>
      <c r="AL47">
        <v>-0.15997253786559448</v>
      </c>
      <c r="AM47">
        <v>0.4894483168636094</v>
      </c>
      <c r="AN47">
        <v>0.39267998055802084</v>
      </c>
      <c r="AO47">
        <v>0.22222675565820119</v>
      </c>
      <c r="AP47">
        <v>0.10974771915293845</v>
      </c>
      <c r="AQ47">
        <v>0.11876933721255944</v>
      </c>
      <c r="AR47">
        <v>-0.14741444334409831</v>
      </c>
      <c r="AS47">
        <v>0.39338278314907832</v>
      </c>
      <c r="AT47">
        <v>-0.26384155339864346</v>
      </c>
      <c r="AU47">
        <v>1</v>
      </c>
    </row>
    <row r="48" spans="1:48" x14ac:dyDescent="0.25">
      <c r="A48" s="272" t="s">
        <v>28</v>
      </c>
      <c r="B48">
        <v>0.21812172104139976</v>
      </c>
      <c r="C48">
        <v>-9.7277490468509462E-2</v>
      </c>
      <c r="D48">
        <v>-0.32118844542552316</v>
      </c>
      <c r="E48">
        <v>9.9098761350979933E-2</v>
      </c>
      <c r="F48">
        <v>-6.6329614882764572E-3</v>
      </c>
      <c r="G48">
        <v>4.8211412610410738E-2</v>
      </c>
      <c r="H48">
        <v>9.2568279597894126E-2</v>
      </c>
      <c r="I48">
        <v>4.2766073764050561E-2</v>
      </c>
      <c r="J48">
        <v>-0.24589037097250041</v>
      </c>
      <c r="K48">
        <v>0.14699396813085253</v>
      </c>
      <c r="L48">
        <v>-0.25667616670210192</v>
      </c>
      <c r="M48">
        <v>-0.29848115459089763</v>
      </c>
      <c r="N48">
        <v>-1.7408068221342544E-2</v>
      </c>
      <c r="O48">
        <v>0.12008959397909494</v>
      </c>
      <c r="P48">
        <v>-0.30451229778301608</v>
      </c>
      <c r="Q48">
        <v>0.23441733981671367</v>
      </c>
      <c r="R48">
        <v>5.3635447694086062E-2</v>
      </c>
      <c r="S48">
        <v>0.39148767011946928</v>
      </c>
      <c r="T48">
        <v>0.10872943777207046</v>
      </c>
      <c r="U48">
        <v>0.12609984978394922</v>
      </c>
      <c r="V48">
        <v>-0.20433338817289795</v>
      </c>
      <c r="W48">
        <v>5.9114535360888093E-2</v>
      </c>
      <c r="X48">
        <v>-0.25782661016742053</v>
      </c>
      <c r="Y48">
        <v>0.23866735345760162</v>
      </c>
      <c r="Z48">
        <v>0.16743104547049828</v>
      </c>
      <c r="AA48">
        <v>0.17067226108389436</v>
      </c>
      <c r="AB48">
        <v>0.27457221816931648</v>
      </c>
      <c r="AC48">
        <v>0.22439959053989605</v>
      </c>
      <c r="AD48">
        <v>0.16391388048820074</v>
      </c>
      <c r="AE48">
        <v>-8.5253181701358399E-2</v>
      </c>
      <c r="AF48">
        <v>-1.9073428143659331E-2</v>
      </c>
      <c r="AG48">
        <v>0.14346450917568787</v>
      </c>
      <c r="AH48">
        <v>0.12059220912422146</v>
      </c>
      <c r="AI48">
        <v>0.12401434326522753</v>
      </c>
      <c r="AJ48">
        <v>-5.2133549016384333E-2</v>
      </c>
      <c r="AK48">
        <v>-0.20227617319151178</v>
      </c>
      <c r="AL48">
        <v>-0.36123595070107051</v>
      </c>
      <c r="AM48">
        <v>0.14651841907690497</v>
      </c>
      <c r="AN48">
        <v>-9.8242800559941224E-2</v>
      </c>
      <c r="AO48">
        <v>0.13478056688044354</v>
      </c>
      <c r="AP48">
        <v>7.8482580418564471E-2</v>
      </c>
      <c r="AQ48">
        <v>8.8409648401343452E-2</v>
      </c>
      <c r="AR48">
        <v>-0.23138135515146274</v>
      </c>
      <c r="AS48">
        <v>0.21163165698141001</v>
      </c>
      <c r="AT48">
        <v>-0.11988520309384722</v>
      </c>
      <c r="AU48">
        <v>8.9157713590995225E-2</v>
      </c>
      <c r="AV48">
        <v>1</v>
      </c>
    </row>
    <row r="49" spans="1:53" x14ac:dyDescent="0.25">
      <c r="A49" s="272" t="s">
        <v>290</v>
      </c>
      <c r="B49">
        <v>-0.2938057529547311</v>
      </c>
      <c r="C49">
        <v>1.9314390991829113E-2</v>
      </c>
      <c r="D49">
        <v>0.35963733114819185</v>
      </c>
      <c r="E49">
        <v>1.225846780141737E-2</v>
      </c>
      <c r="F49">
        <v>-8.6658255699659931E-2</v>
      </c>
      <c r="G49">
        <v>-0.19390291689191438</v>
      </c>
      <c r="H49">
        <v>-0.16472152845182944</v>
      </c>
      <c r="I49">
        <v>-9.6907969165573565E-2</v>
      </c>
      <c r="J49">
        <v>0.2213955638201848</v>
      </c>
      <c r="K49">
        <v>-3.0174829826834653E-2</v>
      </c>
      <c r="L49">
        <v>0.22496797546727063</v>
      </c>
      <c r="M49">
        <v>0.44999254427192853</v>
      </c>
      <c r="N49">
        <v>0.13616276795553489</v>
      </c>
      <c r="O49">
        <v>-5.3185986991936461E-2</v>
      </c>
      <c r="P49">
        <v>0.28313914458319145</v>
      </c>
      <c r="Q49">
        <v>-0.22962517090608886</v>
      </c>
      <c r="R49">
        <v>-0.28486306856969307</v>
      </c>
      <c r="S49">
        <v>-0.32266084330227618</v>
      </c>
      <c r="T49">
        <v>-0.2147914637773137</v>
      </c>
      <c r="U49">
        <v>-0.23197811559926279</v>
      </c>
      <c r="V49">
        <v>0.15036287949959271</v>
      </c>
      <c r="W49">
        <v>-0.23561722258125423</v>
      </c>
      <c r="X49">
        <v>0.15028555028820673</v>
      </c>
      <c r="Y49">
        <v>-0.32116797248958029</v>
      </c>
      <c r="Z49">
        <v>-0.11659698170010487</v>
      </c>
      <c r="AA49">
        <v>-0.32713897268752795</v>
      </c>
      <c r="AB49">
        <v>-0.31993521745503467</v>
      </c>
      <c r="AC49">
        <v>0.37548822242809426</v>
      </c>
      <c r="AD49">
        <v>-1.7123005642146569E-2</v>
      </c>
      <c r="AE49">
        <v>0.17862764149039531</v>
      </c>
      <c r="AF49">
        <v>0.57015834985800751</v>
      </c>
      <c r="AG49">
        <v>0.5172512404185855</v>
      </c>
      <c r="AH49">
        <v>0.29414962841313536</v>
      </c>
      <c r="AI49">
        <v>0.44332541886758087</v>
      </c>
      <c r="AJ49">
        <v>-0.20819455983506663</v>
      </c>
      <c r="AK49">
        <v>-0.21396057079441502</v>
      </c>
      <c r="AL49">
        <v>6.6957460462811813E-2</v>
      </c>
      <c r="AM49">
        <v>-3.6021165261962328E-2</v>
      </c>
      <c r="AN49">
        <v>-0.15498617458769601</v>
      </c>
      <c r="AO49">
        <v>-0.35574399044275673</v>
      </c>
      <c r="AP49">
        <v>-0.1947589076147237</v>
      </c>
      <c r="AQ49">
        <v>-0.21896046594451821</v>
      </c>
      <c r="AR49">
        <v>0.18460795109518613</v>
      </c>
      <c r="AS49">
        <v>0.4416521092380653</v>
      </c>
      <c r="AT49">
        <v>1.9532541413908443E-2</v>
      </c>
      <c r="AU49">
        <v>-0.23435948828220937</v>
      </c>
      <c r="AV49">
        <v>6.4334904192341807E-2</v>
      </c>
      <c r="AW49">
        <v>1</v>
      </c>
    </row>
    <row r="50" spans="1:53" x14ac:dyDescent="0.25">
      <c r="A50" s="272" t="s">
        <v>97</v>
      </c>
      <c r="B50">
        <v>-0.17254777370723631</v>
      </c>
      <c r="C50">
        <v>-5.3439834462040564E-2</v>
      </c>
      <c r="D50">
        <v>7.1532857667439595E-2</v>
      </c>
      <c r="E50">
        <v>-0.2630706751044819</v>
      </c>
      <c r="F50">
        <v>-0.22928497153054156</v>
      </c>
      <c r="G50">
        <v>-9.2157188651331531E-2</v>
      </c>
      <c r="H50">
        <v>-9.6044549788389263E-2</v>
      </c>
      <c r="I50">
        <v>-6.3771864729420855E-2</v>
      </c>
      <c r="J50">
        <v>-4.0689582659132945E-2</v>
      </c>
      <c r="K50">
        <v>-0.2565198953262956</v>
      </c>
      <c r="L50">
        <v>-3.1449565989807124E-2</v>
      </c>
      <c r="M50">
        <v>-1.269662612965148E-2</v>
      </c>
      <c r="N50">
        <v>9.8862886760997058E-3</v>
      </c>
      <c r="O50">
        <v>-7.2852501893237123E-2</v>
      </c>
      <c r="P50">
        <v>4.3855814987480798E-2</v>
      </c>
      <c r="Q50">
        <v>-3.2064898959439335E-2</v>
      </c>
      <c r="R50">
        <v>-0.124228764936003</v>
      </c>
      <c r="S50">
        <v>6.0467013038661725E-3</v>
      </c>
      <c r="T50">
        <v>-0.18647574826648669</v>
      </c>
      <c r="U50">
        <v>-0.26281292826726521</v>
      </c>
      <c r="V50">
        <v>-9.772053103181233E-2</v>
      </c>
      <c r="W50">
        <v>-0.19023391185922522</v>
      </c>
      <c r="X50">
        <v>3.5846318814137287E-2</v>
      </c>
      <c r="Y50">
        <v>-0.22922163039468363</v>
      </c>
      <c r="Z50">
        <v>-0.13092991100150936</v>
      </c>
      <c r="AA50">
        <v>3.7714697107167121E-2</v>
      </c>
      <c r="AB50">
        <v>-7.4122967439328044E-2</v>
      </c>
      <c r="AC50">
        <v>-0.18054482615704792</v>
      </c>
      <c r="AD50">
        <v>-6.2396258078619392E-2</v>
      </c>
      <c r="AE50">
        <v>4.1306481604019764E-2</v>
      </c>
      <c r="AF50">
        <v>8.7395415047415784E-2</v>
      </c>
      <c r="AG50">
        <v>-4.7150486896298326E-2</v>
      </c>
      <c r="AH50">
        <v>0.11323641808305911</v>
      </c>
      <c r="AI50">
        <v>2.8142645927549458E-2</v>
      </c>
      <c r="AJ50">
        <v>-5.9847831009652117E-2</v>
      </c>
      <c r="AK50">
        <v>0.13652716880713359</v>
      </c>
      <c r="AL50">
        <v>0.13988803542660022</v>
      </c>
      <c r="AM50">
        <v>-0.20766930343495354</v>
      </c>
      <c r="AN50">
        <v>-1.7256250409019173E-2</v>
      </c>
      <c r="AO50">
        <v>-7.2034990833394902E-2</v>
      </c>
      <c r="AP50">
        <v>-0.17807541044229927</v>
      </c>
      <c r="AQ50">
        <v>0.10493040867957906</v>
      </c>
      <c r="AR50">
        <v>-3.2153678506656923E-2</v>
      </c>
      <c r="AS50">
        <v>-0.27177728257527833</v>
      </c>
      <c r="AT50">
        <v>0.36359214942400259</v>
      </c>
      <c r="AU50">
        <v>-0.23059734102942178</v>
      </c>
      <c r="AV50">
        <v>-3.6159759967986885E-2</v>
      </c>
      <c r="AW50">
        <v>-0.21365708658818455</v>
      </c>
      <c r="AX50">
        <v>1</v>
      </c>
    </row>
    <row r="51" spans="1:53" x14ac:dyDescent="0.25">
      <c r="A51" s="272" t="s">
        <v>27</v>
      </c>
      <c r="B51">
        <v>0.26811420652289319</v>
      </c>
      <c r="C51">
        <v>-0.56656706534114143</v>
      </c>
      <c r="D51">
        <v>-0.64625844740662053</v>
      </c>
      <c r="E51">
        <v>-0.1809624745580847</v>
      </c>
      <c r="F51">
        <v>7.8785496839298086E-2</v>
      </c>
      <c r="G51">
        <v>-0.31998667515652429</v>
      </c>
      <c r="H51">
        <v>-0.30409479506658743</v>
      </c>
      <c r="I51">
        <v>-0.40549627613217182</v>
      </c>
      <c r="J51">
        <v>-0.61663954488552919</v>
      </c>
      <c r="K51">
        <v>3.7977896616972762E-2</v>
      </c>
      <c r="L51">
        <v>-0.62060133713658039</v>
      </c>
      <c r="M51">
        <v>-0.43987218767927899</v>
      </c>
      <c r="N51">
        <v>-0.31929662310690582</v>
      </c>
      <c r="O51">
        <v>-0.11361747575956238</v>
      </c>
      <c r="P51">
        <v>-0.57697076738635655</v>
      </c>
      <c r="Q51">
        <v>9.8270610270440692E-2</v>
      </c>
      <c r="R51">
        <v>-8.6102219456015719E-2</v>
      </c>
      <c r="S51">
        <v>0.24974930392185019</v>
      </c>
      <c r="T51">
        <v>-2.6196364484144592E-2</v>
      </c>
      <c r="U51">
        <v>-9.0448289653284192E-3</v>
      </c>
      <c r="V51">
        <v>-0.45630679613949404</v>
      </c>
      <c r="W51">
        <v>-0.16486792795181265</v>
      </c>
      <c r="X51">
        <v>-0.58272779343868508</v>
      </c>
      <c r="Y51">
        <v>0.32344396291156163</v>
      </c>
      <c r="Z51">
        <v>0.66480038698783783</v>
      </c>
      <c r="AA51">
        <v>0.34842257277120958</v>
      </c>
      <c r="AB51">
        <v>0.75854578849943421</v>
      </c>
      <c r="AC51">
        <v>-0.28649168736467784</v>
      </c>
      <c r="AD51">
        <v>-5.4891284025207446E-2</v>
      </c>
      <c r="AE51">
        <v>-9.2205188499006191E-2</v>
      </c>
      <c r="AF51">
        <v>-0.50760703495678072</v>
      </c>
      <c r="AG51">
        <v>0.10886211998454098</v>
      </c>
      <c r="AH51">
        <v>-0.32429318497873855</v>
      </c>
      <c r="AI51">
        <v>-0.22252296769257038</v>
      </c>
      <c r="AJ51">
        <v>-2.0869006804088111E-2</v>
      </c>
      <c r="AK51">
        <v>-0.3808619650761883</v>
      </c>
      <c r="AL51">
        <v>-0.36136885369061617</v>
      </c>
      <c r="AM51">
        <v>0.40865700635372909</v>
      </c>
      <c r="AN51">
        <v>0.34126086260736277</v>
      </c>
      <c r="AO51">
        <v>0.23236344491598065</v>
      </c>
      <c r="AP51">
        <v>0.1037383790414393</v>
      </c>
      <c r="AQ51">
        <v>0.11460696870079103</v>
      </c>
      <c r="AR51">
        <v>-0.23203977504765638</v>
      </c>
      <c r="AS51">
        <v>0.33861996127954153</v>
      </c>
      <c r="AT51">
        <v>-0.33648802981153181</v>
      </c>
      <c r="AU51">
        <v>0.85135550832210372</v>
      </c>
      <c r="AV51">
        <v>0.20351142953718174</v>
      </c>
      <c r="AW51">
        <v>-0.1995232412766087</v>
      </c>
      <c r="AX51">
        <v>-0.19632031648982903</v>
      </c>
      <c r="AY51">
        <v>1</v>
      </c>
    </row>
    <row r="52" spans="1:53" x14ac:dyDescent="0.25">
      <c r="A52" s="272" t="s">
        <v>98</v>
      </c>
      <c r="B52">
        <v>0.12187476933853529</v>
      </c>
      <c r="C52">
        <v>0.30728028260811369</v>
      </c>
      <c r="D52">
        <v>2.0345979397979597E-2</v>
      </c>
      <c r="E52">
        <v>0.15920066700085905</v>
      </c>
      <c r="F52">
        <v>0.21383593650182947</v>
      </c>
      <c r="G52">
        <v>0.27670917600621703</v>
      </c>
      <c r="H52">
        <v>0.27978740146629916</v>
      </c>
      <c r="I52">
        <v>0.25366275266425858</v>
      </c>
      <c r="J52">
        <v>0.18031735891062237</v>
      </c>
      <c r="K52">
        <v>0.1868872197913452</v>
      </c>
      <c r="L52">
        <v>0.17020860418663394</v>
      </c>
      <c r="M52">
        <v>-7.1709945137576683E-2</v>
      </c>
      <c r="N52">
        <v>5.0488222921042492E-2</v>
      </c>
      <c r="O52">
        <v>0.13959363900432434</v>
      </c>
      <c r="P52">
        <v>1.7752003048827996E-2</v>
      </c>
      <c r="Q52">
        <v>0.23075318746050591</v>
      </c>
      <c r="R52">
        <v>0.37373566855270957</v>
      </c>
      <c r="S52">
        <v>0.23087603113003849</v>
      </c>
      <c r="T52">
        <v>0.24390101856857396</v>
      </c>
      <c r="U52">
        <v>0.18434468725165887</v>
      </c>
      <c r="V52">
        <v>3.4563422640561073E-2</v>
      </c>
      <c r="W52">
        <v>0.30029807133232184</v>
      </c>
      <c r="X52">
        <v>0.15434682821017393</v>
      </c>
      <c r="Y52">
        <v>8.8996771222908957E-2</v>
      </c>
      <c r="Z52">
        <v>-0.17134593124653116</v>
      </c>
      <c r="AA52">
        <v>-0.1468554957876757</v>
      </c>
      <c r="AB52">
        <v>-0.12716533397097543</v>
      </c>
      <c r="AC52">
        <v>0.11738995102695883</v>
      </c>
      <c r="AD52">
        <v>-3.2994574450469272E-2</v>
      </c>
      <c r="AE52">
        <v>-5.9450430935632944E-4</v>
      </c>
      <c r="AF52">
        <v>-4.6913269567735297E-2</v>
      </c>
      <c r="AG52">
        <v>-0.21188018607285788</v>
      </c>
      <c r="AH52">
        <v>-0.13094192923473585</v>
      </c>
      <c r="AI52">
        <v>-0.39668365810879624</v>
      </c>
      <c r="AJ52">
        <v>0.39524081529147514</v>
      </c>
      <c r="AK52">
        <v>0.33075161283297477</v>
      </c>
      <c r="AL52">
        <v>0.4005483259116423</v>
      </c>
      <c r="AM52">
        <v>6.3222788466450991E-2</v>
      </c>
      <c r="AN52">
        <v>0.29561858165866034</v>
      </c>
      <c r="AO52">
        <v>8.8396357593568883E-2</v>
      </c>
      <c r="AP52">
        <v>0.1478802134590094</v>
      </c>
      <c r="AQ52">
        <v>-2.3619016275152603E-3</v>
      </c>
      <c r="AR52">
        <v>0.32537402439384006</v>
      </c>
      <c r="AS52">
        <v>-2.1591446546205727E-2</v>
      </c>
      <c r="AT52">
        <v>0.77715357513300221</v>
      </c>
      <c r="AU52">
        <v>-0.11673659723144549</v>
      </c>
      <c r="AV52">
        <v>-0.45539736114855395</v>
      </c>
      <c r="AW52">
        <v>-0.33648846903856627</v>
      </c>
      <c r="AX52">
        <v>0.34775764963387118</v>
      </c>
      <c r="AY52">
        <v>-0.30918479602858573</v>
      </c>
      <c r="AZ52">
        <v>1</v>
      </c>
    </row>
    <row r="53" spans="1:53" ht="15.75" thickBot="1" x14ac:dyDescent="0.3">
      <c r="A53" s="272" t="s">
        <v>99</v>
      </c>
      <c r="B53" s="265">
        <v>0.39578077419385788</v>
      </c>
      <c r="C53" s="265">
        <v>0.49978050234023969</v>
      </c>
      <c r="D53" s="265">
        <v>-5.2634276057369193E-2</v>
      </c>
      <c r="E53" s="265">
        <v>0.35364978637570599</v>
      </c>
      <c r="F53" s="265">
        <v>0.36466353101253762</v>
      </c>
      <c r="G53" s="265">
        <v>0.49417377100575094</v>
      </c>
      <c r="H53" s="265">
        <v>0.40251938206416804</v>
      </c>
      <c r="I53" s="265">
        <v>0.34450699872379809</v>
      </c>
      <c r="J53" s="265">
        <v>0.36663473164666499</v>
      </c>
      <c r="K53" s="265">
        <v>0.12776641781551379</v>
      </c>
      <c r="L53" s="265">
        <v>0.359992279116436</v>
      </c>
      <c r="M53" s="265">
        <v>-7.8358348634623189E-3</v>
      </c>
      <c r="N53" s="265">
        <v>-0.11909115439480591</v>
      </c>
      <c r="O53" s="265">
        <v>2.2020795249205138E-3</v>
      </c>
      <c r="P53" s="265">
        <v>0.20659991925619736</v>
      </c>
      <c r="Q53" s="265">
        <v>0.40478144886885653</v>
      </c>
      <c r="R53" s="265">
        <v>0.35994039162206765</v>
      </c>
      <c r="S53" s="265">
        <v>8.5194935131756563E-2</v>
      </c>
      <c r="T53" s="265">
        <v>0.44561454108723342</v>
      </c>
      <c r="U53" s="265">
        <v>0.39821540959850765</v>
      </c>
      <c r="V53" s="265">
        <v>-8.2974659905417927E-2</v>
      </c>
      <c r="W53" s="265">
        <v>0.43473873862280549</v>
      </c>
      <c r="X53" s="265">
        <v>-7.1763932291873819E-2</v>
      </c>
      <c r="Y53" s="265">
        <v>0.26898998150518616</v>
      </c>
      <c r="Z53" s="265">
        <v>-0.21101888382888875</v>
      </c>
      <c r="AA53" s="265">
        <v>0.12682092432980019</v>
      </c>
      <c r="AB53" s="265">
        <v>-0.16262376122593331</v>
      </c>
      <c r="AC53" s="265">
        <v>0.17725600513819639</v>
      </c>
      <c r="AD53" s="265">
        <v>-1.379449349123966E-2</v>
      </c>
      <c r="AE53" s="265">
        <v>0.10260710406729452</v>
      </c>
      <c r="AF53" s="265">
        <v>-0.14059684168147007</v>
      </c>
      <c r="AG53" s="265">
        <v>-0.38709671624312403</v>
      </c>
      <c r="AH53" s="265">
        <v>-3.3216931806470555E-2</v>
      </c>
      <c r="AI53" s="265">
        <v>-0.35289604485556764</v>
      </c>
      <c r="AJ53" s="265">
        <v>0.45802237598330392</v>
      </c>
      <c r="AK53" s="265">
        <v>0.43186905250631202</v>
      </c>
      <c r="AL53" s="265">
        <v>0.13032728847571834</v>
      </c>
      <c r="AM53" s="265">
        <v>3.8093996093220804E-2</v>
      </c>
      <c r="AN53" s="265">
        <v>0.17824040836405852</v>
      </c>
      <c r="AO53" s="265">
        <v>0.36873677885295458</v>
      </c>
      <c r="AP53" s="265">
        <v>0.30606443671138622</v>
      </c>
      <c r="AQ53" s="265">
        <v>8.7162946848607606E-2</v>
      </c>
      <c r="AR53" s="265">
        <v>0.10585716369132529</v>
      </c>
      <c r="AS53" s="265">
        <v>-2.8862395509320481E-2</v>
      </c>
      <c r="AT53" s="265">
        <v>0.14922237256666029</v>
      </c>
      <c r="AU53" s="265">
        <v>-0.17068856368099569</v>
      </c>
      <c r="AV53" s="265">
        <v>-0.27361534589115472</v>
      </c>
      <c r="AW53" s="265">
        <v>-0.15814935708799094</v>
      </c>
      <c r="AX53" s="265">
        <v>-0.15561060274243485</v>
      </c>
      <c r="AY53" s="265">
        <v>-0.14531664889740414</v>
      </c>
      <c r="AZ53" s="265">
        <v>0.14496732772486054</v>
      </c>
      <c r="BA53" s="265">
        <v>1</v>
      </c>
    </row>
  </sheetData>
  <conditionalFormatting sqref="A18:A2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:BA53 B3:AF3 AH3:BA3 AA2:AB2 AS2:BA2 B2:Q2 R1:Y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734E-5D05-439C-B25B-D1E5B6F4F1FB}">
  <dimension ref="A1:Y526"/>
  <sheetViews>
    <sheetView zoomScale="70" zoomScaleNormal="70" workbookViewId="0"/>
  </sheetViews>
  <sheetFormatPr defaultRowHeight="15" x14ac:dyDescent="0.25"/>
  <cols>
    <col min="1" max="1" width="24.140625" style="7" customWidth="1"/>
    <col min="2" max="3" width="9.140625" style="7"/>
    <col min="4" max="4" width="10.140625" style="7" bestFit="1" customWidth="1"/>
    <col min="5" max="17" width="9.140625" style="7"/>
    <col min="18" max="25" width="10.7109375" style="7" customWidth="1"/>
    <col min="26" max="16384" width="9.140625" style="7"/>
  </cols>
  <sheetData>
    <row r="1" spans="1:25" ht="59.1" customHeight="1" x14ac:dyDescent="0.25">
      <c r="A1" s="9" t="s">
        <v>91</v>
      </c>
      <c r="B1" s="25" t="s">
        <v>18</v>
      </c>
      <c r="C1" s="25" t="s">
        <v>20</v>
      </c>
      <c r="D1" s="25" t="s">
        <v>40</v>
      </c>
      <c r="E1" s="25" t="s">
        <v>39</v>
      </c>
      <c r="F1" s="25" t="s">
        <v>15</v>
      </c>
      <c r="G1" s="25" t="s">
        <v>13</v>
      </c>
      <c r="H1" s="25" t="s">
        <v>38</v>
      </c>
      <c r="I1" s="25" t="s">
        <v>10</v>
      </c>
      <c r="J1" s="25" t="s">
        <v>9</v>
      </c>
      <c r="K1" s="25" t="s">
        <v>36</v>
      </c>
      <c r="L1" s="25" t="s">
        <v>8</v>
      </c>
      <c r="M1" s="25" t="s">
        <v>31</v>
      </c>
      <c r="N1" s="25" t="s">
        <v>30</v>
      </c>
      <c r="O1" s="25" t="s">
        <v>29</v>
      </c>
      <c r="P1" s="25" t="s">
        <v>288</v>
      </c>
      <c r="Q1" s="25" t="s">
        <v>289</v>
      </c>
      <c r="R1" s="25" t="s">
        <v>95</v>
      </c>
      <c r="S1" s="25" t="s">
        <v>96</v>
      </c>
      <c r="T1" s="25" t="s">
        <v>28</v>
      </c>
      <c r="U1" s="25" t="s">
        <v>290</v>
      </c>
      <c r="V1" s="25" t="s">
        <v>97</v>
      </c>
      <c r="W1" s="25" t="s">
        <v>27</v>
      </c>
      <c r="X1" s="25" t="s">
        <v>98</v>
      </c>
      <c r="Y1" s="25" t="s">
        <v>99</v>
      </c>
    </row>
    <row r="2" spans="1:25" x14ac:dyDescent="0.25">
      <c r="A2" s="13" t="s">
        <v>2</v>
      </c>
      <c r="B2" s="8"/>
      <c r="C2" s="8">
        <v>0.13</v>
      </c>
      <c r="D2" s="8">
        <v>0.7726737338044759</v>
      </c>
      <c r="E2" s="8">
        <v>0.70906949352179038</v>
      </c>
      <c r="F2" s="8">
        <v>0.33300000000000002</v>
      </c>
      <c r="G2" s="8">
        <v>0.12</v>
      </c>
      <c r="H2" s="8">
        <v>0.51500000000000001</v>
      </c>
      <c r="I2" s="8">
        <v>0.59068865179437435</v>
      </c>
      <c r="J2" s="8">
        <v>0.105</v>
      </c>
      <c r="K2" s="8">
        <v>0.12367491166077739</v>
      </c>
      <c r="L2" s="8">
        <v>0.8076923076923076</v>
      </c>
      <c r="M2" s="8">
        <v>0.12512124151309406</v>
      </c>
      <c r="N2" s="8">
        <v>2.0975609756097562</v>
      </c>
      <c r="O2" s="8">
        <v>0.303886925795053</v>
      </c>
      <c r="P2" s="8">
        <v>1.1637931034482758</v>
      </c>
      <c r="Q2" s="8">
        <v>1.911111111111111</v>
      </c>
      <c r="R2" s="7">
        <v>0</v>
      </c>
      <c r="S2" s="7">
        <v>2</v>
      </c>
      <c r="T2" s="7">
        <v>0</v>
      </c>
      <c r="U2" s="7">
        <v>0</v>
      </c>
      <c r="V2" s="7">
        <v>1</v>
      </c>
      <c r="W2" s="7">
        <v>0</v>
      </c>
      <c r="X2" s="7">
        <v>1</v>
      </c>
      <c r="Y2" s="7">
        <v>0</v>
      </c>
    </row>
    <row r="3" spans="1:25" x14ac:dyDescent="0.25">
      <c r="A3" s="13" t="s">
        <v>1</v>
      </c>
      <c r="B3" s="8">
        <v>1.4410000000000001</v>
      </c>
      <c r="C3" s="8">
        <v>0.14099999999999999</v>
      </c>
      <c r="D3" s="8">
        <v>0.73430962343096229</v>
      </c>
      <c r="E3" s="8">
        <v>0.73430962343096229</v>
      </c>
      <c r="F3" s="8">
        <v>0.308</v>
      </c>
      <c r="G3" s="8">
        <v>0.17199999999999999</v>
      </c>
      <c r="H3" s="8">
        <v>0.67500000000000004</v>
      </c>
      <c r="I3" s="8">
        <v>0.54911242603550292</v>
      </c>
      <c r="J3" s="8">
        <v>0.13500000000000001</v>
      </c>
      <c r="K3" s="8">
        <v>0.14121338912133893</v>
      </c>
      <c r="L3" s="8">
        <v>0.95744680851063846</v>
      </c>
      <c r="M3" s="8">
        <v>0.10887573964497042</v>
      </c>
      <c r="N3" s="8">
        <v>1.3869346733668342</v>
      </c>
      <c r="O3" s="8">
        <v>0.28870292887029292</v>
      </c>
      <c r="P3" s="8">
        <v>0.86585365853658525</v>
      </c>
      <c r="Q3" s="8">
        <v>1.9436619718309862</v>
      </c>
      <c r="R3" s="7">
        <v>0</v>
      </c>
      <c r="S3" s="7">
        <v>2</v>
      </c>
      <c r="T3" s="7">
        <v>0</v>
      </c>
      <c r="U3" s="7">
        <v>0</v>
      </c>
      <c r="V3" s="7">
        <v>1</v>
      </c>
      <c r="W3" s="7">
        <v>0</v>
      </c>
      <c r="X3" s="7">
        <v>1</v>
      </c>
      <c r="Y3" s="7">
        <v>0</v>
      </c>
    </row>
    <row r="4" spans="1:25" x14ac:dyDescent="0.25">
      <c r="A4" s="13" t="s">
        <v>0</v>
      </c>
      <c r="B4" s="8">
        <v>1.6150000000000002</v>
      </c>
      <c r="C4" s="8">
        <v>0.124</v>
      </c>
      <c r="D4" s="8">
        <v>0.76558139534883718</v>
      </c>
      <c r="E4" s="8">
        <v>0.7897674418604651</v>
      </c>
      <c r="F4" s="8">
        <v>0.33400000000000002</v>
      </c>
      <c r="G4" s="8">
        <v>0.123</v>
      </c>
      <c r="H4" s="8">
        <v>0.59199999999999997</v>
      </c>
      <c r="I4" s="8">
        <v>0.56858306926210955</v>
      </c>
      <c r="J4" s="8">
        <v>0.105</v>
      </c>
      <c r="K4" s="8">
        <v>9.7674418604651161E-2</v>
      </c>
      <c r="L4" s="8">
        <v>0.84677419354838712</v>
      </c>
      <c r="M4" s="8">
        <v>0.12992304210049796</v>
      </c>
      <c r="N4" s="8">
        <v>1.9523809523809523</v>
      </c>
      <c r="O4" s="8">
        <v>0.2669767441860465</v>
      </c>
      <c r="P4" s="8">
        <v>0.98561151079136688</v>
      </c>
      <c r="Q4" s="8">
        <v>2.0948905109489049</v>
      </c>
      <c r="R4" s="7">
        <v>0</v>
      </c>
      <c r="S4" s="7">
        <v>2</v>
      </c>
      <c r="T4" s="7">
        <v>0</v>
      </c>
      <c r="U4" s="7">
        <v>0</v>
      </c>
      <c r="V4" s="7">
        <v>1</v>
      </c>
      <c r="W4" s="7">
        <v>0</v>
      </c>
      <c r="X4" s="7">
        <v>1</v>
      </c>
      <c r="Y4" s="7">
        <v>0</v>
      </c>
    </row>
    <row r="5" spans="1:25" x14ac:dyDescent="0.25">
      <c r="A5" s="13" t="s">
        <v>100</v>
      </c>
      <c r="B5" s="8">
        <v>1.4159999999999999</v>
      </c>
      <c r="C5" s="8">
        <v>0.14399999999999999</v>
      </c>
      <c r="D5" s="8">
        <v>0.7649572649572649</v>
      </c>
      <c r="E5" s="8">
        <v>0.82585470085470081</v>
      </c>
      <c r="F5" s="8">
        <v>0.34799999999999998</v>
      </c>
      <c r="G5" s="8">
        <v>0.125</v>
      </c>
      <c r="H5" s="8">
        <v>0.60699999999999998</v>
      </c>
      <c r="I5" s="8">
        <v>0.56915598762704378</v>
      </c>
      <c r="J5" s="8">
        <v>0.128</v>
      </c>
      <c r="K5" s="8">
        <v>0.13675213675213674</v>
      </c>
      <c r="L5" s="8">
        <v>0.88888888888888895</v>
      </c>
      <c r="M5" s="8">
        <v>0.10782147591692444</v>
      </c>
      <c r="N5" s="8">
        <v>2.1785714285714284</v>
      </c>
      <c r="O5" s="8">
        <v>0.26068376068376065</v>
      </c>
      <c r="P5" s="8">
        <v>1.2</v>
      </c>
      <c r="Q5" s="8">
        <v>1.6944444444444446</v>
      </c>
      <c r="R5" s="7">
        <v>0</v>
      </c>
      <c r="S5" s="7">
        <v>2</v>
      </c>
      <c r="T5" s="7">
        <v>0</v>
      </c>
      <c r="U5" s="7">
        <v>0</v>
      </c>
      <c r="V5" s="7">
        <v>1</v>
      </c>
      <c r="W5" s="7">
        <v>0</v>
      </c>
      <c r="X5" s="7">
        <v>1</v>
      </c>
      <c r="Y5" s="7">
        <v>0</v>
      </c>
    </row>
    <row r="6" spans="1:25" x14ac:dyDescent="0.25">
      <c r="A6" s="13" t="s">
        <v>101</v>
      </c>
      <c r="B6" s="8">
        <v>1.095</v>
      </c>
      <c r="C6" s="8">
        <v>0.13800000000000001</v>
      </c>
      <c r="D6" s="8">
        <v>0.64271047227926081</v>
      </c>
      <c r="E6" s="8">
        <v>0.67248459958932238</v>
      </c>
      <c r="F6" s="8">
        <v>0.38</v>
      </c>
      <c r="G6" s="8">
        <v>0.14799999999999999</v>
      </c>
      <c r="H6" s="8">
        <v>0.622</v>
      </c>
      <c r="I6" s="8">
        <v>0.61297852474323067</v>
      </c>
      <c r="J6" s="8">
        <v>0.11899999999999999</v>
      </c>
      <c r="K6" s="8">
        <v>0.12217659137577001</v>
      </c>
      <c r="L6" s="8">
        <v>0.86231884057971009</v>
      </c>
      <c r="M6" s="8">
        <v>0.12324929971988796</v>
      </c>
      <c r="N6" s="8">
        <v>1.859154929577465</v>
      </c>
      <c r="O6" s="8">
        <v>0.27104722792607805</v>
      </c>
      <c r="P6" s="8">
        <v>0.69934640522875813</v>
      </c>
      <c r="Q6" s="8">
        <v>2.4672897196261685</v>
      </c>
      <c r="R6" s="7">
        <v>0</v>
      </c>
      <c r="S6" s="7">
        <v>2</v>
      </c>
      <c r="T6" s="7">
        <v>0</v>
      </c>
      <c r="U6" s="7">
        <v>0</v>
      </c>
      <c r="V6" s="7">
        <v>1</v>
      </c>
      <c r="W6" s="7">
        <v>0</v>
      </c>
      <c r="X6" s="7">
        <v>1</v>
      </c>
      <c r="Y6" s="7">
        <v>0</v>
      </c>
    </row>
    <row r="7" spans="1:25" x14ac:dyDescent="0.25">
      <c r="A7" s="13" t="s">
        <v>102</v>
      </c>
      <c r="B7" s="8">
        <v>1.2549999999999999</v>
      </c>
      <c r="C7" s="8">
        <v>0.115</v>
      </c>
      <c r="D7" s="8">
        <v>0.67070217917675556</v>
      </c>
      <c r="E7" s="8">
        <v>0.68159806295399517</v>
      </c>
      <c r="F7" s="8">
        <v>0.317</v>
      </c>
      <c r="G7" s="8">
        <v>0.128</v>
      </c>
      <c r="H7" s="8">
        <v>0.47699999999999998</v>
      </c>
      <c r="I7" s="8">
        <v>0.64118001204093911</v>
      </c>
      <c r="J7" s="8">
        <v>8.7999999999999995E-2</v>
      </c>
      <c r="K7" s="8">
        <v>0.10653753026634383</v>
      </c>
      <c r="L7" s="8">
        <v>0.76521739130434774</v>
      </c>
      <c r="M7" s="8">
        <v>0.13305237808549067</v>
      </c>
      <c r="N7" s="8">
        <v>1.8416666666666668</v>
      </c>
      <c r="O7" s="8">
        <v>0.26755447941888622</v>
      </c>
      <c r="P7" s="8">
        <v>0.71698113207547165</v>
      </c>
      <c r="Q7" s="8">
        <v>2.9078947368421053</v>
      </c>
      <c r="R7" s="7">
        <v>0</v>
      </c>
      <c r="S7" s="7">
        <v>2</v>
      </c>
      <c r="T7" s="7">
        <v>0</v>
      </c>
      <c r="U7" s="7">
        <v>0</v>
      </c>
      <c r="V7" s="7">
        <v>1</v>
      </c>
      <c r="W7" s="7">
        <v>0</v>
      </c>
      <c r="X7" s="7">
        <v>1</v>
      </c>
      <c r="Y7" s="7">
        <v>0</v>
      </c>
    </row>
    <row r="8" spans="1:25" x14ac:dyDescent="0.25">
      <c r="A8" s="13" t="s">
        <v>103</v>
      </c>
      <c r="B8" s="8"/>
      <c r="C8" s="8">
        <v>0.127</v>
      </c>
      <c r="D8" s="8">
        <v>0.70341207349081369</v>
      </c>
      <c r="E8" s="8">
        <v>0.68766404199475073</v>
      </c>
      <c r="F8" s="8">
        <v>0.31</v>
      </c>
      <c r="G8" s="8">
        <v>0.115</v>
      </c>
      <c r="H8" s="8">
        <v>0.443</v>
      </c>
      <c r="I8" s="8">
        <v>0.5934699103713188</v>
      </c>
      <c r="J8" s="8">
        <v>8.1000000000000003E-2</v>
      </c>
      <c r="K8" s="8">
        <v>0.1062992125984252</v>
      </c>
      <c r="L8" s="8">
        <v>0.63779527559055116</v>
      </c>
      <c r="M8" s="8">
        <v>0.13892445582586427</v>
      </c>
      <c r="N8" s="8">
        <v>1.8235294117647058</v>
      </c>
      <c r="O8" s="8">
        <v>0.28477690288713908</v>
      </c>
      <c r="P8" s="8">
        <v>0.97115384615384626</v>
      </c>
      <c r="Q8" s="8">
        <v>2.1485148514851482</v>
      </c>
      <c r="R8" s="7">
        <v>0</v>
      </c>
      <c r="S8" s="7">
        <v>2</v>
      </c>
      <c r="T8" s="7">
        <v>0</v>
      </c>
      <c r="U8" s="7">
        <v>0</v>
      </c>
      <c r="V8" s="7">
        <v>1</v>
      </c>
      <c r="W8" s="7">
        <v>0</v>
      </c>
      <c r="X8" s="7">
        <v>1</v>
      </c>
      <c r="Y8" s="7">
        <v>0</v>
      </c>
    </row>
    <row r="9" spans="1:25" x14ac:dyDescent="0.25">
      <c r="A9" s="13" t="s">
        <v>104</v>
      </c>
      <c r="B9" s="8">
        <v>1.3890000000000002</v>
      </c>
      <c r="C9" s="8">
        <v>0.128</v>
      </c>
      <c r="D9" s="8">
        <v>0.70495767835550183</v>
      </c>
      <c r="E9" s="8">
        <v>0.67714631197097952</v>
      </c>
      <c r="F9" s="8">
        <v>0.29899999999999999</v>
      </c>
      <c r="G9" s="8">
        <v>0.13600000000000001</v>
      </c>
      <c r="H9" s="8">
        <v>0.498</v>
      </c>
      <c r="I9" s="8">
        <v>0.595707656612529</v>
      </c>
      <c r="J9" s="8">
        <v>0.1</v>
      </c>
      <c r="K9" s="8">
        <v>0.12091898428053206</v>
      </c>
      <c r="L9" s="8">
        <v>0.78125</v>
      </c>
      <c r="M9" s="8">
        <v>0.12180974477958237</v>
      </c>
      <c r="N9" s="8">
        <v>1.6935483870967742</v>
      </c>
      <c r="O9" s="8">
        <v>0.25392986698911729</v>
      </c>
      <c r="P9" s="8">
        <v>0.76033057851239672</v>
      </c>
      <c r="Q9" s="8">
        <v>2.2826086956521738</v>
      </c>
      <c r="R9" s="7">
        <v>0</v>
      </c>
      <c r="S9" s="7">
        <v>2</v>
      </c>
      <c r="T9" s="7">
        <v>0</v>
      </c>
      <c r="U9" s="7">
        <v>0</v>
      </c>
      <c r="V9" s="7">
        <v>1</v>
      </c>
      <c r="W9" s="7">
        <v>0</v>
      </c>
      <c r="X9" s="7">
        <v>1</v>
      </c>
      <c r="Y9" s="7">
        <v>0</v>
      </c>
    </row>
    <row r="10" spans="1:25" x14ac:dyDescent="0.25">
      <c r="A10" s="13" t="s">
        <v>105</v>
      </c>
      <c r="B10" s="8">
        <v>1.3160000000000003</v>
      </c>
      <c r="C10" s="8">
        <v>0.128</v>
      </c>
      <c r="D10" s="8">
        <v>0.76636713735558404</v>
      </c>
      <c r="E10" s="8">
        <v>0.73812580231065461</v>
      </c>
      <c r="F10" s="8">
        <v>0.30399999999999999</v>
      </c>
      <c r="G10" s="8">
        <v>0.11700000000000001</v>
      </c>
      <c r="H10" s="8">
        <v>0.45800000000000002</v>
      </c>
      <c r="I10" s="8">
        <v>0.65489957395009146</v>
      </c>
      <c r="J10" s="8">
        <v>8.5000000000000006E-2</v>
      </c>
      <c r="K10" s="8">
        <v>0.10911424903722722</v>
      </c>
      <c r="L10" s="8">
        <v>0.6640625</v>
      </c>
      <c r="M10" s="8">
        <v>0.13755325623858797</v>
      </c>
      <c r="N10" s="8">
        <v>1.8833333333333335</v>
      </c>
      <c r="O10" s="8">
        <v>0.29011553273427471</v>
      </c>
      <c r="P10" s="8">
        <v>0.92173913043478251</v>
      </c>
      <c r="Q10" s="8">
        <v>2.1320754716981134</v>
      </c>
      <c r="R10" s="7">
        <v>0</v>
      </c>
      <c r="S10" s="7">
        <v>2</v>
      </c>
      <c r="T10" s="7">
        <v>0</v>
      </c>
      <c r="U10" s="7">
        <v>0</v>
      </c>
      <c r="V10" s="7">
        <v>1</v>
      </c>
      <c r="W10" s="7">
        <v>0</v>
      </c>
      <c r="X10" s="7">
        <v>1</v>
      </c>
      <c r="Y10" s="7">
        <v>0</v>
      </c>
    </row>
    <row r="11" spans="1:25" x14ac:dyDescent="0.25">
      <c r="A11" s="13" t="s">
        <v>106</v>
      </c>
      <c r="B11" s="8">
        <v>1.7350000000000001</v>
      </c>
      <c r="C11" s="8">
        <v>0.155</v>
      </c>
      <c r="D11" s="8">
        <v>0.81032863849765258</v>
      </c>
      <c r="E11" s="8">
        <v>0.84882629107981222</v>
      </c>
      <c r="F11" s="8">
        <v>0.38400000000000001</v>
      </c>
      <c r="G11" s="8">
        <v>0.123</v>
      </c>
      <c r="H11" s="8">
        <v>0.69799999999999995</v>
      </c>
      <c r="I11" s="8">
        <v>0.61184473789515803</v>
      </c>
      <c r="J11" s="8">
        <v>0.125</v>
      </c>
      <c r="K11" s="8">
        <v>0.11737089201877934</v>
      </c>
      <c r="L11" s="8">
        <v>0.80645161290322587</v>
      </c>
      <c r="M11" s="8">
        <v>0.13405362144857944</v>
      </c>
      <c r="N11" s="8">
        <v>1.9252873563218393</v>
      </c>
      <c r="O11" s="8">
        <v>0.31455399061032868</v>
      </c>
      <c r="P11" s="8">
        <v>0.76219512195121952</v>
      </c>
      <c r="Q11" s="8">
        <v>2.68</v>
      </c>
      <c r="R11" s="7">
        <v>0</v>
      </c>
      <c r="S11" s="7">
        <v>2</v>
      </c>
      <c r="T11" s="7">
        <v>0</v>
      </c>
      <c r="U11" s="7">
        <v>0</v>
      </c>
      <c r="V11" s="7">
        <v>1</v>
      </c>
      <c r="W11" s="7">
        <v>0</v>
      </c>
      <c r="X11" s="7">
        <v>1</v>
      </c>
      <c r="Y11" s="7">
        <v>0</v>
      </c>
    </row>
    <row r="12" spans="1:25" x14ac:dyDescent="0.25">
      <c r="A12" s="13" t="s">
        <v>107</v>
      </c>
      <c r="B12" s="8"/>
      <c r="C12" s="8">
        <v>0.14799999999999999</v>
      </c>
      <c r="D12" s="8">
        <v>0.71801801801801801</v>
      </c>
      <c r="E12" s="8">
        <v>0.73873873873873863</v>
      </c>
      <c r="F12" s="8">
        <v>0.38200000000000001</v>
      </c>
      <c r="G12" s="8">
        <v>0.14799999999999999</v>
      </c>
      <c r="H12" s="8">
        <v>0.68100000000000005</v>
      </c>
      <c r="I12" s="8">
        <v>0.55019011406844109</v>
      </c>
      <c r="J12" s="8">
        <v>0.124</v>
      </c>
      <c r="K12" s="8">
        <v>0.11171171171171169</v>
      </c>
      <c r="L12" s="8">
        <v>0.83783783783783783</v>
      </c>
      <c r="M12" s="8">
        <v>0.12091254752851711</v>
      </c>
      <c r="N12" s="8">
        <v>2.1342281879194633</v>
      </c>
      <c r="O12" s="8">
        <v>0.28648648648648645</v>
      </c>
      <c r="P12" s="8">
        <v>0.96946564885496178</v>
      </c>
      <c r="Q12" s="8">
        <v>2.5039370078740157</v>
      </c>
      <c r="R12" s="7">
        <v>0</v>
      </c>
      <c r="S12" s="7">
        <v>2</v>
      </c>
      <c r="T12" s="7">
        <v>0</v>
      </c>
      <c r="U12" s="7">
        <v>0</v>
      </c>
      <c r="V12" s="7">
        <v>1</v>
      </c>
      <c r="W12" s="7">
        <v>0</v>
      </c>
      <c r="X12" s="7">
        <v>1</v>
      </c>
      <c r="Y12" s="7">
        <v>0</v>
      </c>
    </row>
    <row r="13" spans="1:25" x14ac:dyDescent="0.25">
      <c r="A13" s="13" t="s">
        <v>108</v>
      </c>
      <c r="B13" s="8">
        <v>1.25</v>
      </c>
      <c r="C13" s="8">
        <v>0.14099999999999999</v>
      </c>
      <c r="D13" s="8">
        <v>0.70385818561001046</v>
      </c>
      <c r="E13" s="8">
        <v>0.75599582898852968</v>
      </c>
      <c r="F13" s="8">
        <v>0.38800000000000001</v>
      </c>
      <c r="G13" s="8">
        <v>0.16800000000000001</v>
      </c>
      <c r="H13" s="8">
        <v>0.60399999999999998</v>
      </c>
      <c r="I13" s="8">
        <v>0.63221274460612142</v>
      </c>
      <c r="J13" s="8">
        <v>0.11600000000000001</v>
      </c>
      <c r="K13" s="8">
        <v>0.12095933263816476</v>
      </c>
      <c r="L13" s="8">
        <v>0.82269503546099298</v>
      </c>
      <c r="M13" s="8">
        <v>0.13296537882589063</v>
      </c>
      <c r="N13" s="8">
        <v>1.8531468531468533</v>
      </c>
      <c r="O13" s="8">
        <v>0.27632950990615229</v>
      </c>
      <c r="P13" s="8">
        <v>1.1666666666666667</v>
      </c>
      <c r="Q13" s="8">
        <v>1.8928571428571428</v>
      </c>
      <c r="R13" s="7">
        <v>0</v>
      </c>
      <c r="S13" s="7">
        <v>2</v>
      </c>
      <c r="T13" s="7">
        <v>0</v>
      </c>
      <c r="U13" s="7">
        <v>0</v>
      </c>
      <c r="V13" s="7">
        <v>1</v>
      </c>
      <c r="W13" s="7">
        <v>0</v>
      </c>
      <c r="X13" s="7">
        <v>1</v>
      </c>
      <c r="Y13" s="7">
        <v>0</v>
      </c>
    </row>
    <row r="14" spans="1:25" x14ac:dyDescent="0.25">
      <c r="A14" s="13" t="s">
        <v>109</v>
      </c>
      <c r="B14" s="8">
        <v>1.4020000000000001</v>
      </c>
      <c r="C14" s="8">
        <v>0.128</v>
      </c>
      <c r="D14" s="8">
        <v>0.71905940594059392</v>
      </c>
      <c r="E14" s="8">
        <v>0.66707920792079212</v>
      </c>
      <c r="F14" s="8">
        <v>0.32</v>
      </c>
      <c r="G14" s="8">
        <v>0.14000000000000001</v>
      </c>
      <c r="H14" s="8">
        <v>0.443</v>
      </c>
      <c r="I14" s="8">
        <v>0.5819418676561533</v>
      </c>
      <c r="J14" s="8">
        <v>9.1999999999999998E-2</v>
      </c>
      <c r="K14" s="8">
        <v>0.11386138613861385</v>
      </c>
      <c r="L14" s="8">
        <v>0.71875</v>
      </c>
      <c r="M14" s="8">
        <v>0.12801484230055657</v>
      </c>
      <c r="N14" s="8">
        <v>1.5220588235294117</v>
      </c>
      <c r="O14" s="8">
        <v>0.25618811881188114</v>
      </c>
      <c r="P14" s="8">
        <v>0.85245901639344257</v>
      </c>
      <c r="Q14" s="8">
        <v>1.9903846153846154</v>
      </c>
      <c r="R14" s="7">
        <v>0</v>
      </c>
      <c r="S14" s="7">
        <v>2</v>
      </c>
      <c r="T14" s="7">
        <v>0</v>
      </c>
      <c r="U14" s="7">
        <v>0</v>
      </c>
      <c r="V14" s="7">
        <v>1</v>
      </c>
      <c r="W14" s="7">
        <v>0</v>
      </c>
      <c r="X14" s="7">
        <v>1</v>
      </c>
      <c r="Y14" s="7">
        <v>0</v>
      </c>
    </row>
    <row r="15" spans="1:25" x14ac:dyDescent="0.25">
      <c r="A15" s="13" t="s">
        <v>110</v>
      </c>
      <c r="B15" s="8">
        <v>1.323</v>
      </c>
      <c r="C15" s="8">
        <v>0.121</v>
      </c>
      <c r="D15" s="8">
        <v>0.75222363405336712</v>
      </c>
      <c r="E15" s="8">
        <v>0.6632782719186785</v>
      </c>
      <c r="F15" s="8"/>
      <c r="G15" s="8">
        <v>0.125</v>
      </c>
      <c r="H15" s="8">
        <v>0.45600000000000002</v>
      </c>
      <c r="I15" s="8">
        <v>0.61699429296131891</v>
      </c>
      <c r="J15" s="8">
        <v>9.5000000000000001E-2</v>
      </c>
      <c r="K15" s="8">
        <v>0.1207115628970775</v>
      </c>
      <c r="L15" s="8">
        <v>0.78512396694214881</v>
      </c>
      <c r="M15" s="8">
        <v>0.12555485098287889</v>
      </c>
      <c r="N15" s="8">
        <v>1.8857142857142859</v>
      </c>
      <c r="O15" s="8">
        <v>0.25158831003811943</v>
      </c>
      <c r="P15" s="8"/>
      <c r="Q15" s="8">
        <v>1.5</v>
      </c>
      <c r="R15" s="7">
        <v>0</v>
      </c>
      <c r="S15" s="7">
        <v>2</v>
      </c>
      <c r="T15" s="7">
        <v>0</v>
      </c>
      <c r="U15" s="7">
        <v>0</v>
      </c>
      <c r="V15" s="7">
        <v>1</v>
      </c>
      <c r="W15" s="7">
        <v>0</v>
      </c>
      <c r="X15" s="7">
        <v>1</v>
      </c>
      <c r="Y15" s="7">
        <v>0</v>
      </c>
    </row>
    <row r="16" spans="1:25" x14ac:dyDescent="0.25">
      <c r="A16" s="13" t="s">
        <v>111</v>
      </c>
      <c r="B16" s="8">
        <v>1.3050000000000002</v>
      </c>
      <c r="C16" s="8">
        <v>0.11799999999999999</v>
      </c>
      <c r="D16" s="8">
        <v>0.67265725288831835</v>
      </c>
      <c r="E16" s="8">
        <v>0.65853658536585369</v>
      </c>
      <c r="F16" s="8">
        <v>0.28000000000000003</v>
      </c>
      <c r="G16" s="8">
        <v>0.13700000000000001</v>
      </c>
      <c r="H16" s="8">
        <v>0.438</v>
      </c>
      <c r="I16" s="8">
        <v>0.51866081229418215</v>
      </c>
      <c r="J16" s="8">
        <v>8.4000000000000005E-2</v>
      </c>
      <c r="K16" s="8">
        <v>0.10783055198973043</v>
      </c>
      <c r="L16" s="8">
        <v>0.71186440677966112</v>
      </c>
      <c r="M16" s="8">
        <v>0.11141602634467618</v>
      </c>
      <c r="N16" s="8">
        <v>1.5496183206106871</v>
      </c>
      <c r="O16" s="8">
        <v>0.26059050064184852</v>
      </c>
      <c r="P16" s="8">
        <v>0.89090909090909098</v>
      </c>
      <c r="Q16" s="8">
        <v>2.0714285714285716</v>
      </c>
      <c r="R16" s="7">
        <v>0</v>
      </c>
      <c r="S16" s="7">
        <v>2</v>
      </c>
      <c r="T16" s="7">
        <v>0</v>
      </c>
      <c r="U16" s="7">
        <v>0</v>
      </c>
      <c r="V16" s="7">
        <v>1</v>
      </c>
      <c r="W16" s="7">
        <v>0</v>
      </c>
      <c r="X16" s="7">
        <v>1</v>
      </c>
      <c r="Y16" s="7">
        <v>0</v>
      </c>
    </row>
    <row r="17" spans="1:25" x14ac:dyDescent="0.25">
      <c r="A17" s="13" t="s">
        <v>112</v>
      </c>
      <c r="B17" s="8"/>
      <c r="C17" s="8">
        <v>0.11899999999999999</v>
      </c>
      <c r="D17" s="8">
        <v>0.74084507042253533</v>
      </c>
      <c r="E17" s="8">
        <v>0.71267605633802822</v>
      </c>
      <c r="F17" s="8">
        <v>0.28999999999999998</v>
      </c>
      <c r="G17" s="8">
        <v>0.13600000000000001</v>
      </c>
      <c r="H17" s="8">
        <v>0.42599999999999999</v>
      </c>
      <c r="I17" s="8">
        <v>0.54504504504504503</v>
      </c>
      <c r="J17" s="8">
        <v>7.9000000000000001E-2</v>
      </c>
      <c r="K17" s="8">
        <v>0.11126760563380282</v>
      </c>
      <c r="L17" s="8">
        <v>0.66386554621848748</v>
      </c>
      <c r="M17" s="8">
        <v>0.11196911196911195</v>
      </c>
      <c r="N17" s="8">
        <v>1.3700787401574801</v>
      </c>
      <c r="O17" s="8">
        <v>0.24507042253521127</v>
      </c>
      <c r="P17" s="8">
        <v>0.91346153846153855</v>
      </c>
      <c r="Q17" s="8">
        <v>1.831578947368421</v>
      </c>
      <c r="R17" s="7">
        <v>0</v>
      </c>
      <c r="S17" s="7">
        <v>2</v>
      </c>
      <c r="T17" s="7">
        <v>0</v>
      </c>
      <c r="U17" s="7">
        <v>0</v>
      </c>
      <c r="V17" s="7">
        <v>1</v>
      </c>
      <c r="W17" s="7">
        <v>0</v>
      </c>
      <c r="X17" s="7">
        <v>1</v>
      </c>
      <c r="Y17" s="7">
        <v>0</v>
      </c>
    </row>
    <row r="18" spans="1:25" x14ac:dyDescent="0.25">
      <c r="A18" s="13" t="s">
        <v>82</v>
      </c>
      <c r="B18" s="8">
        <v>1.05</v>
      </c>
      <c r="C18" s="8">
        <v>0.15</v>
      </c>
      <c r="D18" s="8">
        <v>0.72916666666666663</v>
      </c>
      <c r="E18" s="8">
        <v>0.75</v>
      </c>
      <c r="F18" s="8">
        <v>0.31</v>
      </c>
      <c r="G18" s="8">
        <v>0.13600000000000001</v>
      </c>
      <c r="H18" s="8">
        <v>0.64</v>
      </c>
      <c r="I18" s="8">
        <v>0.51695616211745243</v>
      </c>
      <c r="J18" s="8">
        <v>0.128</v>
      </c>
      <c r="K18" s="8">
        <v>0.13333333333333333</v>
      </c>
      <c r="L18" s="8">
        <v>0.85333333333333339</v>
      </c>
      <c r="M18" s="8">
        <v>9.5947063688999176E-2</v>
      </c>
      <c r="N18" s="8">
        <v>1.8861788617886179</v>
      </c>
      <c r="O18" s="8">
        <v>0.2416666666666667</v>
      </c>
      <c r="P18" s="8">
        <v>0.70422535211267612</v>
      </c>
      <c r="Q18" s="8">
        <v>2.3199999999999998</v>
      </c>
      <c r="R18" s="7">
        <v>0</v>
      </c>
      <c r="S18" s="7">
        <v>1</v>
      </c>
      <c r="T18" s="7">
        <v>0</v>
      </c>
      <c r="U18" s="7">
        <v>0</v>
      </c>
      <c r="V18" s="7">
        <v>0</v>
      </c>
      <c r="W18" s="7">
        <v>0</v>
      </c>
      <c r="X18" s="7">
        <v>1</v>
      </c>
      <c r="Y18" s="7">
        <v>0</v>
      </c>
    </row>
    <row r="19" spans="1:25" x14ac:dyDescent="0.25">
      <c r="A19" s="13" t="s">
        <v>81</v>
      </c>
      <c r="B19" s="8">
        <v>1.3260000000000001</v>
      </c>
      <c r="C19" s="8">
        <v>0.17299999999999999</v>
      </c>
      <c r="D19" s="8">
        <v>0.71111111111111114</v>
      </c>
      <c r="E19" s="8">
        <v>0.72222222222222221</v>
      </c>
      <c r="F19" s="8">
        <v>0.38600000000000001</v>
      </c>
      <c r="G19" s="8">
        <v>0.11</v>
      </c>
      <c r="H19" s="8">
        <v>0.59599999999999997</v>
      </c>
      <c r="I19" s="8">
        <v>0.60103626943005184</v>
      </c>
      <c r="J19" s="8">
        <v>0.11700000000000001</v>
      </c>
      <c r="K19" s="8">
        <v>0.13</v>
      </c>
      <c r="L19" s="8">
        <v>0.67630057803468213</v>
      </c>
      <c r="M19" s="8">
        <v>0.10725388601036269</v>
      </c>
      <c r="N19" s="8">
        <v>2.9571428571428569</v>
      </c>
      <c r="O19" s="8">
        <v>0.22999999999999998</v>
      </c>
      <c r="P19" s="8">
        <v>0.74285714285714277</v>
      </c>
      <c r="Q19" s="8">
        <v>1.9903846153846154</v>
      </c>
      <c r="R19" s="7">
        <v>0</v>
      </c>
      <c r="S19" s="7">
        <v>1</v>
      </c>
      <c r="T19" s="7">
        <v>0</v>
      </c>
      <c r="U19" s="7">
        <v>0</v>
      </c>
      <c r="V19" s="7">
        <v>0</v>
      </c>
      <c r="W19" s="7">
        <v>0</v>
      </c>
      <c r="X19" s="7">
        <v>1</v>
      </c>
      <c r="Y19" s="7">
        <v>0</v>
      </c>
    </row>
    <row r="20" spans="1:25" x14ac:dyDescent="0.25">
      <c r="A20" s="13" t="s">
        <v>80</v>
      </c>
      <c r="B20" s="8"/>
      <c r="C20" s="8">
        <v>0.156</v>
      </c>
      <c r="D20" s="8">
        <v>0.75268817204301064</v>
      </c>
      <c r="E20" s="8">
        <v>0.75268817204301064</v>
      </c>
      <c r="F20" s="8">
        <v>0.33</v>
      </c>
      <c r="G20" s="8">
        <v>0.13600000000000001</v>
      </c>
      <c r="H20" s="8">
        <v>0.63</v>
      </c>
      <c r="I20" s="8">
        <v>0.504</v>
      </c>
      <c r="J20" s="8">
        <v>0.106</v>
      </c>
      <c r="K20" s="8">
        <v>0.1139784946236559</v>
      </c>
      <c r="L20" s="8">
        <v>0.67948717948717952</v>
      </c>
      <c r="M20" s="8">
        <v>9.0400000000000008E-2</v>
      </c>
      <c r="N20" s="8">
        <v>1.8833333333333335</v>
      </c>
      <c r="O20" s="8">
        <v>0.24301075268817204</v>
      </c>
      <c r="P20" s="8">
        <v>0.91489361702127647</v>
      </c>
      <c r="Q20" s="8">
        <v>2.6279069767441863</v>
      </c>
      <c r="R20" s="7">
        <v>0</v>
      </c>
      <c r="S20" s="7">
        <v>1</v>
      </c>
      <c r="T20" s="7">
        <v>0</v>
      </c>
      <c r="U20" s="7">
        <v>0</v>
      </c>
      <c r="V20" s="7">
        <v>0</v>
      </c>
      <c r="W20" s="7">
        <v>0</v>
      </c>
      <c r="X20" s="7">
        <v>1</v>
      </c>
      <c r="Y20" s="7">
        <v>0</v>
      </c>
    </row>
    <row r="21" spans="1:25" x14ac:dyDescent="0.25">
      <c r="A21" s="13" t="s">
        <v>113</v>
      </c>
      <c r="B21" s="8">
        <v>1.3499999999999999</v>
      </c>
      <c r="C21" s="8">
        <v>0.15</v>
      </c>
      <c r="D21" s="8">
        <v>0.63492063492063489</v>
      </c>
      <c r="E21" s="8">
        <v>0.65674603174603174</v>
      </c>
      <c r="F21" s="8">
        <v>0.313</v>
      </c>
      <c r="G21" s="8">
        <v>0.126</v>
      </c>
      <c r="H21" s="8">
        <v>0.61099999999999999</v>
      </c>
      <c r="I21" s="8">
        <v>0.57463734206832007</v>
      </c>
      <c r="J21" s="8">
        <v>0.107</v>
      </c>
      <c r="K21" s="8">
        <v>0.10615079365079365</v>
      </c>
      <c r="L21" s="8">
        <v>0.71333333333333337</v>
      </c>
      <c r="M21" s="8">
        <v>9.3121197941038847E-2</v>
      </c>
      <c r="N21" s="8">
        <v>1.2360248447204969</v>
      </c>
      <c r="O21" s="8">
        <v>0.19742063492063494</v>
      </c>
      <c r="P21" s="8">
        <v>0.6797385620915033</v>
      </c>
      <c r="Q21" s="8">
        <v>1.9134615384615385</v>
      </c>
      <c r="R21" s="7">
        <v>0</v>
      </c>
      <c r="S21" s="7">
        <v>1</v>
      </c>
      <c r="T21" s="7">
        <v>0</v>
      </c>
      <c r="U21" s="7">
        <v>0</v>
      </c>
      <c r="V21" s="7">
        <v>0</v>
      </c>
      <c r="W21" s="7">
        <v>0</v>
      </c>
      <c r="X21" s="7">
        <v>1</v>
      </c>
      <c r="Y21" s="7">
        <v>0</v>
      </c>
    </row>
    <row r="22" spans="1:25" x14ac:dyDescent="0.25">
      <c r="A22" s="13" t="s">
        <v>114</v>
      </c>
      <c r="B22" s="8">
        <v>1.302</v>
      </c>
      <c r="C22" s="8">
        <v>0.17</v>
      </c>
      <c r="D22" s="8">
        <v>0.72664359861591699</v>
      </c>
      <c r="E22" s="8">
        <v>0.7635524798154556</v>
      </c>
      <c r="F22" s="8">
        <v>0.312</v>
      </c>
      <c r="G22" s="8">
        <v>0.12</v>
      </c>
      <c r="H22" s="8">
        <v>0.56299999999999994</v>
      </c>
      <c r="I22" s="8">
        <v>0.57923497267759561</v>
      </c>
      <c r="J22" s="8">
        <v>0.108</v>
      </c>
      <c r="K22" s="8">
        <v>0.1245674740484429</v>
      </c>
      <c r="L22" s="8">
        <v>0.63529411764705879</v>
      </c>
      <c r="M22" s="8">
        <v>0.10134128166915052</v>
      </c>
      <c r="N22" s="8">
        <v>1.6859504132231404</v>
      </c>
      <c r="O22" s="8">
        <v>0.23529411764705882</v>
      </c>
      <c r="P22" s="8">
        <v>0.67375886524822703</v>
      </c>
      <c r="Q22" s="8">
        <v>2.1473684210526316</v>
      </c>
      <c r="R22" s="7">
        <v>0</v>
      </c>
      <c r="S22" s="7">
        <v>1</v>
      </c>
      <c r="T22" s="7">
        <v>0</v>
      </c>
      <c r="U22" s="7">
        <v>0</v>
      </c>
      <c r="V22" s="7">
        <v>0</v>
      </c>
      <c r="W22" s="7">
        <v>0</v>
      </c>
      <c r="X22" s="7">
        <v>1</v>
      </c>
      <c r="Y22" s="7">
        <v>0</v>
      </c>
    </row>
    <row r="23" spans="1:25" x14ac:dyDescent="0.25">
      <c r="A23" s="13" t="s">
        <v>115</v>
      </c>
      <c r="B23" s="8"/>
      <c r="C23" s="8">
        <v>0.14599999999999999</v>
      </c>
      <c r="D23" s="8">
        <v>0.72047670639219941</v>
      </c>
      <c r="E23" s="8">
        <v>0.71289274106175515</v>
      </c>
      <c r="F23" s="8">
        <v>0.33400000000000002</v>
      </c>
      <c r="G23" s="8">
        <v>0.13600000000000001</v>
      </c>
      <c r="H23" s="8">
        <v>0.61799999999999999</v>
      </c>
      <c r="I23" s="8">
        <v>0.55575221238938055</v>
      </c>
      <c r="J23" s="8">
        <v>0.115</v>
      </c>
      <c r="K23" s="8">
        <v>0.12459371614301191</v>
      </c>
      <c r="L23" s="8">
        <v>0.78767123287671237</v>
      </c>
      <c r="M23" s="8">
        <v>0.10398230088495576</v>
      </c>
      <c r="N23" s="8">
        <v>2.0085470085470085</v>
      </c>
      <c r="O23" s="8">
        <v>0.25460455037919821</v>
      </c>
      <c r="P23" s="8">
        <v>0.66887417218543055</v>
      </c>
      <c r="Q23" s="8">
        <v>2.3267326732673266</v>
      </c>
      <c r="R23" s="7">
        <v>0</v>
      </c>
      <c r="S23" s="7">
        <v>1</v>
      </c>
      <c r="T23" s="7">
        <v>0</v>
      </c>
      <c r="U23" s="7">
        <v>0</v>
      </c>
      <c r="V23" s="7">
        <v>0</v>
      </c>
      <c r="W23" s="7">
        <v>0</v>
      </c>
      <c r="X23" s="7">
        <v>1</v>
      </c>
      <c r="Y23" s="7">
        <v>0</v>
      </c>
    </row>
    <row r="24" spans="1:25" x14ac:dyDescent="0.25">
      <c r="A24" s="13" t="s">
        <v>116</v>
      </c>
      <c r="B24" s="8">
        <v>1.085</v>
      </c>
      <c r="C24" s="8">
        <v>0.15</v>
      </c>
      <c r="D24" s="8">
        <v>0.74766355140186924</v>
      </c>
      <c r="E24" s="8">
        <v>0.72096128170894536</v>
      </c>
      <c r="F24" s="8">
        <v>0.28100000000000003</v>
      </c>
      <c r="G24" s="8">
        <v>0.10299999999999999</v>
      </c>
      <c r="H24" s="8">
        <v>0.48199999999999998</v>
      </c>
      <c r="I24" s="8">
        <v>0.59580838323353291</v>
      </c>
      <c r="J24" s="8">
        <v>0.107</v>
      </c>
      <c r="K24" s="8">
        <v>0.14285714285714285</v>
      </c>
      <c r="L24" s="8">
        <v>0.71333333333333337</v>
      </c>
      <c r="M24" s="8">
        <v>0.1</v>
      </c>
      <c r="N24" s="8">
        <v>1.6372549019607845</v>
      </c>
      <c r="O24" s="8">
        <v>0.22296395193591456</v>
      </c>
      <c r="P24" s="8">
        <v>0.92929292929292928</v>
      </c>
      <c r="Q24" s="8">
        <v>1.8152173913043479</v>
      </c>
      <c r="R24" s="7">
        <v>0</v>
      </c>
      <c r="S24" s="7">
        <v>1</v>
      </c>
      <c r="T24" s="7">
        <v>0</v>
      </c>
      <c r="U24" s="7">
        <v>0</v>
      </c>
      <c r="V24" s="7">
        <v>0</v>
      </c>
      <c r="W24" s="7">
        <v>0</v>
      </c>
      <c r="X24" s="7">
        <v>1</v>
      </c>
      <c r="Y24" s="7">
        <v>0</v>
      </c>
    </row>
    <row r="25" spans="1:25" x14ac:dyDescent="0.25">
      <c r="A25" s="13" t="s">
        <v>117</v>
      </c>
      <c r="B25" s="8"/>
      <c r="C25" s="8">
        <v>0.15</v>
      </c>
      <c r="D25" s="8">
        <v>0.72826086956521741</v>
      </c>
      <c r="E25" s="8">
        <v>0.70652173913043481</v>
      </c>
      <c r="F25" s="8">
        <v>0.34</v>
      </c>
      <c r="G25" s="8">
        <v>0.15</v>
      </c>
      <c r="H25" s="8">
        <v>0.6</v>
      </c>
      <c r="I25" s="8">
        <v>0.55752212389380529</v>
      </c>
      <c r="J25" s="8">
        <v>0.12</v>
      </c>
      <c r="K25" s="8">
        <v>0.13043478260869565</v>
      </c>
      <c r="L25" s="8">
        <v>0.8</v>
      </c>
      <c r="M25" s="8">
        <v>0.10619469026548671</v>
      </c>
      <c r="N25" s="8">
        <v>2</v>
      </c>
      <c r="O25" s="8">
        <v>0.2608695652173913</v>
      </c>
      <c r="P25" s="8">
        <v>0.66666666666666674</v>
      </c>
      <c r="Q25" s="8">
        <v>2.4</v>
      </c>
      <c r="R25" s="7">
        <v>0</v>
      </c>
      <c r="S25" s="7">
        <v>1</v>
      </c>
      <c r="T25" s="7">
        <v>0</v>
      </c>
      <c r="U25" s="7">
        <v>0</v>
      </c>
      <c r="V25" s="7">
        <v>0</v>
      </c>
      <c r="W25" s="7">
        <v>0</v>
      </c>
      <c r="X25" s="7">
        <v>1</v>
      </c>
      <c r="Y25" s="7">
        <v>0</v>
      </c>
    </row>
    <row r="26" spans="1:25" x14ac:dyDescent="0.25">
      <c r="A26" s="13" t="s">
        <v>118</v>
      </c>
      <c r="B26" s="8">
        <v>1.3599999999999999</v>
      </c>
      <c r="C26" s="8">
        <v>0.15</v>
      </c>
      <c r="D26" s="8">
        <v>0.62376237623762376</v>
      </c>
      <c r="E26" s="8">
        <v>0.64356435643564358</v>
      </c>
      <c r="F26" s="8">
        <v>0.31</v>
      </c>
      <c r="G26" s="8">
        <v>0.13</v>
      </c>
      <c r="H26" s="8">
        <v>0.55000000000000004</v>
      </c>
      <c r="I26" s="8">
        <v>0.54460093896713613</v>
      </c>
      <c r="J26" s="8">
        <v>0.11</v>
      </c>
      <c r="K26" s="8">
        <v>0.10891089108910891</v>
      </c>
      <c r="L26" s="8">
        <v>0.73333333333333339</v>
      </c>
      <c r="M26" s="8">
        <v>0.10328638497652583</v>
      </c>
      <c r="N26" s="8">
        <v>2.1999999999999997</v>
      </c>
      <c r="O26" s="8">
        <v>0.21782178217821782</v>
      </c>
      <c r="P26" s="8">
        <v>0.64285714285714279</v>
      </c>
      <c r="Q26" s="8">
        <v>2.4444444444444446</v>
      </c>
      <c r="R26" s="7">
        <v>0</v>
      </c>
      <c r="S26" s="7">
        <v>1</v>
      </c>
      <c r="T26" s="7">
        <v>0</v>
      </c>
      <c r="U26" s="7">
        <v>0</v>
      </c>
      <c r="V26" s="7">
        <v>0</v>
      </c>
      <c r="W26" s="7">
        <v>0</v>
      </c>
      <c r="X26" s="7">
        <v>1</v>
      </c>
      <c r="Y26" s="7">
        <v>0</v>
      </c>
    </row>
    <row r="27" spans="1:25" x14ac:dyDescent="0.25">
      <c r="A27" s="13" t="s">
        <v>119</v>
      </c>
      <c r="B27" s="8">
        <v>1</v>
      </c>
      <c r="C27" s="8">
        <v>0.13</v>
      </c>
      <c r="D27" s="8">
        <v>0.69230769230769229</v>
      </c>
      <c r="E27" s="8">
        <v>0.71794871794871795</v>
      </c>
      <c r="F27" s="8">
        <v>0.31</v>
      </c>
      <c r="G27" s="8">
        <v>0.11</v>
      </c>
      <c r="H27" s="8">
        <v>0.43</v>
      </c>
      <c r="I27" s="8">
        <v>0.56976744186046524</v>
      </c>
      <c r="J27" s="8">
        <v>0.09</v>
      </c>
      <c r="K27" s="8">
        <v>0.11538461538461538</v>
      </c>
      <c r="L27" s="8">
        <v>0.69230769230769229</v>
      </c>
      <c r="M27" s="8">
        <v>9.8837209302325604E-2</v>
      </c>
      <c r="N27" s="8">
        <v>1.7</v>
      </c>
      <c r="O27" s="8">
        <v>0.21794871794871795</v>
      </c>
      <c r="P27" s="8"/>
      <c r="Q27" s="8">
        <v>1.7</v>
      </c>
      <c r="R27" s="7">
        <v>0</v>
      </c>
      <c r="S27" s="7">
        <v>1</v>
      </c>
      <c r="T27" s="7">
        <v>0</v>
      </c>
      <c r="U27" s="7">
        <v>0</v>
      </c>
      <c r="V27" s="7">
        <v>0</v>
      </c>
      <c r="W27" s="7">
        <v>0</v>
      </c>
      <c r="X27" s="7">
        <v>1</v>
      </c>
      <c r="Y27" s="7">
        <v>0</v>
      </c>
    </row>
    <row r="28" spans="1:25" x14ac:dyDescent="0.25">
      <c r="A28" s="13" t="s">
        <v>120</v>
      </c>
      <c r="B28" s="8">
        <v>1.2000000000000002</v>
      </c>
      <c r="C28" s="8">
        <v>0.14000000000000001</v>
      </c>
      <c r="D28" s="8">
        <v>0.70666666666666667</v>
      </c>
      <c r="E28" s="8">
        <v>0.78666666666666663</v>
      </c>
      <c r="F28" s="8">
        <v>0.3</v>
      </c>
      <c r="G28" s="8"/>
      <c r="H28" s="8">
        <v>0.43</v>
      </c>
      <c r="I28" s="8">
        <v>0.61146496815286622</v>
      </c>
      <c r="J28" s="8">
        <v>0.09</v>
      </c>
      <c r="K28" s="8">
        <v>0.12</v>
      </c>
      <c r="L28" s="8">
        <v>0.64285714285714279</v>
      </c>
      <c r="M28" s="8">
        <v>0.1019108280254777</v>
      </c>
      <c r="N28" s="8">
        <v>1.7777777777777779</v>
      </c>
      <c r="O28" s="8">
        <v>0.21333333333333335</v>
      </c>
      <c r="P28" s="8">
        <v>1</v>
      </c>
      <c r="Q28" s="8">
        <v>1.7777777777777779</v>
      </c>
      <c r="R28" s="7">
        <v>0</v>
      </c>
      <c r="S28" s="7">
        <v>1</v>
      </c>
      <c r="T28" s="7">
        <v>0</v>
      </c>
      <c r="U28" s="7">
        <v>0</v>
      </c>
      <c r="V28" s="7">
        <v>0</v>
      </c>
      <c r="W28" s="7">
        <v>0</v>
      </c>
      <c r="X28" s="7">
        <v>1</v>
      </c>
      <c r="Y28" s="7">
        <v>0</v>
      </c>
    </row>
    <row r="29" spans="1:25" x14ac:dyDescent="0.25">
      <c r="A29" s="13" t="s">
        <v>121</v>
      </c>
      <c r="B29" s="8"/>
      <c r="C29" s="8">
        <v>0.13</v>
      </c>
      <c r="D29" s="8">
        <v>0.79037800687285231</v>
      </c>
      <c r="E29" s="8">
        <v>0.82474226804123718</v>
      </c>
      <c r="F29" s="8">
        <v>0.24</v>
      </c>
      <c r="G29" s="8">
        <v>0.11</v>
      </c>
      <c r="H29" s="8">
        <v>0.35</v>
      </c>
      <c r="I29" s="8">
        <v>0.6</v>
      </c>
      <c r="J29" s="8">
        <v>0.1</v>
      </c>
      <c r="K29" s="8">
        <v>0.17182130584192443</v>
      </c>
      <c r="L29" s="8"/>
      <c r="M29" s="8">
        <v>0.10076923076923076</v>
      </c>
      <c r="N29" s="8">
        <v>1.31</v>
      </c>
      <c r="O29" s="8">
        <v>0.225085910652921</v>
      </c>
      <c r="P29" s="8"/>
      <c r="Q29" s="8"/>
      <c r="R29" s="7">
        <v>0</v>
      </c>
      <c r="S29" s="7">
        <v>1</v>
      </c>
      <c r="T29" s="7">
        <v>0</v>
      </c>
      <c r="U29" s="7">
        <v>0</v>
      </c>
      <c r="V29" s="7">
        <v>0</v>
      </c>
      <c r="W29" s="7">
        <v>0</v>
      </c>
      <c r="X29" s="7">
        <v>1</v>
      </c>
      <c r="Y29" s="7">
        <v>0</v>
      </c>
    </row>
    <row r="30" spans="1:25" x14ac:dyDescent="0.25">
      <c r="A30" s="13" t="s">
        <v>122</v>
      </c>
      <c r="B30" s="8">
        <v>1.224</v>
      </c>
      <c r="C30" s="8">
        <v>0.15</v>
      </c>
      <c r="D30" s="8">
        <v>0.79710144927536242</v>
      </c>
      <c r="E30" s="8">
        <v>0.75217391304347836</v>
      </c>
      <c r="F30" s="8">
        <v>0.28199999999999997</v>
      </c>
      <c r="G30" s="8">
        <v>0.15</v>
      </c>
      <c r="H30" s="8">
        <v>0.48499999999999999</v>
      </c>
      <c r="I30" s="8">
        <v>0.6646258503401361</v>
      </c>
      <c r="J30" s="8">
        <v>0.1</v>
      </c>
      <c r="K30" s="8">
        <v>0.14492753623188409</v>
      </c>
      <c r="L30" s="8">
        <v>0.66666666666666674</v>
      </c>
      <c r="M30" s="8">
        <v>0.12380952380952381</v>
      </c>
      <c r="N30" s="8">
        <v>1.8199999999999998</v>
      </c>
      <c r="O30" s="8">
        <v>0.26376811594202898</v>
      </c>
      <c r="P30" s="8"/>
      <c r="Q30" s="8"/>
      <c r="R30" s="7">
        <v>0</v>
      </c>
      <c r="S30" s="7">
        <v>1</v>
      </c>
      <c r="T30" s="7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</row>
    <row r="31" spans="1:25" x14ac:dyDescent="0.25">
      <c r="A31" s="13" t="s">
        <v>123</v>
      </c>
      <c r="B31" s="8"/>
      <c r="C31" s="8">
        <v>0.14000000000000001</v>
      </c>
      <c r="D31" s="8">
        <v>0.71335927367055774</v>
      </c>
      <c r="E31" s="8">
        <v>0.77821011673151741</v>
      </c>
      <c r="F31" s="8">
        <v>0.28999999999999998</v>
      </c>
      <c r="G31" s="8">
        <v>0.16</v>
      </c>
      <c r="H31" s="8">
        <v>0.503</v>
      </c>
      <c r="I31" s="8">
        <v>0.57359550561797745</v>
      </c>
      <c r="J31" s="8">
        <v>0.1</v>
      </c>
      <c r="K31" s="8">
        <v>0.1297016861219196</v>
      </c>
      <c r="L31" s="8"/>
      <c r="M31" s="8">
        <v>0.10898876404494383</v>
      </c>
      <c r="N31" s="8">
        <v>1.6166666666666667</v>
      </c>
      <c r="O31" s="8">
        <v>0.25162127107652399</v>
      </c>
      <c r="P31" s="8"/>
      <c r="Q31" s="8"/>
      <c r="R31" s="7">
        <v>0</v>
      </c>
      <c r="S31" s="7">
        <v>1</v>
      </c>
      <c r="T31" s="7">
        <v>0</v>
      </c>
      <c r="U31" s="7">
        <v>0</v>
      </c>
      <c r="V31" s="7">
        <v>0</v>
      </c>
      <c r="W31" s="7">
        <v>0</v>
      </c>
      <c r="X31" s="7">
        <v>1</v>
      </c>
      <c r="Y31" s="7">
        <v>0</v>
      </c>
    </row>
    <row r="32" spans="1:25" x14ac:dyDescent="0.25">
      <c r="A32" s="13" t="s">
        <v>124</v>
      </c>
      <c r="B32" s="8">
        <v>0.91700000000000004</v>
      </c>
      <c r="C32" s="8">
        <v>0.13</v>
      </c>
      <c r="D32" s="8">
        <v>0.66027397260273968</v>
      </c>
      <c r="E32" s="8">
        <v>0.73013698630136992</v>
      </c>
      <c r="F32" s="8">
        <v>0.28699999999999998</v>
      </c>
      <c r="G32" s="8">
        <v>0.13</v>
      </c>
      <c r="H32" s="8">
        <v>0.42899999999999999</v>
      </c>
      <c r="I32" s="8">
        <v>0.62328319162851542</v>
      </c>
      <c r="J32" s="8">
        <v>0.08</v>
      </c>
      <c r="K32" s="8">
        <v>0.10958904109589042</v>
      </c>
      <c r="L32" s="8">
        <v>0.61538461538461542</v>
      </c>
      <c r="M32" s="8">
        <v>0.11118378024852846</v>
      </c>
      <c r="N32" s="8">
        <v>1.4166666666666667</v>
      </c>
      <c r="O32" s="8">
        <v>0.23287671232876714</v>
      </c>
      <c r="P32" s="8"/>
      <c r="Q32" s="8"/>
      <c r="R32" s="7">
        <v>0</v>
      </c>
      <c r="S32" s="7">
        <v>1</v>
      </c>
      <c r="T32" s="7">
        <v>0</v>
      </c>
      <c r="U32" s="7">
        <v>0</v>
      </c>
      <c r="V32" s="7">
        <v>0</v>
      </c>
      <c r="W32" s="7">
        <v>0</v>
      </c>
      <c r="X32" s="7">
        <v>1</v>
      </c>
      <c r="Y32" s="7">
        <v>0</v>
      </c>
    </row>
    <row r="33" spans="1:25" x14ac:dyDescent="0.25">
      <c r="A33" s="13" t="s">
        <v>125</v>
      </c>
      <c r="B33" s="8">
        <v>2.077</v>
      </c>
      <c r="C33" s="8">
        <v>0.12</v>
      </c>
      <c r="D33" s="8">
        <v>0.75894039735099328</v>
      </c>
      <c r="E33" s="8">
        <v>0.72847682119205304</v>
      </c>
      <c r="F33" s="8">
        <v>0.26</v>
      </c>
      <c r="G33" s="8">
        <v>8.3000000000000004E-2</v>
      </c>
      <c r="H33" s="8">
        <v>0.45100000000000001</v>
      </c>
      <c r="I33" s="8">
        <v>0.6034376918354819</v>
      </c>
      <c r="J33" s="8">
        <v>8.8999999999999996E-2</v>
      </c>
      <c r="K33" s="8">
        <v>0.11788079470198674</v>
      </c>
      <c r="L33" s="8">
        <v>0.7416666666666667</v>
      </c>
      <c r="M33" s="8">
        <v>0.11663597298956416</v>
      </c>
      <c r="N33" s="8">
        <v>1.3103448275862071</v>
      </c>
      <c r="O33" s="8">
        <v>0.25165562913907286</v>
      </c>
      <c r="P33" s="8">
        <v>0.63636363636363646</v>
      </c>
      <c r="Q33" s="8">
        <v>2.714285714285714</v>
      </c>
      <c r="R33" s="7">
        <v>1</v>
      </c>
      <c r="S33" s="7">
        <v>0</v>
      </c>
      <c r="T33" s="7">
        <v>0</v>
      </c>
      <c r="U33" s="7">
        <v>1</v>
      </c>
      <c r="V33" s="7">
        <v>0</v>
      </c>
      <c r="W33" s="7">
        <v>0</v>
      </c>
      <c r="X33" s="7">
        <v>0</v>
      </c>
      <c r="Y33" s="7">
        <v>0</v>
      </c>
    </row>
    <row r="34" spans="1:25" x14ac:dyDescent="0.25">
      <c r="A34" s="13" t="s">
        <v>126</v>
      </c>
      <c r="B34" s="8">
        <v>2.0500000000000003</v>
      </c>
      <c r="C34" s="8">
        <v>0.13</v>
      </c>
      <c r="D34" s="8">
        <v>0.69736842105263164</v>
      </c>
      <c r="E34" s="8">
        <v>0.69736842105263164</v>
      </c>
      <c r="F34" s="8">
        <v>0.2</v>
      </c>
      <c r="G34" s="8">
        <v>8.4000000000000005E-2</v>
      </c>
      <c r="H34" s="8">
        <v>0.48</v>
      </c>
      <c r="I34" s="8">
        <v>0.6827586206896552</v>
      </c>
      <c r="J34" s="8">
        <v>9.0999999999999998E-2</v>
      </c>
      <c r="K34" s="8">
        <v>0.11973684210526316</v>
      </c>
      <c r="L34" s="8">
        <v>0.7</v>
      </c>
      <c r="M34" s="8">
        <v>0.12413793103448276</v>
      </c>
      <c r="N34" s="8">
        <v>1.5126050420168067</v>
      </c>
      <c r="O34" s="8">
        <v>0.23684210526315788</v>
      </c>
      <c r="P34" s="8">
        <v>0.61403508771929827</v>
      </c>
      <c r="Q34" s="8">
        <v>2.5714285714285712</v>
      </c>
      <c r="R34" s="7">
        <v>1</v>
      </c>
      <c r="S34" s="7">
        <v>0</v>
      </c>
      <c r="T34" s="7">
        <v>0</v>
      </c>
      <c r="U34" s="7">
        <v>1</v>
      </c>
      <c r="V34" s="7">
        <v>0</v>
      </c>
      <c r="W34" s="7">
        <v>0</v>
      </c>
      <c r="X34" s="7">
        <v>0</v>
      </c>
      <c r="Y34" s="7">
        <v>0</v>
      </c>
    </row>
    <row r="35" spans="1:25" x14ac:dyDescent="0.25">
      <c r="A35" s="13" t="s">
        <v>127</v>
      </c>
      <c r="B35" s="8">
        <v>1.94</v>
      </c>
      <c r="C35" s="8">
        <v>0.113</v>
      </c>
      <c r="D35" s="8">
        <v>0.79533213644524225</v>
      </c>
      <c r="E35" s="8">
        <v>0.68940754039497298</v>
      </c>
      <c r="F35" s="8">
        <v>0.19500000000000001</v>
      </c>
      <c r="G35" s="8">
        <v>6.4000000000000001E-2</v>
      </c>
      <c r="H35" s="8">
        <v>0.32400000000000001</v>
      </c>
      <c r="I35" s="8">
        <v>0.57777777777777783</v>
      </c>
      <c r="J35" s="8">
        <v>8.1000000000000003E-2</v>
      </c>
      <c r="K35" s="8">
        <v>0.14542190305206462</v>
      </c>
      <c r="L35" s="8">
        <v>0.7168141592920354</v>
      </c>
      <c r="M35" s="8">
        <v>0.10498084291187741</v>
      </c>
      <c r="N35" s="8">
        <v>1.3173076923076925</v>
      </c>
      <c r="O35" s="8">
        <v>0.24596050269299821</v>
      </c>
      <c r="P35" s="8">
        <v>0.47619047619047616</v>
      </c>
      <c r="Q35" s="8">
        <v>3.4250000000000003</v>
      </c>
      <c r="R35" s="7">
        <v>1</v>
      </c>
      <c r="S35" s="7">
        <v>0</v>
      </c>
      <c r="T35" s="7">
        <v>0</v>
      </c>
      <c r="U35" s="7">
        <v>1</v>
      </c>
      <c r="V35" s="7">
        <v>0</v>
      </c>
      <c r="W35" s="7">
        <v>0</v>
      </c>
      <c r="X35" s="7">
        <v>0</v>
      </c>
      <c r="Y35" s="7">
        <v>0</v>
      </c>
    </row>
    <row r="36" spans="1:25" x14ac:dyDescent="0.25">
      <c r="A36" s="13" t="s">
        <v>128</v>
      </c>
      <c r="B36" s="8">
        <v>1.6930000000000001</v>
      </c>
      <c r="C36" s="8">
        <v>0.123</v>
      </c>
      <c r="D36" s="8">
        <v>0.75707154742096516</v>
      </c>
      <c r="E36" s="8">
        <v>0.67387687188019973</v>
      </c>
      <c r="F36" s="8">
        <v>0.20799999999999999</v>
      </c>
      <c r="G36" s="8">
        <v>6.6000000000000003E-2</v>
      </c>
      <c r="H36" s="8">
        <v>0.32800000000000001</v>
      </c>
      <c r="I36" s="8">
        <v>0.57293233082706763</v>
      </c>
      <c r="J36" s="8">
        <v>8.2000000000000003E-2</v>
      </c>
      <c r="K36" s="8">
        <v>0.13643926788685526</v>
      </c>
      <c r="L36" s="8">
        <v>0.66666666666666674</v>
      </c>
      <c r="M36" s="8">
        <v>0.10827067669172931</v>
      </c>
      <c r="N36" s="8">
        <v>1.5157894736842104</v>
      </c>
      <c r="O36" s="8">
        <v>0.23960066555740431</v>
      </c>
      <c r="P36" s="8">
        <v>0.58333333333333337</v>
      </c>
      <c r="Q36" s="8">
        <v>3.4285714285714279</v>
      </c>
      <c r="R36" s="7">
        <v>1</v>
      </c>
      <c r="S36" s="7">
        <v>0</v>
      </c>
      <c r="T36" s="7">
        <v>0</v>
      </c>
      <c r="U36" s="7">
        <v>1</v>
      </c>
      <c r="V36" s="7">
        <v>0</v>
      </c>
      <c r="W36" s="7">
        <v>0</v>
      </c>
      <c r="X36" s="7">
        <v>0</v>
      </c>
      <c r="Y36" s="7">
        <v>0</v>
      </c>
    </row>
    <row r="37" spans="1:25" x14ac:dyDescent="0.25">
      <c r="A37" s="13" t="s">
        <v>129</v>
      </c>
      <c r="B37" s="8">
        <v>1.887</v>
      </c>
      <c r="C37" s="8">
        <v>0.14000000000000001</v>
      </c>
      <c r="D37" s="8">
        <v>0.78409090909090917</v>
      </c>
      <c r="E37" s="8">
        <v>0.69744318181818188</v>
      </c>
      <c r="F37" s="8">
        <v>0.26400000000000001</v>
      </c>
      <c r="G37" s="8">
        <v>7.0999999999999994E-2</v>
      </c>
      <c r="H37" s="8">
        <v>0.41599999999999998</v>
      </c>
      <c r="I37" s="8">
        <v>0.64571823204419898</v>
      </c>
      <c r="J37" s="8">
        <v>8.1000000000000003E-2</v>
      </c>
      <c r="K37" s="8">
        <v>0.11505681818181819</v>
      </c>
      <c r="L37" s="8">
        <v>0.57857142857142851</v>
      </c>
      <c r="M37" s="8">
        <v>0.12223756906077347</v>
      </c>
      <c r="N37" s="8">
        <v>1.5803571428571428</v>
      </c>
      <c r="O37" s="8">
        <v>0.25142045454545453</v>
      </c>
      <c r="P37" s="8">
        <v>0.72972972972972971</v>
      </c>
      <c r="Q37" s="8">
        <v>3.2777777777777777</v>
      </c>
      <c r="R37" s="7">
        <v>1</v>
      </c>
      <c r="S37" s="7">
        <v>0</v>
      </c>
      <c r="T37" s="7">
        <v>0</v>
      </c>
      <c r="U37" s="7">
        <v>1</v>
      </c>
      <c r="V37" s="7">
        <v>0</v>
      </c>
      <c r="W37" s="7">
        <v>0</v>
      </c>
      <c r="X37" s="7">
        <v>0</v>
      </c>
      <c r="Y37" s="7">
        <v>0</v>
      </c>
    </row>
    <row r="38" spans="1:25" x14ac:dyDescent="0.25">
      <c r="A38" s="13" t="s">
        <v>130</v>
      </c>
      <c r="B38" s="8">
        <v>2.0680000000000001</v>
      </c>
      <c r="C38" s="8">
        <v>0.13300000000000001</v>
      </c>
      <c r="D38" s="8">
        <v>0.73490427098674516</v>
      </c>
      <c r="E38" s="8">
        <v>0.65979381443298968</v>
      </c>
      <c r="F38" s="8">
        <v>0.22700000000000001</v>
      </c>
      <c r="G38" s="8">
        <v>7.6999999999999999E-2</v>
      </c>
      <c r="H38" s="8">
        <v>0.379</v>
      </c>
      <c r="I38" s="8">
        <v>0.72097053726169846</v>
      </c>
      <c r="J38" s="8">
        <v>7.6999999999999999E-2</v>
      </c>
      <c r="K38" s="8">
        <v>0.11340206185567009</v>
      </c>
      <c r="L38" s="8">
        <v>0.57894736842105254</v>
      </c>
      <c r="M38" s="8">
        <v>0.14644714038128251</v>
      </c>
      <c r="N38" s="8">
        <v>1.4695652173913043</v>
      </c>
      <c r="O38" s="8">
        <v>0.24889543446244478</v>
      </c>
      <c r="P38" s="8">
        <v>0.61764705882352944</v>
      </c>
      <c r="Q38" s="8">
        <v>4.0238095238095237</v>
      </c>
      <c r="R38" s="7">
        <v>1</v>
      </c>
      <c r="S38" s="7">
        <v>0</v>
      </c>
      <c r="T38" s="7">
        <v>0</v>
      </c>
      <c r="U38" s="7">
        <v>1</v>
      </c>
      <c r="V38" s="7">
        <v>0</v>
      </c>
      <c r="W38" s="7">
        <v>0</v>
      </c>
      <c r="X38" s="7">
        <v>0</v>
      </c>
      <c r="Y38" s="7">
        <v>0</v>
      </c>
    </row>
    <row r="39" spans="1:25" x14ac:dyDescent="0.25">
      <c r="A39" s="13" t="s">
        <v>131</v>
      </c>
      <c r="B39" s="8">
        <v>2.0979999999999999</v>
      </c>
      <c r="C39" s="8">
        <v>0.125</v>
      </c>
      <c r="D39" s="8">
        <v>0.75851851851851848</v>
      </c>
      <c r="E39" s="8">
        <v>0.66074074074074074</v>
      </c>
      <c r="F39" s="8">
        <v>0.27200000000000002</v>
      </c>
      <c r="G39" s="8">
        <v>7.0000000000000007E-2</v>
      </c>
      <c r="H39" s="8">
        <v>0.39</v>
      </c>
      <c r="I39" s="8">
        <v>0.62787356321839083</v>
      </c>
      <c r="J39" s="8">
        <v>8.4000000000000005E-2</v>
      </c>
      <c r="K39" s="8">
        <v>0.12444444444444444</v>
      </c>
      <c r="L39" s="8">
        <v>0.67200000000000004</v>
      </c>
      <c r="M39" s="8">
        <v>0.10201149425287356</v>
      </c>
      <c r="N39" s="8">
        <v>1.4489795918367345</v>
      </c>
      <c r="O39" s="8">
        <v>0.21037037037037035</v>
      </c>
      <c r="P39" s="8"/>
      <c r="Q39" s="8">
        <v>3.0869565217391304</v>
      </c>
      <c r="R39" s="7">
        <v>1</v>
      </c>
      <c r="S39" s="7">
        <v>0</v>
      </c>
      <c r="T39" s="7">
        <v>0</v>
      </c>
      <c r="U39" s="7">
        <v>1</v>
      </c>
      <c r="V39" s="7">
        <v>0</v>
      </c>
      <c r="W39" s="7">
        <v>0</v>
      </c>
      <c r="X39" s="7">
        <v>0</v>
      </c>
      <c r="Y39" s="7">
        <v>0</v>
      </c>
    </row>
    <row r="40" spans="1:25" x14ac:dyDescent="0.25">
      <c r="A40" s="13" t="s">
        <v>132</v>
      </c>
      <c r="B40" s="8">
        <v>2.044</v>
      </c>
      <c r="C40" s="8">
        <v>0.13100000000000001</v>
      </c>
      <c r="D40" s="8">
        <v>0.75694444444444453</v>
      </c>
      <c r="E40" s="8">
        <v>0.69583333333333341</v>
      </c>
      <c r="F40" s="8"/>
      <c r="G40" s="8">
        <v>6.2E-2</v>
      </c>
      <c r="H40" s="8">
        <v>0.41599999999999998</v>
      </c>
      <c r="I40" s="8">
        <v>0.68198395331874551</v>
      </c>
      <c r="J40" s="8">
        <v>9.1999999999999998E-2</v>
      </c>
      <c r="K40" s="8">
        <v>0.12777777777777777</v>
      </c>
      <c r="L40" s="8">
        <v>0.70229007633587781</v>
      </c>
      <c r="M40" s="8">
        <v>0.13712618526622902</v>
      </c>
      <c r="N40" s="8">
        <v>1.663716814159292</v>
      </c>
      <c r="O40" s="8">
        <v>0.26111111111111113</v>
      </c>
      <c r="P40" s="8">
        <v>0.70707070707070707</v>
      </c>
      <c r="Q40" s="8">
        <v>2.6857142857142855</v>
      </c>
      <c r="R40" s="7">
        <v>1</v>
      </c>
      <c r="S40" s="7">
        <v>0</v>
      </c>
      <c r="T40" s="7">
        <v>0</v>
      </c>
      <c r="U40" s="7">
        <v>1</v>
      </c>
      <c r="V40" s="7">
        <v>0</v>
      </c>
      <c r="W40" s="7">
        <v>0</v>
      </c>
      <c r="X40" s="7">
        <v>0</v>
      </c>
      <c r="Y40" s="7">
        <v>0</v>
      </c>
    </row>
    <row r="41" spans="1:25" x14ac:dyDescent="0.25">
      <c r="A41" s="13" t="s">
        <v>133</v>
      </c>
      <c r="B41" s="8">
        <v>0.70799999999999996</v>
      </c>
      <c r="C41" s="8">
        <v>7.8E-2</v>
      </c>
      <c r="D41" s="8">
        <v>0.5</v>
      </c>
      <c r="E41" s="8">
        <v>0.54545454545454541</v>
      </c>
      <c r="F41" s="8">
        <v>0.21</v>
      </c>
      <c r="G41" s="8">
        <v>0.13</v>
      </c>
      <c r="H41" s="8">
        <v>0.36</v>
      </c>
      <c r="I41" s="8">
        <v>0.49131216297183938</v>
      </c>
      <c r="J41" s="8">
        <v>7.1999999999999995E-2</v>
      </c>
      <c r="K41" s="8">
        <v>0.10909090909090907</v>
      </c>
      <c r="L41" s="8">
        <v>0.92307692307692302</v>
      </c>
      <c r="M41" s="8">
        <v>8.3882564409826249E-2</v>
      </c>
      <c r="N41" s="8">
        <v>1.9178082191780825</v>
      </c>
      <c r="O41" s="8">
        <v>0.21212121212121213</v>
      </c>
      <c r="P41" s="8"/>
      <c r="Q41" s="8">
        <v>1.1666666666666667</v>
      </c>
      <c r="R41" s="7">
        <v>2</v>
      </c>
      <c r="S41" s="7">
        <v>0</v>
      </c>
      <c r="T41" s="7">
        <v>1</v>
      </c>
      <c r="U41" s="7">
        <v>0</v>
      </c>
      <c r="V41" s="7">
        <v>0</v>
      </c>
      <c r="W41" s="7">
        <v>1</v>
      </c>
      <c r="X41" s="7">
        <v>0</v>
      </c>
      <c r="Y41" s="7">
        <v>0</v>
      </c>
    </row>
    <row r="42" spans="1:25" x14ac:dyDescent="0.25">
      <c r="A42" s="13" t="s">
        <v>134</v>
      </c>
      <c r="B42" s="8">
        <v>0.78799999999999992</v>
      </c>
      <c r="C42" s="8">
        <v>8.7999999999999995E-2</v>
      </c>
      <c r="D42" s="8">
        <v>0.60317460317460314</v>
      </c>
      <c r="E42" s="8">
        <v>0.634920634920635</v>
      </c>
      <c r="F42" s="8">
        <v>0.26</v>
      </c>
      <c r="G42" s="8">
        <v>0.12</v>
      </c>
      <c r="H42" s="8">
        <v>0.4</v>
      </c>
      <c r="I42" s="8">
        <v>0.50299401197604787</v>
      </c>
      <c r="J42" s="8">
        <v>8.7999999999999995E-2</v>
      </c>
      <c r="K42" s="8">
        <v>0.13968253968253969</v>
      </c>
      <c r="L42" s="8">
        <v>1</v>
      </c>
      <c r="M42" s="8">
        <v>0.10479041916167663</v>
      </c>
      <c r="N42" s="8">
        <v>2.5735294117647056</v>
      </c>
      <c r="O42" s="8">
        <v>0.27777777777777773</v>
      </c>
      <c r="P42" s="8">
        <v>1.2371134020618555</v>
      </c>
      <c r="Q42" s="8">
        <v>1.4583333333333333</v>
      </c>
      <c r="R42" s="7">
        <v>2</v>
      </c>
      <c r="S42" s="7">
        <v>0</v>
      </c>
      <c r="T42" s="7">
        <v>1</v>
      </c>
      <c r="U42" s="7">
        <v>0</v>
      </c>
      <c r="V42" s="7">
        <v>0</v>
      </c>
      <c r="W42" s="7">
        <v>1</v>
      </c>
      <c r="X42" s="7">
        <v>0</v>
      </c>
      <c r="Y42" s="7">
        <v>0</v>
      </c>
    </row>
    <row r="43" spans="1:25" x14ac:dyDescent="0.25">
      <c r="A43" s="13" t="s">
        <v>135</v>
      </c>
      <c r="B43" s="8">
        <v>0.88500000000000001</v>
      </c>
      <c r="C43" s="8">
        <v>0.122</v>
      </c>
      <c r="D43" s="8">
        <v>0.6</v>
      </c>
      <c r="E43" s="8">
        <v>0.63178807947019866</v>
      </c>
      <c r="F43" s="8">
        <v>0.30399999999999999</v>
      </c>
      <c r="G43" s="8">
        <v>0.112</v>
      </c>
      <c r="H43" s="8">
        <v>0.52600000000000002</v>
      </c>
      <c r="I43" s="8">
        <v>0.50329877474081064</v>
      </c>
      <c r="J43" s="8">
        <v>0.115</v>
      </c>
      <c r="K43" s="8">
        <v>0.15231788079470199</v>
      </c>
      <c r="L43" s="8">
        <v>0.94262295081967218</v>
      </c>
      <c r="M43" s="8">
        <v>0.10744580584354384</v>
      </c>
      <c r="N43" s="8">
        <v>2.8148148148148149</v>
      </c>
      <c r="O43" s="8">
        <v>0.30198675496688743</v>
      </c>
      <c r="P43" s="8">
        <v>0.81415929203539816</v>
      </c>
      <c r="Q43" s="8">
        <v>2.4782608695652177</v>
      </c>
      <c r="R43" s="7">
        <v>2</v>
      </c>
      <c r="S43" s="7">
        <v>0</v>
      </c>
      <c r="T43" s="7">
        <v>1</v>
      </c>
      <c r="U43" s="7">
        <v>0</v>
      </c>
      <c r="V43" s="7">
        <v>0</v>
      </c>
      <c r="W43" s="7">
        <v>1</v>
      </c>
      <c r="X43" s="7">
        <v>0</v>
      </c>
      <c r="Y43" s="7">
        <v>0</v>
      </c>
    </row>
    <row r="44" spans="1:25" x14ac:dyDescent="0.25">
      <c r="A44" s="13" t="s">
        <v>136</v>
      </c>
      <c r="B44" s="8">
        <v>1.0329999999999999</v>
      </c>
      <c r="C44" s="8">
        <v>0.13400000000000001</v>
      </c>
      <c r="D44" s="8">
        <v>0.74545454545454548</v>
      </c>
      <c r="E44" s="8">
        <v>0.72027972027972031</v>
      </c>
      <c r="F44" s="8">
        <v>0.28999999999999998</v>
      </c>
      <c r="G44" s="8">
        <v>0.114</v>
      </c>
      <c r="H44" s="8">
        <v>0.5</v>
      </c>
      <c r="I44" s="8">
        <v>0.50373320059731208</v>
      </c>
      <c r="J44" s="8">
        <v>0.12</v>
      </c>
      <c r="K44" s="8">
        <v>0.16783216783216784</v>
      </c>
      <c r="L44" s="8">
        <v>0.89552238805970141</v>
      </c>
      <c r="M44" s="8">
        <v>0.11299153807864611</v>
      </c>
      <c r="N44" s="8">
        <v>2.948051948051948</v>
      </c>
      <c r="O44" s="8">
        <v>0.31748251748251749</v>
      </c>
      <c r="P44" s="8">
        <v>0.87401574803149606</v>
      </c>
      <c r="Q44" s="8">
        <v>2.045045045045045</v>
      </c>
      <c r="R44" s="7">
        <v>2</v>
      </c>
      <c r="S44" s="7">
        <v>0</v>
      </c>
      <c r="T44" s="7">
        <v>1</v>
      </c>
      <c r="U44" s="7">
        <v>0</v>
      </c>
      <c r="V44" s="7">
        <v>0</v>
      </c>
      <c r="W44" s="7">
        <v>1</v>
      </c>
      <c r="X44" s="7">
        <v>0</v>
      </c>
      <c r="Y44" s="7">
        <v>0</v>
      </c>
    </row>
    <row r="45" spans="1:25" x14ac:dyDescent="0.25">
      <c r="A45" s="13" t="s">
        <v>137</v>
      </c>
      <c r="B45" s="8">
        <v>0.82199999999999995</v>
      </c>
      <c r="C45" s="8">
        <v>0.126</v>
      </c>
      <c r="D45" s="8">
        <v>0.57429718875502012</v>
      </c>
      <c r="E45" s="8">
        <v>0.64257028112449799</v>
      </c>
      <c r="F45" s="8">
        <v>0.30599999999999999</v>
      </c>
      <c r="G45" s="8">
        <v>0.123</v>
      </c>
      <c r="H45" s="8">
        <v>0.48299999999999998</v>
      </c>
      <c r="I45" s="8">
        <v>0.49564375605033889</v>
      </c>
      <c r="J45" s="8">
        <v>0.121</v>
      </c>
      <c r="K45" s="8">
        <v>0.16198125836680052</v>
      </c>
      <c r="L45" s="8">
        <v>0.96031746031746024</v>
      </c>
      <c r="M45" s="8">
        <v>0.11519845111326235</v>
      </c>
      <c r="N45" s="8">
        <v>2.867469879518072</v>
      </c>
      <c r="O45" s="8">
        <v>0.31860776439089689</v>
      </c>
      <c r="P45" s="8">
        <v>0.9137931034482758</v>
      </c>
      <c r="Q45" s="8">
        <v>2.2452830188679247</v>
      </c>
      <c r="R45" s="7">
        <v>2</v>
      </c>
      <c r="S45" s="7">
        <v>0</v>
      </c>
      <c r="T45" s="7">
        <v>1</v>
      </c>
      <c r="U45" s="7">
        <v>0</v>
      </c>
      <c r="V45" s="7">
        <v>0</v>
      </c>
      <c r="W45" s="7">
        <v>1</v>
      </c>
      <c r="X45" s="7">
        <v>0</v>
      </c>
      <c r="Y45" s="7">
        <v>0</v>
      </c>
    </row>
    <row r="46" spans="1:25" x14ac:dyDescent="0.25">
      <c r="A46" s="13" t="s">
        <v>138</v>
      </c>
      <c r="B46" s="8">
        <v>1.0049999999999999</v>
      </c>
      <c r="C46" s="8">
        <v>0.13500000000000001</v>
      </c>
      <c r="D46" s="8">
        <v>0.69123783031988872</v>
      </c>
      <c r="E46" s="8">
        <v>0.65368567454798332</v>
      </c>
      <c r="F46" s="8">
        <v>0.26200000000000001</v>
      </c>
      <c r="G46" s="8">
        <v>0.105</v>
      </c>
      <c r="H46" s="8">
        <v>0.51200000000000001</v>
      </c>
      <c r="I46" s="8">
        <v>0.49333333333333335</v>
      </c>
      <c r="J46" s="8">
        <v>0.12</v>
      </c>
      <c r="K46" s="8">
        <v>0.16689847009735745</v>
      </c>
      <c r="L46" s="8">
        <v>0.88888888888888884</v>
      </c>
      <c r="M46" s="8">
        <v>0.1138095238095238</v>
      </c>
      <c r="N46" s="8">
        <v>3.1866666666666665</v>
      </c>
      <c r="O46" s="8">
        <v>0.33240611961057026</v>
      </c>
      <c r="P46" s="8">
        <v>1</v>
      </c>
      <c r="Q46" s="8">
        <v>2.1531531531531529</v>
      </c>
      <c r="R46" s="7">
        <v>2</v>
      </c>
      <c r="S46" s="7">
        <v>0</v>
      </c>
      <c r="T46" s="7">
        <v>1</v>
      </c>
      <c r="U46" s="7">
        <v>0</v>
      </c>
      <c r="V46" s="7">
        <v>0</v>
      </c>
      <c r="W46" s="7">
        <v>1</v>
      </c>
      <c r="X46" s="7">
        <v>0</v>
      </c>
      <c r="Y46" s="7">
        <v>0</v>
      </c>
    </row>
    <row r="47" spans="1:25" x14ac:dyDescent="0.25">
      <c r="A47" s="13" t="s">
        <v>139</v>
      </c>
      <c r="B47" s="8">
        <v>0.95199999999999996</v>
      </c>
      <c r="C47" s="8">
        <v>0.13400000000000001</v>
      </c>
      <c r="D47" s="8">
        <v>0.65839416058394162</v>
      </c>
      <c r="E47" s="8">
        <v>0.6598540145985401</v>
      </c>
      <c r="F47" s="8">
        <v>0.29199999999999998</v>
      </c>
      <c r="G47" s="8">
        <v>0.13500000000000001</v>
      </c>
      <c r="H47" s="8">
        <v>0.48499999999999999</v>
      </c>
      <c r="I47" s="8">
        <v>0.4715672676837725</v>
      </c>
      <c r="J47" s="8">
        <v>0.11</v>
      </c>
      <c r="K47" s="8">
        <v>0.16058394160583941</v>
      </c>
      <c r="L47" s="8">
        <v>0.82089552238805963</v>
      </c>
      <c r="M47" s="8">
        <v>0.10679611650485436</v>
      </c>
      <c r="N47" s="8">
        <v>2.6860465116279073</v>
      </c>
      <c r="O47" s="8">
        <v>0.33722627737226274</v>
      </c>
      <c r="P47" s="8">
        <v>0.88983050847457623</v>
      </c>
      <c r="Q47" s="8">
        <v>2.2000000000000002</v>
      </c>
      <c r="R47" s="7">
        <v>2</v>
      </c>
      <c r="S47" s="7">
        <v>0</v>
      </c>
      <c r="T47" s="7">
        <v>1</v>
      </c>
      <c r="U47" s="7">
        <v>0</v>
      </c>
      <c r="V47" s="7">
        <v>0</v>
      </c>
      <c r="W47" s="7">
        <v>1</v>
      </c>
      <c r="X47" s="7">
        <v>0</v>
      </c>
      <c r="Y47" s="7">
        <v>0</v>
      </c>
    </row>
    <row r="48" spans="1:25" x14ac:dyDescent="0.25">
      <c r="A48" s="13" t="s">
        <v>140</v>
      </c>
      <c r="B48" s="8">
        <v>0.97499999999999998</v>
      </c>
      <c r="C48" s="8">
        <v>0.13700000000000001</v>
      </c>
      <c r="D48" s="8">
        <v>0.6622864651773982</v>
      </c>
      <c r="E48" s="8">
        <v>0.66885676741130096</v>
      </c>
      <c r="F48" s="8">
        <v>0.30299999999999999</v>
      </c>
      <c r="G48" s="8">
        <v>0.13700000000000001</v>
      </c>
      <c r="H48" s="8">
        <v>0.54</v>
      </c>
      <c r="I48" s="8">
        <v>0.49592760180995482</v>
      </c>
      <c r="J48" s="8">
        <v>0.11600000000000001</v>
      </c>
      <c r="K48" s="8">
        <v>0.15243101182654403</v>
      </c>
      <c r="L48" s="8">
        <v>0.84671532846715325</v>
      </c>
      <c r="M48" s="8">
        <v>0.10542986425339368</v>
      </c>
      <c r="N48" s="8">
        <v>2.9125000000000001</v>
      </c>
      <c r="O48" s="8">
        <v>0.30617608409986863</v>
      </c>
      <c r="P48" s="8">
        <v>0.81746031746031744</v>
      </c>
      <c r="Q48" s="8">
        <v>2.2621359223300974</v>
      </c>
      <c r="R48" s="7">
        <v>2</v>
      </c>
      <c r="S48" s="7">
        <v>0</v>
      </c>
      <c r="T48" s="7">
        <v>1</v>
      </c>
      <c r="U48" s="7">
        <v>0</v>
      </c>
      <c r="V48" s="7">
        <v>0</v>
      </c>
      <c r="W48" s="7">
        <v>1</v>
      </c>
      <c r="X48" s="7">
        <v>0</v>
      </c>
      <c r="Y48" s="7">
        <v>0</v>
      </c>
    </row>
    <row r="49" spans="1:25" x14ac:dyDescent="0.25">
      <c r="A49" s="13" t="s">
        <v>141</v>
      </c>
      <c r="B49" s="8">
        <v>0.84399999999999997</v>
      </c>
      <c r="C49" s="8">
        <v>0.13700000000000001</v>
      </c>
      <c r="D49" s="8">
        <v>0.67542503863987635</v>
      </c>
      <c r="E49" s="8">
        <v>0.58268933539412671</v>
      </c>
      <c r="F49" s="8">
        <v>0.28699999999999998</v>
      </c>
      <c r="G49" s="8">
        <v>0.114</v>
      </c>
      <c r="H49" s="8">
        <v>0.434</v>
      </c>
      <c r="I49" s="8">
        <v>0.45663531870428425</v>
      </c>
      <c r="J49" s="8">
        <v>0.115</v>
      </c>
      <c r="K49" s="8">
        <v>0.1777434312210201</v>
      </c>
      <c r="L49" s="8">
        <v>0.83941605839416056</v>
      </c>
      <c r="M49" s="8">
        <v>0.10031347962382446</v>
      </c>
      <c r="N49" s="8">
        <v>2.6301369863013702</v>
      </c>
      <c r="O49" s="8">
        <v>0.29675425038639874</v>
      </c>
      <c r="P49" s="8">
        <v>1.1512605042016808</v>
      </c>
      <c r="Q49" s="8">
        <v>1.4014598540145984</v>
      </c>
      <c r="R49" s="7">
        <v>2</v>
      </c>
      <c r="S49" s="7">
        <v>0</v>
      </c>
      <c r="T49" s="7">
        <v>1</v>
      </c>
      <c r="U49" s="7">
        <v>0</v>
      </c>
      <c r="V49" s="7">
        <v>0</v>
      </c>
      <c r="W49" s="7">
        <v>1</v>
      </c>
      <c r="X49" s="7">
        <v>0</v>
      </c>
      <c r="Y49" s="7">
        <v>0</v>
      </c>
    </row>
    <row r="50" spans="1:25" x14ac:dyDescent="0.25">
      <c r="A50" s="13" t="s">
        <v>142</v>
      </c>
      <c r="B50" s="8">
        <v>0.85699999999999998</v>
      </c>
      <c r="C50" s="8">
        <v>0.13</v>
      </c>
      <c r="D50" s="8">
        <v>0.82790697674418601</v>
      </c>
      <c r="E50" s="8">
        <v>0.78720930232558151</v>
      </c>
      <c r="F50" s="8">
        <v>0.255</v>
      </c>
      <c r="G50" s="8">
        <v>0.111</v>
      </c>
      <c r="H50" s="8">
        <v>0.49299999999999999</v>
      </c>
      <c r="I50" s="8">
        <v>0.7476446837146703</v>
      </c>
      <c r="J50" s="8">
        <v>9.6000000000000002E-2</v>
      </c>
      <c r="K50" s="8">
        <v>0.11162790697674418</v>
      </c>
      <c r="L50" s="8">
        <v>0.7384615384615385</v>
      </c>
      <c r="M50" s="8">
        <v>0.13055181695827725</v>
      </c>
      <c r="N50" s="8">
        <v>1.6302521008403363</v>
      </c>
      <c r="O50" s="8">
        <v>0.22558139534883723</v>
      </c>
      <c r="P50" s="8">
        <v>0.89380530973451333</v>
      </c>
      <c r="Q50" s="8">
        <v>1.9207920792079207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</row>
    <row r="51" spans="1:25" x14ac:dyDescent="0.25">
      <c r="A51" s="13" t="s">
        <v>143</v>
      </c>
      <c r="B51" s="8">
        <v>1.5720000000000001</v>
      </c>
      <c r="C51" s="8">
        <v>0.121</v>
      </c>
      <c r="D51" s="8">
        <v>0.68444444444444441</v>
      </c>
      <c r="E51" s="8">
        <v>0.71888888888888891</v>
      </c>
      <c r="F51" s="8">
        <v>0.27900000000000003</v>
      </c>
      <c r="G51" s="8">
        <v>0.11600000000000001</v>
      </c>
      <c r="H51" s="8">
        <v>0.61199999999999999</v>
      </c>
      <c r="I51" s="8">
        <v>0.70223752151462993</v>
      </c>
      <c r="J51" s="8">
        <v>9.9000000000000005E-2</v>
      </c>
      <c r="K51" s="8">
        <v>0.11</v>
      </c>
      <c r="L51" s="8">
        <v>0.81818181818181823</v>
      </c>
      <c r="M51" s="8">
        <v>0.1095811818703385</v>
      </c>
      <c r="N51" s="8">
        <v>1.3356643356643358</v>
      </c>
      <c r="O51" s="8">
        <v>0.21222222222222223</v>
      </c>
      <c r="P51" s="8">
        <v>0.88976377952755903</v>
      </c>
      <c r="Q51" s="8">
        <v>1.6902654867256637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</row>
    <row r="52" spans="1:25" x14ac:dyDescent="0.25">
      <c r="A52" s="13" t="s">
        <v>144</v>
      </c>
      <c r="B52" s="8">
        <v>1.2170000000000001</v>
      </c>
      <c r="C52" s="8">
        <v>0.14099999999999999</v>
      </c>
      <c r="D52" s="8">
        <v>0.70517051705170519</v>
      </c>
      <c r="E52" s="8">
        <v>0.76897689768976896</v>
      </c>
      <c r="F52" s="8">
        <v>0.27100000000000002</v>
      </c>
      <c r="G52" s="8">
        <v>0.109</v>
      </c>
      <c r="H52" s="8">
        <v>0.55100000000000005</v>
      </c>
      <c r="I52" s="8">
        <v>0.79985855728429989</v>
      </c>
      <c r="J52" s="8">
        <v>9.5000000000000001E-2</v>
      </c>
      <c r="K52" s="8">
        <v>0.10451045104510451</v>
      </c>
      <c r="L52" s="8">
        <v>0.67375886524822703</v>
      </c>
      <c r="M52" s="8">
        <v>0.13154172560113156</v>
      </c>
      <c r="N52" s="8">
        <v>1.4090909090909089</v>
      </c>
      <c r="O52" s="8">
        <v>0.2046204620462046</v>
      </c>
      <c r="P52" s="8">
        <v>0.90476190476190477</v>
      </c>
      <c r="Q52" s="8">
        <v>1.9578947368421051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</row>
    <row r="53" spans="1:25" x14ac:dyDescent="0.25">
      <c r="A53" s="13" t="s">
        <v>145</v>
      </c>
      <c r="B53" s="8">
        <v>1.359</v>
      </c>
      <c r="C53" s="8">
        <v>0.13800000000000001</v>
      </c>
      <c r="D53" s="8">
        <v>0.77985948477751765</v>
      </c>
      <c r="E53" s="8">
        <v>0.78688524590163944</v>
      </c>
      <c r="F53" s="8">
        <v>0.28499999999999998</v>
      </c>
      <c r="G53" s="8">
        <v>0.127</v>
      </c>
      <c r="H53" s="8">
        <v>0.54700000000000004</v>
      </c>
      <c r="I53" s="8">
        <v>0.60541384695471112</v>
      </c>
      <c r="J53" s="8">
        <v>0.1</v>
      </c>
      <c r="K53" s="8">
        <v>0.117096018735363</v>
      </c>
      <c r="L53" s="8">
        <v>0.72463768115942029</v>
      </c>
      <c r="M53" s="8">
        <v>0.107756376887038</v>
      </c>
      <c r="N53" s="8">
        <v>1.38</v>
      </c>
      <c r="O53" s="8">
        <v>0.2423887587822014</v>
      </c>
      <c r="P53" s="8">
        <v>0.59722222222222221</v>
      </c>
      <c r="Q53" s="8">
        <v>2.4069767441860468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</row>
    <row r="54" spans="1:25" x14ac:dyDescent="0.25">
      <c r="A54" s="13" t="s">
        <v>146</v>
      </c>
      <c r="B54" s="8"/>
      <c r="C54" s="8">
        <v>0.13700000000000001</v>
      </c>
      <c r="D54" s="8">
        <v>0.77250726040658291</v>
      </c>
      <c r="E54" s="8">
        <v>0.70474346563407553</v>
      </c>
      <c r="F54" s="8">
        <v>0.22500000000000001</v>
      </c>
      <c r="G54" s="8">
        <v>0.10199999999999999</v>
      </c>
      <c r="H54" s="8">
        <v>0.65400000000000003</v>
      </c>
      <c r="I54" s="8">
        <v>0.62962962962962965</v>
      </c>
      <c r="J54" s="8">
        <v>9.8000000000000004E-2</v>
      </c>
      <c r="K54" s="8">
        <v>9.4869312681510179E-2</v>
      </c>
      <c r="L54" s="8">
        <v>0.71532846715328469</v>
      </c>
      <c r="M54" s="8">
        <v>0.11248285322359397</v>
      </c>
      <c r="N54" s="8">
        <v>2.2990654205607477</v>
      </c>
      <c r="O54" s="8">
        <v>0.23814133591481124</v>
      </c>
      <c r="P54" s="8">
        <v>1.2323232323232323</v>
      </c>
      <c r="Q54" s="8">
        <v>2.0163934426229506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</row>
    <row r="55" spans="1:25" x14ac:dyDescent="0.25">
      <c r="A55" s="13" t="s">
        <v>147</v>
      </c>
      <c r="B55" s="8">
        <v>1.145</v>
      </c>
      <c r="C55" s="8">
        <v>0.13600000000000001</v>
      </c>
      <c r="D55" s="8">
        <v>0.8010695187165775</v>
      </c>
      <c r="E55" s="8">
        <v>0.77967914438502672</v>
      </c>
      <c r="F55" s="8">
        <v>0.28999999999999998</v>
      </c>
      <c r="G55" s="8">
        <v>9.7000000000000003E-2</v>
      </c>
      <c r="H55" s="8">
        <v>0.61399999999999999</v>
      </c>
      <c r="I55" s="8">
        <v>0.65151515151515149</v>
      </c>
      <c r="J55" s="8">
        <v>7.8E-2</v>
      </c>
      <c r="K55" s="8">
        <v>8.3422459893048126E-2</v>
      </c>
      <c r="L55" s="8">
        <v>0.57352941176470584</v>
      </c>
      <c r="M55" s="8">
        <v>0.12957157784743992</v>
      </c>
      <c r="N55" s="8">
        <v>2.2962962962962963</v>
      </c>
      <c r="O55" s="8">
        <v>0.26524064171122991</v>
      </c>
      <c r="P55" s="8">
        <v>1</v>
      </c>
      <c r="Q55" s="8">
        <v>2.3177570093457942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</row>
    <row r="56" spans="1:25" x14ac:dyDescent="0.25">
      <c r="A56" s="13" t="s">
        <v>148</v>
      </c>
      <c r="B56" s="8"/>
      <c r="C56" s="8">
        <v>0.14899999999999999</v>
      </c>
      <c r="D56" s="8">
        <v>0.83333333333333337</v>
      </c>
      <c r="E56" s="8">
        <v>0.79454926624737954</v>
      </c>
      <c r="F56" s="8">
        <v>0.29699999999999999</v>
      </c>
      <c r="G56" s="8">
        <v>9.7000000000000003E-2</v>
      </c>
      <c r="H56" s="8">
        <v>0.65900000000000003</v>
      </c>
      <c r="I56" s="8">
        <v>0.66763848396501468</v>
      </c>
      <c r="J56" s="8">
        <v>9.0999999999999998E-2</v>
      </c>
      <c r="K56" s="8">
        <v>9.5387840670859536E-2</v>
      </c>
      <c r="L56" s="8">
        <v>0.61073825503355705</v>
      </c>
      <c r="M56" s="8">
        <v>0.12196307094266279</v>
      </c>
      <c r="N56" s="8">
        <v>2.057377049180328</v>
      </c>
      <c r="O56" s="8">
        <v>0.26310272536687634</v>
      </c>
      <c r="P56" s="8">
        <v>1.1470588235294119</v>
      </c>
      <c r="Q56" s="8">
        <v>2.1452991452991452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</row>
    <row r="57" spans="1:25" x14ac:dyDescent="0.25">
      <c r="A57" s="13" t="s">
        <v>149</v>
      </c>
      <c r="B57" s="8">
        <v>1.335</v>
      </c>
      <c r="C57" s="8">
        <v>0.13400000000000001</v>
      </c>
      <c r="D57" s="8">
        <v>0.80477673935617866</v>
      </c>
      <c r="E57" s="8">
        <v>0.73312564901349941</v>
      </c>
      <c r="F57" s="8">
        <v>0.29499999999999998</v>
      </c>
      <c r="G57" s="8">
        <v>0.10100000000000001</v>
      </c>
      <c r="H57" s="8">
        <v>0.67600000000000005</v>
      </c>
      <c r="I57" s="8">
        <v>0.78431372549019596</v>
      </c>
      <c r="J57" s="8">
        <v>0.115</v>
      </c>
      <c r="K57" s="8">
        <v>0.11941848390446522</v>
      </c>
      <c r="L57" s="8">
        <v>0.85820895522388063</v>
      </c>
      <c r="M57" s="8">
        <v>0.15574229691876751</v>
      </c>
      <c r="N57" s="8">
        <v>2.2975206611570251</v>
      </c>
      <c r="O57" s="8">
        <v>0.28868120456905505</v>
      </c>
      <c r="P57" s="8">
        <v>0.80689655172413799</v>
      </c>
      <c r="Q57" s="8">
        <v>2.3760683760683761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</row>
    <row r="58" spans="1:25" x14ac:dyDescent="0.25">
      <c r="A58" s="13" t="s">
        <v>150</v>
      </c>
      <c r="B58" s="8">
        <v>1.883</v>
      </c>
      <c r="C58" s="8">
        <v>0.16500000000000001</v>
      </c>
      <c r="D58" s="8">
        <v>0.9860365198711063</v>
      </c>
      <c r="E58" s="8">
        <v>0.84962406015037595</v>
      </c>
      <c r="F58" s="8">
        <v>0.223</v>
      </c>
      <c r="G58" s="8">
        <v>0.12</v>
      </c>
      <c r="H58" s="8">
        <v>0.59499999999999997</v>
      </c>
      <c r="I58" s="8">
        <v>0.59528392685274301</v>
      </c>
      <c r="J58" s="8">
        <v>0.11</v>
      </c>
      <c r="K58" s="8">
        <v>0.11815252416756175</v>
      </c>
      <c r="L58" s="8">
        <v>0.66666666666666663</v>
      </c>
      <c r="M58" s="8">
        <v>0.10587102983638112</v>
      </c>
      <c r="N58" s="8">
        <v>1.6417910447761193</v>
      </c>
      <c r="O58" s="8">
        <v>0.2363050483351235</v>
      </c>
      <c r="P58" s="8"/>
      <c r="Q58" s="8"/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</row>
    <row r="59" spans="1:25" x14ac:dyDescent="0.25">
      <c r="A59" s="13" t="s">
        <v>79</v>
      </c>
      <c r="B59" s="8">
        <v>1.66</v>
      </c>
      <c r="C59" s="8">
        <v>0.15</v>
      </c>
      <c r="D59" s="8">
        <v>0.60341880341880338</v>
      </c>
      <c r="E59" s="8">
        <v>0.59829059829059827</v>
      </c>
      <c r="F59" s="8">
        <v>0.36</v>
      </c>
      <c r="G59" s="8"/>
      <c r="H59" s="8">
        <v>0.68</v>
      </c>
      <c r="I59" s="8">
        <v>0.61390887290167873</v>
      </c>
      <c r="J59" s="8">
        <v>0.12</v>
      </c>
      <c r="K59" s="8">
        <v>0.10256410256410256</v>
      </c>
      <c r="L59" s="8">
        <v>0.8</v>
      </c>
      <c r="M59" s="8">
        <v>0.10071942446043165</v>
      </c>
      <c r="N59" s="8"/>
      <c r="O59" s="8">
        <v>0.17948717948717949</v>
      </c>
      <c r="P59" s="8"/>
      <c r="Q59" s="8"/>
      <c r="R59" s="7">
        <v>1</v>
      </c>
      <c r="S59" s="7">
        <v>0</v>
      </c>
      <c r="T59" s="7">
        <v>2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</row>
    <row r="60" spans="1:25" x14ac:dyDescent="0.25">
      <c r="A60" s="13" t="s">
        <v>78</v>
      </c>
      <c r="B60" s="8">
        <v>1.59</v>
      </c>
      <c r="C60" s="8">
        <v>0.156</v>
      </c>
      <c r="D60" s="8">
        <v>0.7722772277227723</v>
      </c>
      <c r="E60" s="8">
        <v>0.70297029702970293</v>
      </c>
      <c r="F60" s="8">
        <v>0.35299999999999998</v>
      </c>
      <c r="G60" s="8"/>
      <c r="H60" s="8">
        <v>0.77500000000000002</v>
      </c>
      <c r="I60" s="8">
        <v>0.55004135649296937</v>
      </c>
      <c r="J60" s="8">
        <v>0.125</v>
      </c>
      <c r="K60" s="8">
        <v>0.12376237623762376</v>
      </c>
      <c r="L60" s="8">
        <v>0.80128205128205132</v>
      </c>
      <c r="M60" s="8">
        <v>8.6848635235731997E-2</v>
      </c>
      <c r="N60" s="8"/>
      <c r="O60" s="8">
        <v>0.20792079207920791</v>
      </c>
      <c r="P60" s="8"/>
      <c r="Q60" s="8"/>
      <c r="R60" s="7">
        <v>1</v>
      </c>
      <c r="S60" s="7">
        <v>0</v>
      </c>
      <c r="T60" s="7">
        <v>2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</row>
    <row r="61" spans="1:25" x14ac:dyDescent="0.25">
      <c r="A61" s="13" t="s">
        <v>77</v>
      </c>
      <c r="B61" s="8"/>
      <c r="C61" s="8">
        <v>0.19</v>
      </c>
      <c r="D61" s="8">
        <v>0.75739130434782609</v>
      </c>
      <c r="E61" s="8">
        <v>0.71739130434782605</v>
      </c>
      <c r="F61" s="8">
        <v>0.33</v>
      </c>
      <c r="G61" s="8">
        <v>0.161</v>
      </c>
      <c r="H61" s="8">
        <v>0.8</v>
      </c>
      <c r="I61" s="8">
        <v>0.5229681978798586</v>
      </c>
      <c r="J61" s="8">
        <v>0.113</v>
      </c>
      <c r="K61" s="8">
        <v>9.8260869565217401E-2</v>
      </c>
      <c r="L61" s="8">
        <v>0.59473684210526312</v>
      </c>
      <c r="M61" s="8">
        <v>9.187279151943463E-2</v>
      </c>
      <c r="N61" s="8">
        <v>2.3636363636363638</v>
      </c>
      <c r="O61" s="8">
        <v>0.22608695652173916</v>
      </c>
      <c r="P61" s="8">
        <v>0.82758620689655171</v>
      </c>
      <c r="Q61" s="8">
        <v>2.166666666666667</v>
      </c>
      <c r="R61" s="7">
        <v>1</v>
      </c>
      <c r="S61" s="7">
        <v>0</v>
      </c>
      <c r="T61" s="7">
        <v>2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</row>
    <row r="62" spans="1:25" x14ac:dyDescent="0.25">
      <c r="A62" s="13" t="s">
        <v>151</v>
      </c>
      <c r="B62" s="8">
        <v>1.5309999999999999</v>
      </c>
      <c r="C62" s="8">
        <v>0.14899999999999999</v>
      </c>
      <c r="D62" s="8">
        <v>0.68884339815762541</v>
      </c>
      <c r="E62" s="8">
        <v>0.73694984646878192</v>
      </c>
      <c r="F62" s="8">
        <v>0.372</v>
      </c>
      <c r="G62" s="8">
        <v>0.114</v>
      </c>
      <c r="H62" s="8">
        <v>0.67100000000000004</v>
      </c>
      <c r="I62" s="8">
        <v>0.57161290322580638</v>
      </c>
      <c r="J62" s="8">
        <v>0.125</v>
      </c>
      <c r="K62" s="8">
        <v>0.12794268167860798</v>
      </c>
      <c r="L62" s="8">
        <v>0.83892617449664431</v>
      </c>
      <c r="M62" s="8">
        <v>8.6881720430107529E-2</v>
      </c>
      <c r="N62" s="8">
        <v>1.7719298245614035</v>
      </c>
      <c r="O62" s="8">
        <v>0.20675537359263052</v>
      </c>
      <c r="P62" s="8">
        <v>0.99328859060402686</v>
      </c>
      <c r="Q62" s="8">
        <v>1.3648648648648649</v>
      </c>
      <c r="R62" s="7">
        <v>1</v>
      </c>
      <c r="S62" s="7">
        <v>0</v>
      </c>
      <c r="T62" s="7">
        <v>2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</row>
    <row r="63" spans="1:25" x14ac:dyDescent="0.25">
      <c r="A63" s="13" t="s">
        <v>152</v>
      </c>
      <c r="B63" s="8">
        <v>1.3019999999999998</v>
      </c>
      <c r="C63" s="8">
        <v>0.14199999999999999</v>
      </c>
      <c r="D63" s="8">
        <v>0.63508064516129037</v>
      </c>
      <c r="E63" s="8">
        <v>0.67237903225806461</v>
      </c>
      <c r="F63" s="8">
        <v>0.375</v>
      </c>
      <c r="G63" s="8">
        <v>0.105</v>
      </c>
      <c r="H63" s="8">
        <v>0.65100000000000002</v>
      </c>
      <c r="I63" s="8">
        <v>0.5933970460469159</v>
      </c>
      <c r="J63" s="8">
        <v>0.123</v>
      </c>
      <c r="K63" s="8">
        <v>0.12399193548387097</v>
      </c>
      <c r="L63" s="8">
        <v>0.86619718309859162</v>
      </c>
      <c r="M63" s="8">
        <v>9.6872284969591674E-2</v>
      </c>
      <c r="N63" s="8">
        <v>2.0090090090090089</v>
      </c>
      <c r="O63" s="8">
        <v>0.22479838709677419</v>
      </c>
      <c r="P63" s="8">
        <v>0.90243902439024393</v>
      </c>
      <c r="Q63" s="8">
        <v>2.0090090090090089</v>
      </c>
      <c r="R63" s="7">
        <v>1</v>
      </c>
      <c r="S63" s="7">
        <v>0</v>
      </c>
      <c r="T63" s="7">
        <v>2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</row>
    <row r="64" spans="1:25" x14ac:dyDescent="0.25">
      <c r="A64" s="13" t="s">
        <v>153</v>
      </c>
      <c r="B64" s="8">
        <v>1.53</v>
      </c>
      <c r="C64" s="8">
        <v>0.16300000000000001</v>
      </c>
      <c r="D64" s="8">
        <v>0.75571002979145985</v>
      </c>
      <c r="E64" s="8">
        <v>0.77060575968222456</v>
      </c>
      <c r="F64" s="8">
        <v>0.378</v>
      </c>
      <c r="G64" s="8">
        <v>0.124</v>
      </c>
      <c r="H64" s="8">
        <v>0.56100000000000005</v>
      </c>
      <c r="I64" s="8">
        <v>0.58137254901960778</v>
      </c>
      <c r="J64" s="8">
        <v>0.111</v>
      </c>
      <c r="K64" s="8">
        <v>0.1102284011916584</v>
      </c>
      <c r="L64" s="8">
        <v>0.68098159509202449</v>
      </c>
      <c r="M64" s="8">
        <v>9.1176470588235289E-2</v>
      </c>
      <c r="N64" s="8">
        <v>2.1379310344827589</v>
      </c>
      <c r="O64" s="8">
        <v>0.18470705064548165</v>
      </c>
      <c r="P64" s="8">
        <v>1.1212121212121211</v>
      </c>
      <c r="Q64" s="8">
        <v>1.2567567567567568</v>
      </c>
      <c r="R64" s="7">
        <v>1</v>
      </c>
      <c r="S64" s="7">
        <v>0</v>
      </c>
      <c r="T64" s="7">
        <v>2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</row>
    <row r="65" spans="1:25" x14ac:dyDescent="0.25">
      <c r="A65" s="13" t="s">
        <v>154</v>
      </c>
      <c r="B65" s="8"/>
      <c r="C65" s="8">
        <v>0.14699999999999999</v>
      </c>
      <c r="D65" s="8">
        <v>0.83946830265848671</v>
      </c>
      <c r="E65" s="8">
        <v>0.77709611451942739</v>
      </c>
      <c r="F65" s="8">
        <v>0.30399999999999999</v>
      </c>
      <c r="G65" s="8">
        <v>0.10199999999999999</v>
      </c>
      <c r="H65" s="8">
        <v>0.63800000000000001</v>
      </c>
      <c r="I65" s="8">
        <v>0.56374674761491761</v>
      </c>
      <c r="J65" s="8">
        <v>0.122</v>
      </c>
      <c r="K65" s="8">
        <v>0.12474437627811862</v>
      </c>
      <c r="L65" s="8">
        <v>0.82993197278911568</v>
      </c>
      <c r="M65" s="8">
        <v>9.2801387684301823E-2</v>
      </c>
      <c r="N65" s="8">
        <v>2.2291666666666665</v>
      </c>
      <c r="O65" s="8">
        <v>0.21881390593047034</v>
      </c>
      <c r="P65" s="8">
        <v>1.1304347826086956</v>
      </c>
      <c r="Q65" s="8">
        <v>2.0576923076923079</v>
      </c>
      <c r="R65" s="7">
        <v>1</v>
      </c>
      <c r="S65" s="7">
        <v>0</v>
      </c>
      <c r="T65" s="7">
        <v>2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</row>
    <row r="66" spans="1:25" x14ac:dyDescent="0.25">
      <c r="A66" s="13" t="s">
        <v>155</v>
      </c>
      <c r="B66" s="8">
        <v>1.7289999999999999</v>
      </c>
      <c r="C66" s="8">
        <v>0.14599999999999999</v>
      </c>
      <c r="D66" s="8">
        <v>0.69673055242390081</v>
      </c>
      <c r="E66" s="8">
        <v>0.65952649379932349</v>
      </c>
      <c r="F66" s="8">
        <v>0.29299999999999998</v>
      </c>
      <c r="G66" s="8">
        <v>0.13100000000000001</v>
      </c>
      <c r="H66" s="8">
        <v>0.51100000000000001</v>
      </c>
      <c r="I66" s="8">
        <v>0.6166666666666667</v>
      </c>
      <c r="J66" s="8">
        <v>0.1</v>
      </c>
      <c r="K66" s="8">
        <v>0.11273957158962797</v>
      </c>
      <c r="L66" s="8">
        <v>0.68493150684931514</v>
      </c>
      <c r="M66" s="8">
        <v>8.611111111111111E-2</v>
      </c>
      <c r="N66" s="8">
        <v>1.4090909090909092</v>
      </c>
      <c r="O66" s="8">
        <v>0.17474633596392333</v>
      </c>
      <c r="P66" s="8"/>
      <c r="Q66" s="8"/>
      <c r="R66" s="7">
        <v>1</v>
      </c>
      <c r="S66" s="7">
        <v>0</v>
      </c>
      <c r="T66" s="7">
        <v>2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</row>
    <row r="67" spans="1:25" x14ac:dyDescent="0.25">
      <c r="A67" s="13" t="s">
        <v>156</v>
      </c>
      <c r="B67" s="8">
        <v>1.7389999999999999</v>
      </c>
      <c r="C67" s="8">
        <v>0.13400000000000001</v>
      </c>
      <c r="D67" s="8">
        <v>0.63791267305644306</v>
      </c>
      <c r="E67" s="8">
        <v>0.6485623003194888</v>
      </c>
      <c r="F67" s="8">
        <v>0.29399999999999998</v>
      </c>
      <c r="G67" s="8">
        <v>0.12</v>
      </c>
      <c r="H67" s="8">
        <v>0.504</v>
      </c>
      <c r="I67" s="8">
        <v>0.69675778766687868</v>
      </c>
      <c r="J67" s="8">
        <v>0.1</v>
      </c>
      <c r="K67" s="8">
        <v>0.10649627263045795</v>
      </c>
      <c r="L67" s="8">
        <v>0.74626865671641796</v>
      </c>
      <c r="M67" s="8">
        <v>0.10616656071201527</v>
      </c>
      <c r="N67" s="8">
        <v>1.7040816326530612</v>
      </c>
      <c r="O67" s="8">
        <v>0.17784877529286477</v>
      </c>
      <c r="P67" s="8">
        <v>0.90384615384615385</v>
      </c>
      <c r="Q67" s="8">
        <v>1.7765957446808511</v>
      </c>
      <c r="R67" s="7">
        <v>1</v>
      </c>
      <c r="S67" s="7">
        <v>0</v>
      </c>
      <c r="T67" s="7">
        <v>2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</row>
    <row r="68" spans="1:25" x14ac:dyDescent="0.25">
      <c r="A68" s="13" t="s">
        <v>157</v>
      </c>
      <c r="B68" s="8">
        <v>1.722</v>
      </c>
      <c r="C68" s="8">
        <v>0.153</v>
      </c>
      <c r="D68" s="8">
        <v>0.71692307692307689</v>
      </c>
      <c r="E68" s="8">
        <v>0.73435897435897435</v>
      </c>
      <c r="F68" s="8">
        <v>0.3</v>
      </c>
      <c r="G68" s="8">
        <v>0.13</v>
      </c>
      <c r="H68" s="8">
        <v>0.55000000000000004</v>
      </c>
      <c r="I68" s="8">
        <v>0.63790278536318945</v>
      </c>
      <c r="J68" s="8">
        <v>0.1</v>
      </c>
      <c r="K68" s="8">
        <v>0.10256410256410257</v>
      </c>
      <c r="L68" s="8">
        <v>0.65359477124183007</v>
      </c>
      <c r="M68" s="8">
        <v>0.11086837793555435</v>
      </c>
      <c r="N68" s="8">
        <v>1.8454545454545457</v>
      </c>
      <c r="O68" s="8">
        <v>0.20820512820512824</v>
      </c>
      <c r="P68" s="8">
        <v>0.820754716981132</v>
      </c>
      <c r="Q68" s="8">
        <v>2.3333333333333335</v>
      </c>
      <c r="R68" s="7">
        <v>1</v>
      </c>
      <c r="S68" s="7">
        <v>0</v>
      </c>
      <c r="T68" s="7">
        <v>2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</row>
    <row r="69" spans="1:25" x14ac:dyDescent="0.25">
      <c r="A69" s="13" t="s">
        <v>158</v>
      </c>
      <c r="B69" s="8">
        <v>1.96</v>
      </c>
      <c r="C69" s="8">
        <v>0.16</v>
      </c>
      <c r="D69" s="8">
        <v>0.70163618864292587</v>
      </c>
      <c r="E69" s="8">
        <v>0.69971126082771895</v>
      </c>
      <c r="F69" s="8">
        <v>0.32</v>
      </c>
      <c r="G69" s="8">
        <v>0.15</v>
      </c>
      <c r="H69" s="8">
        <v>0.56699999999999995</v>
      </c>
      <c r="I69" s="8">
        <v>0.67912439935931657</v>
      </c>
      <c r="J69" s="8">
        <v>0.1</v>
      </c>
      <c r="K69" s="8">
        <v>9.6246390760346495E-2</v>
      </c>
      <c r="L69" s="8">
        <v>0.625</v>
      </c>
      <c r="M69" s="8">
        <v>9.9305926321409499E-2</v>
      </c>
      <c r="N69" s="8">
        <v>2.1379310344827589</v>
      </c>
      <c r="O69" s="8">
        <v>0.17901828681424448</v>
      </c>
      <c r="P69" s="8">
        <v>0.83453237410071934</v>
      </c>
      <c r="Q69" s="8">
        <v>1.603448275862069</v>
      </c>
      <c r="R69" s="7">
        <v>1</v>
      </c>
      <c r="S69" s="7">
        <v>0</v>
      </c>
      <c r="T69" s="7">
        <v>2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</row>
    <row r="70" spans="1:25" x14ac:dyDescent="0.25">
      <c r="A70" s="13" t="s">
        <v>159</v>
      </c>
      <c r="B70" s="8">
        <v>1.6199999999999999</v>
      </c>
      <c r="C70" s="8">
        <v>0.16</v>
      </c>
      <c r="D70" s="8">
        <v>0.72448979591836737</v>
      </c>
      <c r="E70" s="8">
        <v>0.7142857142857143</v>
      </c>
      <c r="F70" s="8">
        <v>0.31</v>
      </c>
      <c r="G70" s="8">
        <v>0.15</v>
      </c>
      <c r="H70" s="8">
        <v>0.56699999999999995</v>
      </c>
      <c r="I70" s="8">
        <v>0.60667996011964109</v>
      </c>
      <c r="J70" s="8">
        <v>0.1</v>
      </c>
      <c r="K70" s="8">
        <v>0.10204081632653061</v>
      </c>
      <c r="L70" s="8">
        <v>0.625</v>
      </c>
      <c r="M70" s="8">
        <v>9.6211365902293108E-2</v>
      </c>
      <c r="N70" s="8">
        <v>1.8380952380952382</v>
      </c>
      <c r="O70" s="8">
        <v>0.19693877551020408</v>
      </c>
      <c r="P70" s="8">
        <v>0.84033613445378164</v>
      </c>
      <c r="Q70" s="8">
        <v>1.93</v>
      </c>
      <c r="R70" s="7">
        <v>1</v>
      </c>
      <c r="S70" s="7">
        <v>0</v>
      </c>
      <c r="T70" s="7">
        <v>2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</row>
    <row r="71" spans="1:25" x14ac:dyDescent="0.25">
      <c r="A71" s="13" t="s">
        <v>76</v>
      </c>
      <c r="B71" s="8">
        <v>1.623</v>
      </c>
      <c r="C71" s="8">
        <v>0.14599999999999999</v>
      </c>
      <c r="D71" s="8">
        <v>0.60869565217391319</v>
      </c>
      <c r="E71" s="8">
        <v>0.5860113421550095</v>
      </c>
      <c r="F71" s="8">
        <v>0.32700000000000001</v>
      </c>
      <c r="G71" s="8"/>
      <c r="H71" s="8"/>
      <c r="I71" s="8"/>
      <c r="J71" s="8"/>
      <c r="K71" s="8"/>
      <c r="L71" s="8"/>
      <c r="M71" s="8">
        <v>0.10703495899870522</v>
      </c>
      <c r="N71" s="8">
        <v>2.5567010309278349</v>
      </c>
      <c r="O71" s="8">
        <v>0.23440453686200383</v>
      </c>
      <c r="P71" s="8">
        <v>0.90909090909090917</v>
      </c>
      <c r="Q71" s="8">
        <v>2.48</v>
      </c>
      <c r="R71" s="7">
        <v>3</v>
      </c>
      <c r="S71" s="7">
        <v>2</v>
      </c>
      <c r="T71" s="7">
        <v>1</v>
      </c>
      <c r="U71" s="7">
        <v>0</v>
      </c>
      <c r="V71" s="7">
        <v>1</v>
      </c>
      <c r="W71" s="7">
        <v>0</v>
      </c>
      <c r="X71" s="7">
        <v>1</v>
      </c>
      <c r="Y71" s="7">
        <v>0</v>
      </c>
    </row>
    <row r="72" spans="1:25" x14ac:dyDescent="0.25">
      <c r="A72" s="13" t="s">
        <v>75</v>
      </c>
      <c r="B72" s="8">
        <v>1.6880000000000002</v>
      </c>
      <c r="C72" s="8">
        <v>0.128</v>
      </c>
      <c r="D72" s="8">
        <v>0.66420664206642055</v>
      </c>
      <c r="E72" s="8">
        <v>0.66420664206642055</v>
      </c>
      <c r="F72" s="8">
        <v>0.34899999999999998</v>
      </c>
      <c r="G72" s="8">
        <v>0.14499999999999999</v>
      </c>
      <c r="H72" s="8">
        <v>0.63500000000000001</v>
      </c>
      <c r="I72" s="8">
        <v>0.58835934204976803</v>
      </c>
      <c r="J72" s="8">
        <v>9.9000000000000005E-2</v>
      </c>
      <c r="K72" s="8">
        <v>9.1328413284132839E-2</v>
      </c>
      <c r="L72" s="8">
        <v>0.7734375</v>
      </c>
      <c r="M72" s="8">
        <v>0.10965837199493884</v>
      </c>
      <c r="N72" s="8">
        <v>1.8181818181818183</v>
      </c>
      <c r="O72" s="8">
        <v>0.23985239852398524</v>
      </c>
      <c r="P72" s="8">
        <v>1.7073170731707319</v>
      </c>
      <c r="Q72" s="8">
        <v>1.857142857142857</v>
      </c>
      <c r="R72" s="7">
        <v>3</v>
      </c>
      <c r="S72" s="7">
        <v>2</v>
      </c>
      <c r="T72" s="7">
        <v>1</v>
      </c>
      <c r="U72" s="7">
        <v>0</v>
      </c>
      <c r="V72" s="7">
        <v>1</v>
      </c>
      <c r="W72" s="7">
        <v>0</v>
      </c>
      <c r="X72" s="7">
        <v>1</v>
      </c>
      <c r="Y72" s="7">
        <v>0</v>
      </c>
    </row>
    <row r="73" spans="1:25" x14ac:dyDescent="0.25">
      <c r="A73" s="13" t="s">
        <v>74</v>
      </c>
      <c r="B73" s="8"/>
      <c r="C73" s="8">
        <v>0.13</v>
      </c>
      <c r="D73" s="8">
        <v>0.81052631578947376</v>
      </c>
      <c r="E73" s="8">
        <v>0.768421052631579</v>
      </c>
      <c r="F73" s="8"/>
      <c r="G73" s="8"/>
      <c r="H73" s="8">
        <v>0.64</v>
      </c>
      <c r="I73" s="8">
        <v>0.53108275010292305</v>
      </c>
      <c r="J73" s="8">
        <v>0.107</v>
      </c>
      <c r="K73" s="8">
        <v>0.11263157894736843</v>
      </c>
      <c r="L73" s="8">
        <v>0.82307692307692304</v>
      </c>
      <c r="M73" s="8">
        <v>0.10786331823795801</v>
      </c>
      <c r="N73" s="8">
        <v>2.62</v>
      </c>
      <c r="O73" s="8">
        <v>0.27578947368421053</v>
      </c>
      <c r="P73" s="8">
        <v>1.2264150943396228</v>
      </c>
      <c r="Q73" s="8">
        <v>2.0153846153846153</v>
      </c>
      <c r="R73" s="7">
        <v>3</v>
      </c>
      <c r="S73" s="7">
        <v>2</v>
      </c>
      <c r="T73" s="7">
        <v>1</v>
      </c>
      <c r="U73" s="7">
        <v>0</v>
      </c>
      <c r="V73" s="7">
        <v>1</v>
      </c>
      <c r="W73" s="7">
        <v>0</v>
      </c>
      <c r="X73" s="7">
        <v>1</v>
      </c>
      <c r="Y73" s="7">
        <v>0</v>
      </c>
    </row>
    <row r="74" spans="1:25" x14ac:dyDescent="0.25">
      <c r="A74" s="13" t="s">
        <v>90</v>
      </c>
      <c r="B74" s="8">
        <v>1.2500000000000002</v>
      </c>
      <c r="C74" s="8">
        <v>0.11</v>
      </c>
      <c r="D74" s="8">
        <v>0.67901234567901236</v>
      </c>
      <c r="E74" s="8">
        <v>0.66666666666666663</v>
      </c>
      <c r="F74" s="8">
        <v>0.25</v>
      </c>
      <c r="G74" s="8">
        <v>0.11</v>
      </c>
      <c r="H74" s="8">
        <v>0.42</v>
      </c>
      <c r="I74" s="8">
        <v>0.81526452732003463</v>
      </c>
      <c r="J74" s="8">
        <v>9.0999999999999998E-2</v>
      </c>
      <c r="K74" s="8">
        <v>0.11234567901234567</v>
      </c>
      <c r="L74" s="8">
        <v>0.82727272727272727</v>
      </c>
      <c r="M74" s="8">
        <v>0.1448395490026019</v>
      </c>
      <c r="N74" s="8">
        <v>1.9880952380952381</v>
      </c>
      <c r="O74" s="8">
        <v>0.20617283950617285</v>
      </c>
      <c r="P74" s="8"/>
      <c r="Q74" s="8"/>
      <c r="R74" s="7">
        <v>3</v>
      </c>
      <c r="S74" s="7">
        <v>2</v>
      </c>
      <c r="T74" s="7">
        <v>1</v>
      </c>
      <c r="U74" s="7">
        <v>0</v>
      </c>
      <c r="V74" s="7">
        <v>1</v>
      </c>
      <c r="W74" s="7">
        <v>0</v>
      </c>
      <c r="X74" s="7">
        <v>1</v>
      </c>
      <c r="Y74" s="7">
        <v>0</v>
      </c>
    </row>
    <row r="75" spans="1:25" x14ac:dyDescent="0.25">
      <c r="A75" s="13" t="s">
        <v>160</v>
      </c>
      <c r="B75" s="8">
        <v>1.4500000000000002</v>
      </c>
      <c r="C75" s="8">
        <v>0.12</v>
      </c>
      <c r="D75" s="8">
        <v>0.61797752808988771</v>
      </c>
      <c r="E75" s="8">
        <v>0.6629213483146067</v>
      </c>
      <c r="F75" s="8">
        <v>0.33</v>
      </c>
      <c r="G75" s="8">
        <v>0.13</v>
      </c>
      <c r="H75" s="8">
        <v>0.63</v>
      </c>
      <c r="I75" s="8">
        <v>0.52697095435684649</v>
      </c>
      <c r="J75" s="8">
        <v>0.12</v>
      </c>
      <c r="K75" s="8">
        <v>0.1348314606741573</v>
      </c>
      <c r="L75" s="8">
        <v>1</v>
      </c>
      <c r="M75" s="8">
        <v>0.11203319502074689</v>
      </c>
      <c r="N75" s="8">
        <v>2.2500000000000004</v>
      </c>
      <c r="O75" s="8">
        <v>0.30337078651685395</v>
      </c>
      <c r="P75" s="8">
        <v>0.85714285714285698</v>
      </c>
      <c r="Q75" s="8">
        <v>2.2500000000000004</v>
      </c>
      <c r="R75" s="7">
        <v>3</v>
      </c>
      <c r="S75" s="7">
        <v>2</v>
      </c>
      <c r="T75" s="7">
        <v>1</v>
      </c>
      <c r="U75" s="7">
        <v>0</v>
      </c>
      <c r="V75" s="7">
        <v>1</v>
      </c>
      <c r="W75" s="7">
        <v>0</v>
      </c>
      <c r="X75" s="7">
        <v>1</v>
      </c>
      <c r="Y75" s="7">
        <v>0</v>
      </c>
    </row>
    <row r="76" spans="1:25" x14ac:dyDescent="0.25">
      <c r="A76" s="13" t="s">
        <v>161</v>
      </c>
      <c r="B76" s="8"/>
      <c r="C76" s="8">
        <v>0.11</v>
      </c>
      <c r="D76" s="8">
        <v>0.67441860465116277</v>
      </c>
      <c r="E76" s="8">
        <v>0.61627906976744196</v>
      </c>
      <c r="F76" s="8">
        <v>0.26</v>
      </c>
      <c r="G76" s="8">
        <v>0.13</v>
      </c>
      <c r="H76" s="8">
        <v>0.42</v>
      </c>
      <c r="I76" s="8">
        <v>0.63313609467455623</v>
      </c>
      <c r="J76" s="8">
        <v>0.09</v>
      </c>
      <c r="K76" s="8">
        <v>0.10465116279069767</v>
      </c>
      <c r="L76" s="8">
        <v>0.81818181818181812</v>
      </c>
      <c r="M76" s="8">
        <v>0.10650887573964497</v>
      </c>
      <c r="N76" s="8">
        <v>1.5</v>
      </c>
      <c r="O76" s="8">
        <v>0.20930232558139533</v>
      </c>
      <c r="P76" s="8">
        <v>0.7777777777777779</v>
      </c>
      <c r="Q76" s="8">
        <v>2.5714285714285712</v>
      </c>
      <c r="R76" s="7">
        <v>3</v>
      </c>
      <c r="S76" s="7">
        <v>2</v>
      </c>
      <c r="T76" s="7">
        <v>1</v>
      </c>
      <c r="U76" s="7">
        <v>0</v>
      </c>
      <c r="V76" s="7">
        <v>1</v>
      </c>
      <c r="W76" s="7">
        <v>0</v>
      </c>
      <c r="X76" s="7">
        <v>1</v>
      </c>
      <c r="Y76" s="7">
        <v>0</v>
      </c>
    </row>
    <row r="77" spans="1:25" x14ac:dyDescent="0.25">
      <c r="A77" s="13" t="s">
        <v>162</v>
      </c>
      <c r="B77" s="8">
        <v>1.6300000000000001</v>
      </c>
      <c r="C77" s="8">
        <v>0.11</v>
      </c>
      <c r="D77" s="8">
        <v>0.7142857142857143</v>
      </c>
      <c r="E77" s="8">
        <v>0.70129870129870131</v>
      </c>
      <c r="F77" s="8">
        <v>0.27</v>
      </c>
      <c r="G77" s="8">
        <v>0.12</v>
      </c>
      <c r="H77" s="8">
        <v>0.42</v>
      </c>
      <c r="I77" s="8">
        <v>0.66438356164383561</v>
      </c>
      <c r="J77" s="8">
        <v>0.09</v>
      </c>
      <c r="K77" s="8">
        <v>0.11688311688311688</v>
      </c>
      <c r="L77" s="8">
        <v>0.81818181818181812</v>
      </c>
      <c r="M77" s="8">
        <v>9.5890410958904118E-2</v>
      </c>
      <c r="N77" s="8">
        <v>1.2727272727272729</v>
      </c>
      <c r="O77" s="8">
        <v>0.18181818181818182</v>
      </c>
      <c r="P77" s="8">
        <v>0.72727272727272729</v>
      </c>
      <c r="Q77" s="8">
        <v>1.7500000000000002</v>
      </c>
      <c r="R77" s="7">
        <v>3</v>
      </c>
      <c r="S77" s="7">
        <v>2</v>
      </c>
      <c r="T77" s="7">
        <v>1</v>
      </c>
      <c r="U77" s="7">
        <v>0</v>
      </c>
      <c r="V77" s="7">
        <v>1</v>
      </c>
      <c r="W77" s="7">
        <v>0</v>
      </c>
      <c r="X77" s="7">
        <v>1</v>
      </c>
      <c r="Y77" s="7">
        <v>0</v>
      </c>
    </row>
    <row r="78" spans="1:25" x14ac:dyDescent="0.25">
      <c r="A78" s="13" t="s">
        <v>163</v>
      </c>
      <c r="B78" s="8"/>
      <c r="C78" s="8">
        <v>0.1</v>
      </c>
      <c r="D78" s="8">
        <v>0.6811594202898551</v>
      </c>
      <c r="E78" s="8">
        <v>0.65217391304347838</v>
      </c>
      <c r="F78" s="8">
        <v>0.26</v>
      </c>
      <c r="G78" s="8">
        <v>0.11</v>
      </c>
      <c r="H78" s="8">
        <v>0.37</v>
      </c>
      <c r="I78" s="8">
        <v>0.60689655172413792</v>
      </c>
      <c r="J78" s="8">
        <v>0.09</v>
      </c>
      <c r="K78" s="8">
        <v>0.13043478260869565</v>
      </c>
      <c r="L78" s="8">
        <v>0.89999999999999991</v>
      </c>
      <c r="M78" s="8">
        <v>0.11034482758620691</v>
      </c>
      <c r="N78" s="8">
        <v>2</v>
      </c>
      <c r="O78" s="8">
        <v>0.23188405797101452</v>
      </c>
      <c r="P78" s="8">
        <v>0.79999999999999993</v>
      </c>
      <c r="Q78" s="8">
        <v>2</v>
      </c>
      <c r="R78" s="7">
        <v>3</v>
      </c>
      <c r="S78" s="7">
        <v>2</v>
      </c>
      <c r="T78" s="7">
        <v>1</v>
      </c>
      <c r="U78" s="7">
        <v>0</v>
      </c>
      <c r="V78" s="7">
        <v>1</v>
      </c>
      <c r="W78" s="7">
        <v>0</v>
      </c>
      <c r="X78" s="7">
        <v>1</v>
      </c>
      <c r="Y78" s="7">
        <v>0</v>
      </c>
    </row>
    <row r="79" spans="1:25" x14ac:dyDescent="0.25">
      <c r="A79" s="13" t="s">
        <v>164</v>
      </c>
      <c r="B79" s="8">
        <v>1.35</v>
      </c>
      <c r="C79" s="8">
        <v>0.12</v>
      </c>
      <c r="D79" s="8">
        <v>0.68421052631578949</v>
      </c>
      <c r="E79" s="8">
        <v>0.68421052631578949</v>
      </c>
      <c r="F79" s="8"/>
      <c r="G79" s="8">
        <v>0.1</v>
      </c>
      <c r="H79" s="8">
        <v>0.38</v>
      </c>
      <c r="I79" s="8">
        <v>0.63758389261744963</v>
      </c>
      <c r="J79" s="8">
        <v>0.09</v>
      </c>
      <c r="K79" s="8">
        <v>0.11842105263157894</v>
      </c>
      <c r="L79" s="8">
        <v>0.75</v>
      </c>
      <c r="M79" s="8">
        <v>0.10738255033557047</v>
      </c>
      <c r="N79" s="8">
        <v>1.7777777777777779</v>
      </c>
      <c r="O79" s="8">
        <v>0.21052631578947367</v>
      </c>
      <c r="P79" s="8"/>
      <c r="Q79" s="8">
        <v>1.7777777777777779</v>
      </c>
      <c r="R79" s="7">
        <v>3</v>
      </c>
      <c r="S79" s="7">
        <v>2</v>
      </c>
      <c r="T79" s="7">
        <v>1</v>
      </c>
      <c r="U79" s="7">
        <v>0</v>
      </c>
      <c r="V79" s="7">
        <v>1</v>
      </c>
      <c r="W79" s="7">
        <v>0</v>
      </c>
      <c r="X79" s="7">
        <v>1</v>
      </c>
      <c r="Y79" s="7">
        <v>0</v>
      </c>
    </row>
    <row r="80" spans="1:25" x14ac:dyDescent="0.25">
      <c r="A80" s="13" t="s">
        <v>165</v>
      </c>
      <c r="B80" s="8">
        <v>1.8029999999999999</v>
      </c>
      <c r="C80" s="8">
        <v>0.14299999999999999</v>
      </c>
      <c r="D80" s="8">
        <v>0.76146788990825676</v>
      </c>
      <c r="E80" s="8">
        <v>0.78899082568807333</v>
      </c>
      <c r="F80" s="8">
        <v>0.34</v>
      </c>
      <c r="G80" s="8">
        <v>0.14499999999999999</v>
      </c>
      <c r="H80" s="8">
        <v>0.63500000000000001</v>
      </c>
      <c r="I80" s="8">
        <v>0.66190476190476188</v>
      </c>
      <c r="J80" s="8">
        <v>0.09</v>
      </c>
      <c r="K80" s="8">
        <v>8.2568807339449532E-2</v>
      </c>
      <c r="L80" s="8">
        <v>0.62937062937062938</v>
      </c>
      <c r="M80" s="8">
        <v>0.1414285714285714</v>
      </c>
      <c r="N80" s="8">
        <v>2.1838235294117645</v>
      </c>
      <c r="O80" s="8">
        <v>0.27247706422018347</v>
      </c>
      <c r="P80" s="8">
        <v>0.56774193548387097</v>
      </c>
      <c r="Q80" s="8">
        <v>3.375</v>
      </c>
      <c r="R80" s="7">
        <v>3</v>
      </c>
      <c r="S80" s="7">
        <v>2</v>
      </c>
      <c r="T80" s="7">
        <v>1</v>
      </c>
      <c r="U80" s="7">
        <v>0</v>
      </c>
      <c r="V80" s="7">
        <v>1</v>
      </c>
      <c r="W80" s="7">
        <v>0</v>
      </c>
      <c r="X80" s="7">
        <v>1</v>
      </c>
      <c r="Y80" s="7">
        <v>0</v>
      </c>
    </row>
    <row r="81" spans="1:25" x14ac:dyDescent="0.25">
      <c r="A81" s="13" t="s">
        <v>89</v>
      </c>
      <c r="B81" s="8">
        <v>1.46</v>
      </c>
      <c r="C81" s="8">
        <v>0.15</v>
      </c>
      <c r="D81" s="8">
        <v>0.73417721518987333</v>
      </c>
      <c r="E81" s="8">
        <v>0.72151898734177211</v>
      </c>
      <c r="F81" s="8">
        <v>0.32</v>
      </c>
      <c r="G81" s="8">
        <v>0.125</v>
      </c>
      <c r="H81" s="8">
        <v>0.47699999999999998</v>
      </c>
      <c r="I81" s="8">
        <v>0.71900826446280997</v>
      </c>
      <c r="J81" s="8">
        <v>9.6000000000000002E-2</v>
      </c>
      <c r="K81" s="8">
        <v>0.12151898734177215</v>
      </c>
      <c r="L81" s="8">
        <v>0.64</v>
      </c>
      <c r="M81" s="8">
        <v>0.14049586776859505</v>
      </c>
      <c r="N81" s="8">
        <v>1.7</v>
      </c>
      <c r="O81" s="8">
        <v>0.27974683544303797</v>
      </c>
      <c r="P81" s="8">
        <v>0.82727272727272727</v>
      </c>
      <c r="Q81" s="8">
        <v>2.4285714285714288</v>
      </c>
      <c r="R81" s="7">
        <v>3</v>
      </c>
      <c r="S81" s="7">
        <v>2</v>
      </c>
      <c r="T81" s="7">
        <v>0</v>
      </c>
      <c r="U81" s="7">
        <v>0</v>
      </c>
      <c r="V81" s="7">
        <v>0</v>
      </c>
      <c r="W81" s="7">
        <v>0</v>
      </c>
      <c r="X81" s="7">
        <v>1</v>
      </c>
      <c r="Y81" s="7">
        <v>0</v>
      </c>
    </row>
    <row r="82" spans="1:25" x14ac:dyDescent="0.25">
      <c r="A82" s="13" t="s">
        <v>88</v>
      </c>
      <c r="B82" s="8">
        <v>1.7</v>
      </c>
      <c r="C82" s="8">
        <v>0.15</v>
      </c>
      <c r="D82" s="8">
        <v>0.85057471264367812</v>
      </c>
      <c r="E82" s="8">
        <v>0.79310344827586199</v>
      </c>
      <c r="F82" s="8">
        <v>0.3</v>
      </c>
      <c r="G82" s="8">
        <v>0.14000000000000001</v>
      </c>
      <c r="H82" s="8">
        <v>0.56999999999999995</v>
      </c>
      <c r="I82" s="8">
        <v>0.68181818181818188</v>
      </c>
      <c r="J82" s="8">
        <v>0.12</v>
      </c>
      <c r="K82" s="8">
        <v>0.13793103448275862</v>
      </c>
      <c r="L82" s="8">
        <v>0.8</v>
      </c>
      <c r="M82" s="8">
        <v>0.12121212121212122</v>
      </c>
      <c r="N82" s="8">
        <v>1.714285714285714</v>
      </c>
      <c r="O82" s="8">
        <v>0.27586206896551724</v>
      </c>
      <c r="P82" s="8">
        <v>0.72727272727272729</v>
      </c>
      <c r="Q82" s="8">
        <v>3</v>
      </c>
      <c r="R82" s="7">
        <v>3</v>
      </c>
      <c r="S82" s="7">
        <v>2</v>
      </c>
      <c r="T82" s="7">
        <v>0</v>
      </c>
      <c r="U82" s="7">
        <v>0</v>
      </c>
      <c r="V82" s="7">
        <v>0</v>
      </c>
      <c r="W82" s="7">
        <v>0</v>
      </c>
      <c r="X82" s="7">
        <v>1</v>
      </c>
      <c r="Y82" s="7">
        <v>0</v>
      </c>
    </row>
    <row r="83" spans="1:25" x14ac:dyDescent="0.25">
      <c r="A83" s="13" t="s">
        <v>166</v>
      </c>
      <c r="B83" s="8">
        <v>1.45</v>
      </c>
      <c r="C83" s="8">
        <v>0.15</v>
      </c>
      <c r="D83" s="8">
        <v>0.70329670329670324</v>
      </c>
      <c r="E83" s="8">
        <v>0.68131868131868134</v>
      </c>
      <c r="F83" s="8">
        <v>0.3</v>
      </c>
      <c r="G83" s="8">
        <v>0.14000000000000001</v>
      </c>
      <c r="H83" s="8">
        <v>0.54</v>
      </c>
      <c r="I83" s="8">
        <v>0.63636363636363635</v>
      </c>
      <c r="J83" s="8">
        <v>0.1</v>
      </c>
      <c r="K83" s="8">
        <v>0.10989010989010989</v>
      </c>
      <c r="L83" s="8">
        <v>0.66666666666666674</v>
      </c>
      <c r="M83" s="8">
        <v>0.12626262626262627</v>
      </c>
      <c r="N83" s="8">
        <v>1.6666666666666667</v>
      </c>
      <c r="O83" s="8">
        <v>0.27472527472527469</v>
      </c>
      <c r="P83" s="8">
        <v>0.90909090909090917</v>
      </c>
      <c r="Q83" s="8">
        <v>2.5</v>
      </c>
      <c r="R83" s="7">
        <v>3</v>
      </c>
      <c r="S83" s="7">
        <v>2</v>
      </c>
      <c r="T83" s="7">
        <v>0</v>
      </c>
      <c r="U83" s="7">
        <v>0</v>
      </c>
      <c r="V83" s="7">
        <v>0</v>
      </c>
      <c r="W83" s="7">
        <v>0</v>
      </c>
      <c r="X83" s="7">
        <v>1</v>
      </c>
      <c r="Y83" s="7">
        <v>0</v>
      </c>
    </row>
    <row r="84" spans="1:25" x14ac:dyDescent="0.25">
      <c r="A84" s="13" t="s">
        <v>167</v>
      </c>
      <c r="B84" s="8">
        <v>1.5799999999999998</v>
      </c>
      <c r="C84" s="8">
        <v>0.15</v>
      </c>
      <c r="D84" s="8">
        <v>0.68965517241379315</v>
      </c>
      <c r="E84" s="8">
        <v>0.66379310344827591</v>
      </c>
      <c r="F84" s="8">
        <v>0.28999999999999998</v>
      </c>
      <c r="G84" s="8">
        <v>0.1</v>
      </c>
      <c r="H84" s="8">
        <v>0.69</v>
      </c>
      <c r="I84" s="8">
        <v>0.64192139737991261</v>
      </c>
      <c r="J84" s="8">
        <v>0.11</v>
      </c>
      <c r="K84" s="8">
        <v>9.4827586206896561E-2</v>
      </c>
      <c r="L84" s="8">
        <v>0.73333333333333339</v>
      </c>
      <c r="M84" s="8">
        <v>0.14410480349344978</v>
      </c>
      <c r="N84" s="8">
        <v>2.5384615384615383</v>
      </c>
      <c r="O84" s="8">
        <v>0.28448275862068967</v>
      </c>
      <c r="P84" s="8">
        <v>1.0909090909090908</v>
      </c>
      <c r="Q84" s="8">
        <v>2.7500000000000004</v>
      </c>
      <c r="R84" s="7">
        <v>3</v>
      </c>
      <c r="S84" s="7">
        <v>2</v>
      </c>
      <c r="T84" s="7">
        <v>0</v>
      </c>
      <c r="U84" s="7">
        <v>0</v>
      </c>
      <c r="V84" s="7">
        <v>0</v>
      </c>
      <c r="W84" s="7">
        <v>0</v>
      </c>
      <c r="X84" s="7">
        <v>1</v>
      </c>
      <c r="Y84" s="7">
        <v>0</v>
      </c>
    </row>
    <row r="85" spans="1:25" x14ac:dyDescent="0.25">
      <c r="A85" s="13" t="s">
        <v>168</v>
      </c>
      <c r="B85" s="8">
        <v>2.09</v>
      </c>
      <c r="C85" s="8">
        <v>0.15</v>
      </c>
      <c r="D85" s="8">
        <v>0.7722772277227723</v>
      </c>
      <c r="E85" s="8">
        <v>0.73267326732673266</v>
      </c>
      <c r="F85" s="8">
        <v>0.32</v>
      </c>
      <c r="G85" s="8">
        <v>0.1</v>
      </c>
      <c r="H85" s="8">
        <v>0.62</v>
      </c>
      <c r="I85" s="8">
        <v>0.69767441860465118</v>
      </c>
      <c r="J85" s="8">
        <v>0.09</v>
      </c>
      <c r="K85" s="8">
        <v>8.9108910891089105E-2</v>
      </c>
      <c r="L85" s="8">
        <v>0.6</v>
      </c>
      <c r="M85" s="8">
        <v>0.13488372093023254</v>
      </c>
      <c r="N85" s="8">
        <v>2.8999999999999995</v>
      </c>
      <c r="O85" s="8">
        <v>0.28712871287128711</v>
      </c>
      <c r="P85" s="8">
        <v>1</v>
      </c>
      <c r="Q85" s="8">
        <v>2.8999999999999995</v>
      </c>
      <c r="R85" s="7">
        <v>3</v>
      </c>
      <c r="S85" s="7">
        <v>2</v>
      </c>
      <c r="T85" s="7">
        <v>0</v>
      </c>
      <c r="U85" s="7">
        <v>0</v>
      </c>
      <c r="V85" s="7">
        <v>0</v>
      </c>
      <c r="W85" s="7">
        <v>0</v>
      </c>
      <c r="X85" s="7">
        <v>1</v>
      </c>
      <c r="Y85" s="7">
        <v>0</v>
      </c>
    </row>
    <row r="86" spans="1:25" x14ac:dyDescent="0.25">
      <c r="A86" s="13" t="s">
        <v>169</v>
      </c>
      <c r="B86" s="8">
        <v>1.8499999999999999</v>
      </c>
      <c r="C86" s="8">
        <v>0.15</v>
      </c>
      <c r="D86" s="8">
        <v>0.75757575757575757</v>
      </c>
      <c r="E86" s="8">
        <v>0.69696969696969691</v>
      </c>
      <c r="F86" s="8">
        <v>0.28999999999999998</v>
      </c>
      <c r="G86" s="8">
        <v>0.1</v>
      </c>
      <c r="H86" s="8">
        <v>0.6</v>
      </c>
      <c r="I86" s="8">
        <v>0.74736842105263157</v>
      </c>
      <c r="J86" s="8">
        <v>0.11</v>
      </c>
      <c r="K86" s="8">
        <v>0.11111111111111112</v>
      </c>
      <c r="L86" s="8">
        <v>0.73333333333333339</v>
      </c>
      <c r="M86" s="8">
        <v>0.15263157894736842</v>
      </c>
      <c r="N86" s="8">
        <v>2.4166666666666665</v>
      </c>
      <c r="O86" s="8">
        <v>0.29292929292929293</v>
      </c>
      <c r="P86" s="8">
        <v>0.75</v>
      </c>
      <c r="Q86" s="8">
        <v>3.2222222222222223</v>
      </c>
      <c r="R86" s="7">
        <v>3</v>
      </c>
      <c r="S86" s="7">
        <v>2</v>
      </c>
      <c r="T86" s="7">
        <v>0</v>
      </c>
      <c r="U86" s="7">
        <v>0</v>
      </c>
      <c r="V86" s="7">
        <v>0</v>
      </c>
      <c r="W86" s="7">
        <v>0</v>
      </c>
      <c r="X86" s="7">
        <v>1</v>
      </c>
      <c r="Y86" s="7">
        <v>0</v>
      </c>
    </row>
    <row r="87" spans="1:25" x14ac:dyDescent="0.25">
      <c r="A87" s="13" t="s">
        <v>170</v>
      </c>
      <c r="B87" s="8">
        <v>1.3699999999999999</v>
      </c>
      <c r="C87" s="8">
        <v>0.17</v>
      </c>
      <c r="D87" s="8">
        <v>0.72727272727272729</v>
      </c>
      <c r="E87" s="8">
        <v>0.72727272727272729</v>
      </c>
      <c r="F87" s="8">
        <v>0.28999999999999998</v>
      </c>
      <c r="G87" s="8">
        <v>0.12</v>
      </c>
      <c r="H87" s="8">
        <v>0.78</v>
      </c>
      <c r="I87" s="8">
        <v>0.68699186991869921</v>
      </c>
      <c r="J87" s="8">
        <v>0.12</v>
      </c>
      <c r="K87" s="8">
        <v>0.10909090909090907</v>
      </c>
      <c r="L87" s="8">
        <v>0.70588235294117641</v>
      </c>
      <c r="M87" s="8">
        <v>0.13821138211382114</v>
      </c>
      <c r="N87" s="8">
        <v>2.6153846153846154</v>
      </c>
      <c r="O87" s="8">
        <v>0.30909090909090908</v>
      </c>
      <c r="P87" s="8">
        <v>0.8666666666666667</v>
      </c>
      <c r="Q87" s="8">
        <v>2.6153846153846154</v>
      </c>
      <c r="R87" s="7">
        <v>3</v>
      </c>
      <c r="S87" s="7">
        <v>2</v>
      </c>
      <c r="T87" s="7">
        <v>0</v>
      </c>
      <c r="U87" s="7">
        <v>0</v>
      </c>
      <c r="V87" s="7">
        <v>0</v>
      </c>
      <c r="W87" s="7">
        <v>0</v>
      </c>
      <c r="X87" s="7">
        <v>1</v>
      </c>
      <c r="Y87" s="7">
        <v>0</v>
      </c>
    </row>
    <row r="88" spans="1:25" x14ac:dyDescent="0.25">
      <c r="A88" s="13" t="s">
        <v>171</v>
      </c>
      <c r="B88" s="8">
        <v>1.8499999999999999</v>
      </c>
      <c r="C88" s="8">
        <v>0.15</v>
      </c>
      <c r="D88" s="8">
        <v>0.74757281553398058</v>
      </c>
      <c r="E88" s="8">
        <v>0.72815533980582525</v>
      </c>
      <c r="F88" s="8">
        <v>0.31</v>
      </c>
      <c r="G88" s="8">
        <v>0.12</v>
      </c>
      <c r="H88" s="8">
        <v>0.62</v>
      </c>
      <c r="I88" s="8">
        <v>0.64516129032258063</v>
      </c>
      <c r="J88" s="8">
        <v>0.11</v>
      </c>
      <c r="K88" s="8">
        <v>0.10679611650485436</v>
      </c>
      <c r="L88" s="8">
        <v>0.73333333333333339</v>
      </c>
      <c r="M88" s="8">
        <v>0.12903225806451615</v>
      </c>
      <c r="N88" s="8">
        <v>2</v>
      </c>
      <c r="O88" s="8">
        <v>0.2718446601941748</v>
      </c>
      <c r="P88" s="8"/>
      <c r="Q88" s="8"/>
      <c r="R88" s="7">
        <v>3</v>
      </c>
      <c r="S88" s="7">
        <v>2</v>
      </c>
      <c r="T88" s="7">
        <v>0</v>
      </c>
      <c r="U88" s="7">
        <v>0</v>
      </c>
      <c r="V88" s="7">
        <v>0</v>
      </c>
      <c r="W88" s="7">
        <v>0</v>
      </c>
      <c r="X88" s="7">
        <v>1</v>
      </c>
      <c r="Y88" s="7">
        <v>0</v>
      </c>
    </row>
    <row r="89" spans="1:25" x14ac:dyDescent="0.25">
      <c r="A89" s="13" t="s">
        <v>172</v>
      </c>
      <c r="B89" s="8">
        <v>1.52</v>
      </c>
      <c r="C89" s="8">
        <v>0.14000000000000001</v>
      </c>
      <c r="D89" s="8">
        <v>0.72</v>
      </c>
      <c r="E89" s="8">
        <v>0.71</v>
      </c>
      <c r="F89" s="8">
        <v>0.3</v>
      </c>
      <c r="G89" s="8">
        <v>0.1</v>
      </c>
      <c r="H89" s="8">
        <v>0.64</v>
      </c>
      <c r="I89" s="8">
        <v>0.63926940639269403</v>
      </c>
      <c r="J89" s="8">
        <v>0.11</v>
      </c>
      <c r="K89" s="8">
        <v>0.11</v>
      </c>
      <c r="L89" s="8">
        <v>0.7857142857142857</v>
      </c>
      <c r="M89" s="8">
        <v>0.13242009132420091</v>
      </c>
      <c r="N89" s="8">
        <v>2.2307692307692304</v>
      </c>
      <c r="O89" s="8">
        <v>0.28999999999999998</v>
      </c>
      <c r="P89" s="8">
        <v>0.66666666666666674</v>
      </c>
      <c r="Q89" s="8">
        <v>3.6249999999999996</v>
      </c>
      <c r="R89" s="7">
        <v>3</v>
      </c>
      <c r="S89" s="7">
        <v>2</v>
      </c>
      <c r="T89" s="7">
        <v>0</v>
      </c>
      <c r="U89" s="7">
        <v>0</v>
      </c>
      <c r="V89" s="7">
        <v>0</v>
      </c>
      <c r="W89" s="7">
        <v>0</v>
      </c>
      <c r="X89" s="7">
        <v>1</v>
      </c>
      <c r="Y89" s="7">
        <v>0</v>
      </c>
    </row>
    <row r="90" spans="1:25" x14ac:dyDescent="0.25">
      <c r="A90" s="13" t="s">
        <v>173</v>
      </c>
      <c r="B90" s="8">
        <v>1.89</v>
      </c>
      <c r="C90" s="8">
        <v>0.15</v>
      </c>
      <c r="D90" s="8">
        <v>0.77</v>
      </c>
      <c r="E90" s="8">
        <v>0.72</v>
      </c>
      <c r="F90" s="8">
        <v>0.33</v>
      </c>
      <c r="G90" s="8">
        <v>0.13</v>
      </c>
      <c r="H90" s="8">
        <v>0.67</v>
      </c>
      <c r="I90" s="8">
        <v>0.82386363636363635</v>
      </c>
      <c r="J90" s="8">
        <v>0.11</v>
      </c>
      <c r="K90" s="8">
        <v>0.11</v>
      </c>
      <c r="L90" s="8">
        <v>0.73333333333333339</v>
      </c>
      <c r="M90" s="8">
        <v>0.16477272727272727</v>
      </c>
      <c r="N90" s="8">
        <v>2.4166666666666665</v>
      </c>
      <c r="O90" s="8">
        <v>0.28999999999999998</v>
      </c>
      <c r="P90" s="8">
        <v>0.90909090909090917</v>
      </c>
      <c r="Q90" s="8">
        <v>2.8999999999999995</v>
      </c>
      <c r="R90" s="7">
        <v>3</v>
      </c>
      <c r="S90" s="7">
        <v>2</v>
      </c>
      <c r="T90" s="7">
        <v>0</v>
      </c>
      <c r="U90" s="7">
        <v>0</v>
      </c>
      <c r="V90" s="7">
        <v>0</v>
      </c>
      <c r="W90" s="7">
        <v>0</v>
      </c>
      <c r="X90" s="7">
        <v>1</v>
      </c>
      <c r="Y90" s="7">
        <v>0</v>
      </c>
    </row>
    <row r="91" spans="1:25" x14ac:dyDescent="0.25">
      <c r="A91" s="13" t="s">
        <v>73</v>
      </c>
      <c r="B91" s="8">
        <v>1.012</v>
      </c>
      <c r="C91" s="8">
        <v>0.15</v>
      </c>
      <c r="D91" s="8">
        <v>0.76404494382022481</v>
      </c>
      <c r="E91" s="8">
        <v>0.8202247191011236</v>
      </c>
      <c r="F91" s="8">
        <v>0.29799999999999999</v>
      </c>
      <c r="G91" s="8">
        <v>0.125</v>
      </c>
      <c r="H91" s="8">
        <v>0.56000000000000005</v>
      </c>
      <c r="I91" s="8">
        <v>0.74158585282373068</v>
      </c>
      <c r="J91" s="8">
        <v>0.11</v>
      </c>
      <c r="K91" s="8">
        <v>0.12359550561797752</v>
      </c>
      <c r="L91" s="8">
        <v>0.73333333333333339</v>
      </c>
      <c r="M91" s="8">
        <v>0.13690815744438103</v>
      </c>
      <c r="N91" s="8">
        <v>3.2</v>
      </c>
      <c r="O91" s="8">
        <v>0.2696629213483146</v>
      </c>
      <c r="P91" s="8"/>
      <c r="Q91" s="8"/>
      <c r="R91" s="7">
        <v>3</v>
      </c>
      <c r="S91" s="7">
        <v>1</v>
      </c>
      <c r="T91" s="7">
        <v>0</v>
      </c>
      <c r="U91" s="7">
        <v>0</v>
      </c>
      <c r="V91" s="7">
        <v>0</v>
      </c>
      <c r="W91" s="7">
        <v>0</v>
      </c>
      <c r="X91" s="7">
        <v>1</v>
      </c>
      <c r="Y91" s="7">
        <v>0</v>
      </c>
    </row>
    <row r="92" spans="1:25" x14ac:dyDescent="0.25">
      <c r="A92" s="13" t="s">
        <v>72</v>
      </c>
      <c r="B92" s="8">
        <v>0.96599999999999997</v>
      </c>
      <c r="C92" s="8">
        <v>0.14000000000000001</v>
      </c>
      <c r="D92" s="8">
        <v>0.77011494252873569</v>
      </c>
      <c r="E92" s="8">
        <v>0.7816091954022989</v>
      </c>
      <c r="F92" s="8">
        <v>0.28599999999999998</v>
      </c>
      <c r="G92" s="8">
        <v>0.125</v>
      </c>
      <c r="H92" s="8">
        <v>0.6</v>
      </c>
      <c r="I92" s="8">
        <v>0.79113924050632911</v>
      </c>
      <c r="J92" s="8">
        <v>0.11</v>
      </c>
      <c r="K92" s="8">
        <v>0.12643678160919541</v>
      </c>
      <c r="L92" s="8">
        <v>0.7857142857142857</v>
      </c>
      <c r="M92" s="8">
        <v>0.14556962025316456</v>
      </c>
      <c r="N92" s="8">
        <v>3.1081081081081083</v>
      </c>
      <c r="O92" s="8">
        <v>0.26436781609195403</v>
      </c>
      <c r="P92" s="8">
        <v>0.99029126213592233</v>
      </c>
      <c r="Q92" s="8">
        <v>2.2549019607843142</v>
      </c>
      <c r="R92" s="7">
        <v>3</v>
      </c>
      <c r="S92" s="7">
        <v>1</v>
      </c>
      <c r="T92" s="7">
        <v>0</v>
      </c>
      <c r="U92" s="7">
        <v>0</v>
      </c>
      <c r="V92" s="7">
        <v>0</v>
      </c>
      <c r="W92" s="7">
        <v>0</v>
      </c>
      <c r="X92" s="7">
        <v>1</v>
      </c>
      <c r="Y92" s="7">
        <v>0</v>
      </c>
    </row>
    <row r="93" spans="1:25" x14ac:dyDescent="0.25">
      <c r="A93" s="13" t="s">
        <v>87</v>
      </c>
      <c r="B93" s="8">
        <v>1.9239999999999999</v>
      </c>
      <c r="C93" s="8">
        <v>0.15</v>
      </c>
      <c r="D93" s="8">
        <v>0.72926162260711036</v>
      </c>
      <c r="E93" s="8">
        <v>0.69279854147675479</v>
      </c>
      <c r="F93" s="8">
        <v>0.35</v>
      </c>
      <c r="G93" s="8">
        <v>0.14000000000000001</v>
      </c>
      <c r="H93" s="8">
        <v>0.7</v>
      </c>
      <c r="I93" s="8">
        <v>0.54989816700611005</v>
      </c>
      <c r="J93" s="8">
        <v>0.1</v>
      </c>
      <c r="K93" s="8">
        <v>9.1157702825888795E-2</v>
      </c>
      <c r="L93" s="8">
        <v>0.66666666666666674</v>
      </c>
      <c r="M93" s="8">
        <v>0.12219959266802444</v>
      </c>
      <c r="N93" s="8">
        <v>3.125</v>
      </c>
      <c r="O93" s="8">
        <v>0.27347310847766637</v>
      </c>
      <c r="P93" s="8">
        <v>0.92307692307692302</v>
      </c>
      <c r="Q93" s="8">
        <v>2.5</v>
      </c>
      <c r="R93" s="7">
        <v>3</v>
      </c>
      <c r="S93" s="7">
        <v>1</v>
      </c>
      <c r="T93" s="7">
        <v>0</v>
      </c>
      <c r="U93" s="7">
        <v>0</v>
      </c>
      <c r="V93" s="7">
        <v>0</v>
      </c>
      <c r="W93" s="7">
        <v>0</v>
      </c>
      <c r="X93" s="7">
        <v>1</v>
      </c>
      <c r="Y93" s="7">
        <v>0</v>
      </c>
    </row>
    <row r="94" spans="1:25" x14ac:dyDescent="0.25">
      <c r="A94" s="13" t="s">
        <v>86</v>
      </c>
      <c r="B94" s="8"/>
      <c r="C94" s="8">
        <v>0.15</v>
      </c>
      <c r="D94" s="8">
        <v>0.8421052631578948</v>
      </c>
      <c r="E94" s="8">
        <v>0.83157894736842108</v>
      </c>
      <c r="F94" s="8">
        <v>0.3</v>
      </c>
      <c r="G94" s="8">
        <v>0.14499999999999999</v>
      </c>
      <c r="H94" s="8">
        <v>0.62</v>
      </c>
      <c r="I94" s="8">
        <v>0.81727962638645646</v>
      </c>
      <c r="J94" s="8">
        <v>9.8000000000000004E-2</v>
      </c>
      <c r="K94" s="8">
        <v>0.10315789473684212</v>
      </c>
      <c r="L94" s="8">
        <v>0.65333333333333343</v>
      </c>
      <c r="M94" s="8">
        <v>0.1342673671920607</v>
      </c>
      <c r="N94" s="8">
        <v>2.2999999999999998</v>
      </c>
      <c r="O94" s="8">
        <v>0.24210526315789477</v>
      </c>
      <c r="P94" s="8">
        <v>1.0961538461538463</v>
      </c>
      <c r="Q94" s="8">
        <v>2.0175438596491229</v>
      </c>
      <c r="R94" s="7">
        <v>3</v>
      </c>
      <c r="S94" s="7">
        <v>1</v>
      </c>
      <c r="T94" s="7">
        <v>0</v>
      </c>
      <c r="U94" s="7">
        <v>0</v>
      </c>
      <c r="V94" s="7">
        <v>0</v>
      </c>
      <c r="W94" s="7">
        <v>0</v>
      </c>
      <c r="X94" s="7">
        <v>1</v>
      </c>
      <c r="Y94" s="7">
        <v>0</v>
      </c>
    </row>
    <row r="95" spans="1:25" x14ac:dyDescent="0.25">
      <c r="A95" s="13" t="s">
        <v>174</v>
      </c>
      <c r="B95" s="8">
        <v>2.0149999999999997</v>
      </c>
      <c r="C95" s="8">
        <v>0.15</v>
      </c>
      <c r="D95" s="8">
        <v>0.77104722792607805</v>
      </c>
      <c r="E95" s="8">
        <v>0.82135523613963046</v>
      </c>
      <c r="F95" s="8">
        <v>0.33600000000000002</v>
      </c>
      <c r="G95" s="8">
        <v>7.4899999999999994E-2</v>
      </c>
      <c r="H95" s="8">
        <v>0.58899999999999997</v>
      </c>
      <c r="I95" s="8">
        <v>0.59125117591721532</v>
      </c>
      <c r="J95" s="8">
        <v>9.2999999999999999E-2</v>
      </c>
      <c r="K95" s="8">
        <v>9.5482546201232033E-2</v>
      </c>
      <c r="L95" s="8">
        <v>0.62</v>
      </c>
      <c r="M95" s="8">
        <v>0.13217309501411101</v>
      </c>
      <c r="N95" s="8">
        <v>1.7239263803680982</v>
      </c>
      <c r="O95" s="8">
        <v>0.2885010266940452</v>
      </c>
      <c r="P95" s="8">
        <v>0.75974025974025983</v>
      </c>
      <c r="Q95" s="8">
        <v>2.4017094017094016</v>
      </c>
      <c r="R95" s="7">
        <v>3</v>
      </c>
      <c r="S95" s="7">
        <v>1</v>
      </c>
      <c r="T95" s="7">
        <v>0</v>
      </c>
      <c r="U95" s="7">
        <v>0</v>
      </c>
      <c r="V95" s="7">
        <v>0</v>
      </c>
      <c r="W95" s="7">
        <v>0</v>
      </c>
      <c r="X95" s="7">
        <v>1</v>
      </c>
      <c r="Y95" s="7">
        <v>0</v>
      </c>
    </row>
    <row r="96" spans="1:25" x14ac:dyDescent="0.25">
      <c r="A96" s="13" t="s">
        <v>175</v>
      </c>
      <c r="B96" s="8">
        <v>1.869</v>
      </c>
      <c r="C96" s="8">
        <v>0.156</v>
      </c>
      <c r="D96" s="8">
        <v>0.76716738197424883</v>
      </c>
      <c r="E96" s="8">
        <v>0.85193133047210301</v>
      </c>
      <c r="F96" s="8">
        <v>0.29199999999999998</v>
      </c>
      <c r="G96" s="8">
        <v>0.11899999999999999</v>
      </c>
      <c r="H96" s="8">
        <v>0.60399999999999998</v>
      </c>
      <c r="I96" s="8">
        <v>0.67038809144072298</v>
      </c>
      <c r="J96" s="8">
        <v>0.105</v>
      </c>
      <c r="K96" s="8">
        <v>0.11266094420600857</v>
      </c>
      <c r="L96" s="8">
        <v>0.67307692307692302</v>
      </c>
      <c r="M96" s="8">
        <v>0.1366294524189261</v>
      </c>
      <c r="N96" s="8">
        <v>2.0236220472440944</v>
      </c>
      <c r="O96" s="8">
        <v>0.27575107296137336</v>
      </c>
      <c r="P96" s="8">
        <v>0.62365591397849462</v>
      </c>
      <c r="Q96" s="8">
        <v>2.2155172413793105</v>
      </c>
      <c r="R96" s="7">
        <v>3</v>
      </c>
      <c r="S96" s="7">
        <v>1</v>
      </c>
      <c r="T96" s="7">
        <v>0</v>
      </c>
      <c r="U96" s="7">
        <v>0</v>
      </c>
      <c r="V96" s="7">
        <v>0</v>
      </c>
      <c r="W96" s="7">
        <v>0</v>
      </c>
      <c r="X96" s="7">
        <v>1</v>
      </c>
      <c r="Y96" s="7">
        <v>0</v>
      </c>
    </row>
    <row r="97" spans="1:25" x14ac:dyDescent="0.25">
      <c r="A97" s="13" t="s">
        <v>176</v>
      </c>
      <c r="B97" s="8">
        <v>2.0569999999999995</v>
      </c>
      <c r="C97" s="8">
        <v>0.13800000000000001</v>
      </c>
      <c r="D97" s="8">
        <v>0.77040261153427636</v>
      </c>
      <c r="E97" s="8">
        <v>0.72687704026115341</v>
      </c>
      <c r="F97" s="8">
        <v>0.28399999999999997</v>
      </c>
      <c r="G97" s="8">
        <v>0.14199999999999999</v>
      </c>
      <c r="H97" s="8">
        <v>0.60299999999999998</v>
      </c>
      <c r="I97" s="8">
        <v>0.79052823315118403</v>
      </c>
      <c r="J97" s="8">
        <v>0.114</v>
      </c>
      <c r="K97" s="8">
        <v>0.12404787812840043</v>
      </c>
      <c r="L97" s="8">
        <v>0.82608695652173914</v>
      </c>
      <c r="M97" s="8">
        <v>0.1493624772313297</v>
      </c>
      <c r="N97" s="8">
        <v>1.8923076923076922</v>
      </c>
      <c r="O97" s="8">
        <v>0.26768226332970618</v>
      </c>
      <c r="P97" s="8">
        <v>0.95412844036697242</v>
      </c>
      <c r="Q97" s="8">
        <v>2.3653846153846154</v>
      </c>
      <c r="R97" s="7">
        <v>3</v>
      </c>
      <c r="S97" s="7">
        <v>1</v>
      </c>
      <c r="T97" s="7">
        <v>0</v>
      </c>
      <c r="U97" s="7">
        <v>0</v>
      </c>
      <c r="V97" s="7">
        <v>0</v>
      </c>
      <c r="W97" s="7">
        <v>0</v>
      </c>
      <c r="X97" s="7">
        <v>1</v>
      </c>
      <c r="Y97" s="7">
        <v>0</v>
      </c>
    </row>
    <row r="98" spans="1:25" x14ac:dyDescent="0.25">
      <c r="A98" s="13" t="s">
        <v>177</v>
      </c>
      <c r="B98" s="8">
        <v>1.5999999999999999</v>
      </c>
      <c r="C98" s="8">
        <v>0.15</v>
      </c>
      <c r="D98" s="8">
        <v>0.85057471264367812</v>
      </c>
      <c r="E98" s="8">
        <v>0.88505747126436785</v>
      </c>
      <c r="F98" s="8">
        <v>0.33</v>
      </c>
      <c r="G98" s="8">
        <v>0.12</v>
      </c>
      <c r="H98" s="8">
        <v>0.6</v>
      </c>
      <c r="I98" s="8">
        <v>0.67553191489361708</v>
      </c>
      <c r="J98" s="8">
        <v>0.1</v>
      </c>
      <c r="K98" s="8">
        <v>0.1149425287356322</v>
      </c>
      <c r="L98" s="8">
        <v>0.66666666666666674</v>
      </c>
      <c r="M98" s="8">
        <v>0.1276595744680851</v>
      </c>
      <c r="N98" s="8">
        <v>2.1818181818181817</v>
      </c>
      <c r="O98" s="8">
        <v>0.27586206896551724</v>
      </c>
      <c r="P98" s="8">
        <v>1.125</v>
      </c>
      <c r="Q98" s="8">
        <v>2.6666666666666665</v>
      </c>
      <c r="R98" s="7">
        <v>3</v>
      </c>
      <c r="S98" s="7">
        <v>1</v>
      </c>
      <c r="T98" s="7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</row>
    <row r="99" spans="1:25" x14ac:dyDescent="0.25">
      <c r="A99" s="13" t="s">
        <v>178</v>
      </c>
      <c r="B99" s="8">
        <v>1.5299999999999998</v>
      </c>
      <c r="C99" s="8">
        <v>0.14000000000000001</v>
      </c>
      <c r="D99" s="8">
        <v>0.81318681318681318</v>
      </c>
      <c r="E99" s="8">
        <v>0.8571428571428571</v>
      </c>
      <c r="F99" s="8">
        <v>0.33</v>
      </c>
      <c r="G99" s="8">
        <v>0.11</v>
      </c>
      <c r="H99" s="8">
        <v>0.59</v>
      </c>
      <c r="I99" s="8">
        <v>0.72625698324022347</v>
      </c>
      <c r="J99" s="8">
        <v>0.11</v>
      </c>
      <c r="K99" s="8">
        <v>0.12087912087912088</v>
      </c>
      <c r="L99" s="8">
        <v>0.7857142857142857</v>
      </c>
      <c r="M99" s="8">
        <v>0.15083798882681565</v>
      </c>
      <c r="N99" s="8">
        <v>2.7</v>
      </c>
      <c r="O99" s="8">
        <v>0.2967032967032967</v>
      </c>
      <c r="P99" s="8">
        <v>0.91666666666666674</v>
      </c>
      <c r="Q99" s="8">
        <v>2.4545454545454546</v>
      </c>
      <c r="R99" s="7">
        <v>3</v>
      </c>
      <c r="S99" s="7">
        <v>1</v>
      </c>
      <c r="T99" s="7">
        <v>0</v>
      </c>
      <c r="U99" s="7">
        <v>0</v>
      </c>
      <c r="V99" s="7">
        <v>0</v>
      </c>
      <c r="W99" s="7">
        <v>0</v>
      </c>
      <c r="X99" s="7">
        <v>1</v>
      </c>
      <c r="Y99" s="7">
        <v>0</v>
      </c>
    </row>
    <row r="100" spans="1:25" x14ac:dyDescent="0.25">
      <c r="A100" s="13" t="s">
        <v>179</v>
      </c>
      <c r="B100" s="8">
        <v>1.81</v>
      </c>
      <c r="C100" s="8">
        <v>0.14000000000000001</v>
      </c>
      <c r="D100" s="8">
        <v>0.71717171717171713</v>
      </c>
      <c r="E100" s="8">
        <v>0.73737373737373735</v>
      </c>
      <c r="F100" s="8">
        <v>0.3</v>
      </c>
      <c r="G100" s="8">
        <v>0.11</v>
      </c>
      <c r="H100" s="8">
        <v>0.62</v>
      </c>
      <c r="I100" s="8">
        <v>0.70270270270270274</v>
      </c>
      <c r="J100" s="8">
        <v>0.11</v>
      </c>
      <c r="K100" s="8">
        <v>0.11111111111111112</v>
      </c>
      <c r="L100" s="8">
        <v>0.7857142857142857</v>
      </c>
      <c r="M100" s="8">
        <v>0.15135135135135136</v>
      </c>
      <c r="N100" s="8">
        <v>2.8000000000000003</v>
      </c>
      <c r="O100" s="8">
        <v>0.28282828282828287</v>
      </c>
      <c r="P100" s="8">
        <v>0.85714285714285698</v>
      </c>
      <c r="Q100" s="8">
        <v>2.3333333333333335</v>
      </c>
      <c r="R100" s="7">
        <v>3</v>
      </c>
      <c r="S100" s="7">
        <v>1</v>
      </c>
      <c r="T100" s="7">
        <v>0</v>
      </c>
      <c r="U100" s="7">
        <v>0</v>
      </c>
      <c r="V100" s="7">
        <v>0</v>
      </c>
      <c r="W100" s="7">
        <v>0</v>
      </c>
      <c r="X100" s="7">
        <v>1</v>
      </c>
      <c r="Y100" s="7">
        <v>0</v>
      </c>
    </row>
    <row r="101" spans="1:25" x14ac:dyDescent="0.25">
      <c r="A101" s="13" t="s">
        <v>180</v>
      </c>
      <c r="B101" s="8">
        <v>1.657</v>
      </c>
      <c r="C101" s="8">
        <v>0.11700000000000001</v>
      </c>
      <c r="D101" s="8">
        <v>0.7191011235955056</v>
      </c>
      <c r="E101" s="8">
        <v>0.7191011235955056</v>
      </c>
      <c r="F101" s="8">
        <v>0.3</v>
      </c>
      <c r="G101" s="8">
        <v>9.9000000000000005E-2</v>
      </c>
      <c r="H101" s="8">
        <v>0.54</v>
      </c>
      <c r="I101" s="8">
        <v>0.64524103831891233</v>
      </c>
      <c r="J101" s="8">
        <v>0.105</v>
      </c>
      <c r="K101" s="8">
        <v>0.11797752808988764</v>
      </c>
      <c r="L101" s="8">
        <v>0.89743589743589736</v>
      </c>
      <c r="M101" s="8">
        <v>9.9505562422744137E-2</v>
      </c>
      <c r="N101" s="8">
        <v>1.4375</v>
      </c>
      <c r="O101" s="8">
        <v>0.1808988764044944</v>
      </c>
      <c r="P101" s="8">
        <v>0.89655172413793094</v>
      </c>
      <c r="Q101" s="8">
        <v>1.5480769230769231</v>
      </c>
      <c r="R101" s="7">
        <v>1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</row>
    <row r="102" spans="1:25" x14ac:dyDescent="0.25">
      <c r="A102" s="13" t="s">
        <v>181</v>
      </c>
      <c r="B102" s="8">
        <v>1.5389999999999999</v>
      </c>
      <c r="C102" s="8">
        <v>0.106</v>
      </c>
      <c r="D102" s="8">
        <v>0.7567567567567568</v>
      </c>
      <c r="E102" s="8">
        <v>0.70270270270270274</v>
      </c>
      <c r="F102" s="8">
        <v>0.25</v>
      </c>
      <c r="G102" s="8">
        <v>8.1000000000000003E-2</v>
      </c>
      <c r="H102" s="8">
        <v>0.40500000000000003</v>
      </c>
      <c r="I102" s="8">
        <v>0.83815028901734101</v>
      </c>
      <c r="J102" s="8">
        <v>9.0999999999999998E-2</v>
      </c>
      <c r="K102" s="8">
        <v>0.12297297297297297</v>
      </c>
      <c r="L102" s="8">
        <v>0.85849056603773588</v>
      </c>
      <c r="M102" s="8">
        <v>0.1396917148362235</v>
      </c>
      <c r="N102" s="8">
        <v>1.7901234567901232</v>
      </c>
      <c r="O102" s="8">
        <v>0.19594594594594594</v>
      </c>
      <c r="P102" s="8">
        <v>1.3084112149532712</v>
      </c>
      <c r="Q102" s="8">
        <v>1.0357142857142856</v>
      </c>
      <c r="R102" s="7">
        <v>1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</row>
    <row r="103" spans="1:25" x14ac:dyDescent="0.25">
      <c r="A103" s="13" t="s">
        <v>182</v>
      </c>
      <c r="B103" s="8">
        <v>1.651</v>
      </c>
      <c r="C103" s="8">
        <v>0.127</v>
      </c>
      <c r="D103" s="8">
        <v>0.69319271332694155</v>
      </c>
      <c r="E103" s="8">
        <v>0.67976989453499526</v>
      </c>
      <c r="F103" s="8">
        <v>0.309</v>
      </c>
      <c r="G103" s="8">
        <v>0.122</v>
      </c>
      <c r="H103" s="8">
        <v>0.64</v>
      </c>
      <c r="I103" s="8">
        <v>0.62100238663484486</v>
      </c>
      <c r="J103" s="8">
        <v>0.1</v>
      </c>
      <c r="K103" s="8">
        <v>9.5877277085330795E-2</v>
      </c>
      <c r="L103" s="8">
        <v>0.78740157480314965</v>
      </c>
      <c r="M103" s="8">
        <v>0.10310262529832936</v>
      </c>
      <c r="N103" s="8">
        <v>1.5211267605633805</v>
      </c>
      <c r="O103" s="8">
        <v>0.2070949185043145</v>
      </c>
      <c r="P103" s="8"/>
      <c r="Q103" s="8"/>
      <c r="R103" s="7">
        <v>1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</row>
    <row r="104" spans="1:25" x14ac:dyDescent="0.25">
      <c r="A104" s="13" t="s">
        <v>183</v>
      </c>
      <c r="B104" s="8">
        <v>1.972</v>
      </c>
      <c r="C104" s="8">
        <v>0.13600000000000001</v>
      </c>
      <c r="D104" s="8">
        <v>0.7375745526838966</v>
      </c>
      <c r="E104" s="8">
        <v>0.71769383697813116</v>
      </c>
      <c r="F104" s="8"/>
      <c r="G104" s="8"/>
      <c r="H104" s="8">
        <v>0.57399999999999995</v>
      </c>
      <c r="I104" s="8">
        <v>0.79986197377501722</v>
      </c>
      <c r="J104" s="8">
        <v>0.113</v>
      </c>
      <c r="K104" s="8">
        <v>0.11232604373757456</v>
      </c>
      <c r="L104" s="8">
        <v>0.83088235294117641</v>
      </c>
      <c r="M104" s="8">
        <v>0.13319530710835059</v>
      </c>
      <c r="N104" s="8">
        <v>1.5950413223140496</v>
      </c>
      <c r="O104" s="8">
        <v>0.19184890656063619</v>
      </c>
      <c r="P104" s="8"/>
      <c r="Q104" s="8">
        <v>1.8921568627450982</v>
      </c>
      <c r="R104" s="7">
        <v>1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</row>
    <row r="105" spans="1:25" x14ac:dyDescent="0.25">
      <c r="A105" s="13" t="s">
        <v>184</v>
      </c>
      <c r="B105" s="8">
        <v>1.679</v>
      </c>
      <c r="C105" s="8">
        <v>0.13300000000000001</v>
      </c>
      <c r="D105" s="8">
        <v>0.71711292200232835</v>
      </c>
      <c r="E105" s="8">
        <v>0.72642607683352733</v>
      </c>
      <c r="F105" s="8">
        <v>0.27400000000000002</v>
      </c>
      <c r="G105" s="8">
        <v>7.4999999999999997E-2</v>
      </c>
      <c r="H105" s="8">
        <v>0.51700000000000002</v>
      </c>
      <c r="I105" s="8">
        <v>0.71654083733699381</v>
      </c>
      <c r="J105" s="8">
        <v>9.4E-2</v>
      </c>
      <c r="K105" s="8">
        <v>0.10942956926658906</v>
      </c>
      <c r="L105" s="8">
        <v>0.70676691729323304</v>
      </c>
      <c r="M105" s="8">
        <v>0.1153054221002059</v>
      </c>
      <c r="N105" s="8">
        <v>1.8876404494382024</v>
      </c>
      <c r="O105" s="8">
        <v>0.19557625145518046</v>
      </c>
      <c r="P105" s="8">
        <v>0.75806451612903225</v>
      </c>
      <c r="Q105" s="8">
        <v>1.7872340425531916</v>
      </c>
      <c r="R105" s="7">
        <v>1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</row>
    <row r="106" spans="1:25" x14ac:dyDescent="0.25">
      <c r="A106" s="13" t="s">
        <v>185</v>
      </c>
      <c r="B106" s="8">
        <v>1.8879999999999999</v>
      </c>
      <c r="C106" s="8">
        <v>0.14199999999999999</v>
      </c>
      <c r="D106" s="8">
        <v>0.7788065843621399</v>
      </c>
      <c r="E106" s="8">
        <v>0.7119341563786008</v>
      </c>
      <c r="F106" s="8">
        <v>0.23499999999999999</v>
      </c>
      <c r="G106" s="8"/>
      <c r="H106" s="8">
        <v>0.56999999999999995</v>
      </c>
      <c r="I106" s="8">
        <v>0.79155672823218992</v>
      </c>
      <c r="J106" s="8">
        <v>0.109</v>
      </c>
      <c r="K106" s="8">
        <v>0.11213991769547325</v>
      </c>
      <c r="L106" s="8">
        <v>0.76760563380281699</v>
      </c>
      <c r="M106" s="8">
        <v>0.11213720316622693</v>
      </c>
      <c r="N106" s="8">
        <v>1.4166666666666667</v>
      </c>
      <c r="O106" s="8">
        <v>0.17489711934156379</v>
      </c>
      <c r="P106" s="8"/>
      <c r="Q106" s="8">
        <v>1.6831683168316831</v>
      </c>
      <c r="R106" s="7">
        <v>1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</row>
    <row r="107" spans="1:25" x14ac:dyDescent="0.25">
      <c r="A107" s="13" t="s">
        <v>186</v>
      </c>
      <c r="B107" s="8">
        <v>1.9489999999999998</v>
      </c>
      <c r="C107" s="8">
        <v>0.128</v>
      </c>
      <c r="D107" s="8">
        <v>0.74617067833698036</v>
      </c>
      <c r="E107" s="8">
        <v>0.72975929978118159</v>
      </c>
      <c r="F107" s="8">
        <v>0.20300000000000001</v>
      </c>
      <c r="G107" s="8">
        <v>8.1000000000000003E-2</v>
      </c>
      <c r="H107" s="8">
        <v>0.59799999999999998</v>
      </c>
      <c r="I107" s="8">
        <v>0.73782771535580527</v>
      </c>
      <c r="J107" s="8">
        <v>9.9000000000000005E-2</v>
      </c>
      <c r="K107" s="8">
        <v>0.10831509846827134</v>
      </c>
      <c r="L107" s="8">
        <v>0.7734375</v>
      </c>
      <c r="M107" s="8">
        <v>0.11298377028714109</v>
      </c>
      <c r="N107" s="8">
        <v>1.7075471698113207</v>
      </c>
      <c r="O107" s="8">
        <v>0.19803063457330414</v>
      </c>
      <c r="P107" s="8"/>
      <c r="Q107" s="8">
        <v>1.7403846153846154</v>
      </c>
      <c r="R107" s="7">
        <v>1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</row>
    <row r="108" spans="1:25" x14ac:dyDescent="0.25">
      <c r="A108" s="13" t="s">
        <v>187</v>
      </c>
      <c r="B108" s="8">
        <v>1.7999999999999998</v>
      </c>
      <c r="C108" s="8">
        <v>0.13</v>
      </c>
      <c r="D108" s="8">
        <v>0.76136363636363635</v>
      </c>
      <c r="E108" s="8">
        <v>0.65909090909090906</v>
      </c>
      <c r="F108" s="8">
        <v>0.22</v>
      </c>
      <c r="G108" s="8">
        <v>0.1</v>
      </c>
      <c r="H108" s="8">
        <v>0.53</v>
      </c>
      <c r="I108" s="8">
        <v>0.64942528735632177</v>
      </c>
      <c r="J108" s="8">
        <v>0.09</v>
      </c>
      <c r="K108" s="8">
        <v>0.10227272727272727</v>
      </c>
      <c r="L108" s="8">
        <v>0.69230769230769229</v>
      </c>
      <c r="M108" s="8">
        <v>0.10344827586206896</v>
      </c>
      <c r="N108" s="8">
        <v>1.6363636363636362</v>
      </c>
      <c r="O108" s="8">
        <v>0.20454545454545453</v>
      </c>
      <c r="P108" s="8">
        <v>0.89999999999999991</v>
      </c>
      <c r="Q108" s="8">
        <v>2</v>
      </c>
      <c r="R108" s="7">
        <v>1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</row>
    <row r="109" spans="1:25" x14ac:dyDescent="0.25">
      <c r="A109" s="13" t="s">
        <v>188</v>
      </c>
      <c r="B109" s="8">
        <v>1.7729999999999999</v>
      </c>
      <c r="C109" s="8">
        <v>0.11</v>
      </c>
      <c r="D109" s="8">
        <v>0.6966292134831461</v>
      </c>
      <c r="E109" s="8">
        <v>0.65168539325842689</v>
      </c>
      <c r="F109" s="8">
        <v>0.3</v>
      </c>
      <c r="G109" s="8">
        <v>0.1</v>
      </c>
      <c r="H109" s="8">
        <v>0.5</v>
      </c>
      <c r="I109" s="8">
        <v>0.6470588235294118</v>
      </c>
      <c r="J109" s="8">
        <v>0.1</v>
      </c>
      <c r="K109" s="8">
        <v>0.11235955056179776</v>
      </c>
      <c r="L109" s="8">
        <v>0.90909090909090917</v>
      </c>
      <c r="M109" s="8">
        <v>9.4117647058823528E-2</v>
      </c>
      <c r="N109" s="8">
        <v>1.5999999999999999</v>
      </c>
      <c r="O109" s="8">
        <v>0.1797752808988764</v>
      </c>
      <c r="P109" s="8">
        <v>0.89999999999999991</v>
      </c>
      <c r="Q109" s="8">
        <v>1.7777777777777779</v>
      </c>
      <c r="R109" s="7">
        <v>1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</row>
    <row r="110" spans="1:25" x14ac:dyDescent="0.25">
      <c r="A110" s="13" t="s">
        <v>189</v>
      </c>
      <c r="B110" s="8">
        <v>1.6700000000000002</v>
      </c>
      <c r="C110" s="8">
        <v>0.11</v>
      </c>
      <c r="D110" s="8">
        <v>0.69767441860465118</v>
      </c>
      <c r="E110" s="8">
        <v>0.66279069767441856</v>
      </c>
      <c r="F110" s="8">
        <v>0.31</v>
      </c>
      <c r="G110" s="8">
        <v>7.0000000000000007E-2</v>
      </c>
      <c r="H110" s="8">
        <v>0.48</v>
      </c>
      <c r="I110" s="8">
        <v>0.7006369426751593</v>
      </c>
      <c r="J110" s="8">
        <v>0.09</v>
      </c>
      <c r="K110" s="8">
        <v>0.10465116279069767</v>
      </c>
      <c r="L110" s="8">
        <v>0.81818181818181812</v>
      </c>
      <c r="M110" s="8">
        <v>0.10828025477707007</v>
      </c>
      <c r="N110" s="8">
        <v>2.125</v>
      </c>
      <c r="O110" s="8">
        <v>0.19767441860465118</v>
      </c>
      <c r="P110" s="8"/>
      <c r="Q110" s="8"/>
      <c r="R110" s="7">
        <v>1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</row>
    <row r="111" spans="1:25" x14ac:dyDescent="0.25">
      <c r="A111" s="13" t="s">
        <v>190</v>
      </c>
      <c r="B111" s="8">
        <v>1.8399999999999999</v>
      </c>
      <c r="C111" s="8">
        <v>0.12</v>
      </c>
      <c r="D111" s="8">
        <v>0.80952380952380965</v>
      </c>
      <c r="E111" s="8">
        <v>0.70238095238095233</v>
      </c>
      <c r="F111" s="8">
        <v>0.3</v>
      </c>
      <c r="G111" s="8">
        <v>0.1</v>
      </c>
      <c r="H111" s="8">
        <v>0.51</v>
      </c>
      <c r="I111" s="8">
        <v>0.62146892655367236</v>
      </c>
      <c r="J111" s="8">
        <v>0.09</v>
      </c>
      <c r="K111" s="8">
        <v>0.10714285714285714</v>
      </c>
      <c r="L111" s="8">
        <v>0.75</v>
      </c>
      <c r="M111" s="8">
        <v>9.6045197740112997E-2</v>
      </c>
      <c r="N111" s="8">
        <v>1.2142857142857142</v>
      </c>
      <c r="O111" s="8">
        <v>0.20238095238095241</v>
      </c>
      <c r="P111" s="8">
        <v>0.75</v>
      </c>
      <c r="Q111" s="8">
        <v>1.8888888888888891</v>
      </c>
      <c r="R111" s="7">
        <v>1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</row>
    <row r="112" spans="1:25" x14ac:dyDescent="0.25">
      <c r="A112" s="13" t="s">
        <v>191</v>
      </c>
      <c r="B112" s="8">
        <v>1.7110000000000001</v>
      </c>
      <c r="C112" s="8">
        <v>0.11</v>
      </c>
      <c r="D112" s="8">
        <v>0.82499999999999996</v>
      </c>
      <c r="E112" s="8">
        <v>0.74999999999999989</v>
      </c>
      <c r="F112" s="8">
        <v>0.26</v>
      </c>
      <c r="G112" s="8">
        <v>0.09</v>
      </c>
      <c r="H112" s="8">
        <v>0.49</v>
      </c>
      <c r="I112" s="8">
        <v>0.67567567567567566</v>
      </c>
      <c r="J112" s="8">
        <v>0.09</v>
      </c>
      <c r="K112" s="8">
        <v>0.11249999999999999</v>
      </c>
      <c r="L112" s="8">
        <v>0.81818181818181812</v>
      </c>
      <c r="M112" s="8">
        <v>0.11486486486486487</v>
      </c>
      <c r="N112" s="8">
        <v>1.3076923076923077</v>
      </c>
      <c r="O112" s="8">
        <v>0.21249999999999999</v>
      </c>
      <c r="P112" s="8">
        <v>0.72727272727272729</v>
      </c>
      <c r="Q112" s="8">
        <v>2.125</v>
      </c>
      <c r="R112" s="7">
        <v>1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</row>
    <row r="113" spans="1:25" x14ac:dyDescent="0.25">
      <c r="A113" s="13" t="s">
        <v>192</v>
      </c>
      <c r="B113" s="8">
        <v>1.1200000000000001</v>
      </c>
      <c r="C113" s="8">
        <v>0.12</v>
      </c>
      <c r="D113" s="8">
        <v>0.78571428571428581</v>
      </c>
      <c r="E113" s="8">
        <v>0.70238095238095233</v>
      </c>
      <c r="F113" s="8">
        <v>0.28000000000000003</v>
      </c>
      <c r="G113" s="8">
        <v>0.1</v>
      </c>
      <c r="H113" s="8">
        <v>0.52</v>
      </c>
      <c r="I113" s="8">
        <v>0.66666666666666674</v>
      </c>
      <c r="J113" s="8">
        <v>0.08</v>
      </c>
      <c r="K113" s="8">
        <v>9.5238095238095247E-2</v>
      </c>
      <c r="L113" s="8">
        <v>0.66666666666666674</v>
      </c>
      <c r="M113" s="8">
        <v>0.10303030303030304</v>
      </c>
      <c r="N113" s="8">
        <v>1.4166666666666667</v>
      </c>
      <c r="O113" s="8">
        <v>0.20238095238095241</v>
      </c>
      <c r="P113" s="8">
        <v>0.83333333333333337</v>
      </c>
      <c r="Q113" s="8">
        <v>1.7</v>
      </c>
      <c r="R113" s="7">
        <v>1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</row>
    <row r="114" spans="1:25" x14ac:dyDescent="0.25">
      <c r="A114" s="13" t="s">
        <v>193</v>
      </c>
      <c r="B114" s="8">
        <v>1.46</v>
      </c>
      <c r="C114" s="8">
        <v>0.13</v>
      </c>
      <c r="D114" s="8">
        <v>0.62765957446808507</v>
      </c>
      <c r="E114" s="8">
        <v>0.63829787234042556</v>
      </c>
      <c r="F114" s="8">
        <v>0.37</v>
      </c>
      <c r="G114" s="8">
        <v>0.1</v>
      </c>
      <c r="H114" s="8">
        <v>0.57999999999999996</v>
      </c>
      <c r="I114" s="8">
        <v>0.59523809523809523</v>
      </c>
      <c r="J114" s="8">
        <v>0.11</v>
      </c>
      <c r="K114" s="8">
        <v>0.11702127659574468</v>
      </c>
      <c r="L114" s="8">
        <v>0.84615384615384615</v>
      </c>
      <c r="M114" s="8">
        <v>0.12523809523809523</v>
      </c>
      <c r="N114" s="8">
        <v>2.457943925233645</v>
      </c>
      <c r="O114" s="8">
        <v>0.27978723404255323</v>
      </c>
      <c r="P114" s="8">
        <v>0.98518518518518516</v>
      </c>
      <c r="Q114" s="8">
        <v>1.9774436090225564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1</v>
      </c>
    </row>
    <row r="115" spans="1:25" x14ac:dyDescent="0.25">
      <c r="A115" s="13" t="s">
        <v>194</v>
      </c>
      <c r="B115" s="8"/>
      <c r="C115" s="8">
        <v>0.13</v>
      </c>
      <c r="D115" s="8">
        <v>0.62105263157894741</v>
      </c>
      <c r="E115" s="8">
        <v>0.6</v>
      </c>
      <c r="F115" s="8">
        <v>0.39</v>
      </c>
      <c r="G115" s="8">
        <v>0.1</v>
      </c>
      <c r="H115" s="8">
        <v>0.61</v>
      </c>
      <c r="I115" s="8">
        <v>0.51631557207765388</v>
      </c>
      <c r="J115" s="8">
        <v>0.11</v>
      </c>
      <c r="K115" s="8">
        <v>0.11578947368421053</v>
      </c>
      <c r="L115" s="8">
        <v>0.84615384615384615</v>
      </c>
      <c r="M115" s="8">
        <v>0.11565468814539448</v>
      </c>
      <c r="N115" s="8">
        <v>2.0588235294117649</v>
      </c>
      <c r="O115" s="8">
        <v>0.29473684210526319</v>
      </c>
      <c r="P115" s="8">
        <v>0.78915662650602414</v>
      </c>
      <c r="Q115" s="8">
        <v>2.1374045801526718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1</v>
      </c>
    </row>
    <row r="116" spans="1:25" x14ac:dyDescent="0.25">
      <c r="A116" s="13" t="s">
        <v>195</v>
      </c>
      <c r="B116" s="8">
        <v>1.52</v>
      </c>
      <c r="C116" s="8">
        <v>0.14000000000000001</v>
      </c>
      <c r="D116" s="8">
        <v>0.62105263157894741</v>
      </c>
      <c r="E116" s="8">
        <v>0.63157894736842102</v>
      </c>
      <c r="F116" s="8">
        <v>0.32200000000000001</v>
      </c>
      <c r="G116" s="8">
        <v>0.11</v>
      </c>
      <c r="H116" s="8">
        <v>0.66</v>
      </c>
      <c r="I116" s="8">
        <v>0.51302288871349655</v>
      </c>
      <c r="J116" s="8">
        <v>0.12</v>
      </c>
      <c r="K116" s="8">
        <v>0.12631578947368421</v>
      </c>
      <c r="L116" s="8">
        <v>0.85714285714285698</v>
      </c>
      <c r="M116" s="8">
        <v>0.1104972375690608</v>
      </c>
      <c r="N116" s="8">
        <v>2.666666666666667</v>
      </c>
      <c r="O116" s="8">
        <v>0.29473684210526319</v>
      </c>
      <c r="P116" s="8">
        <v>1.08</v>
      </c>
      <c r="Q116" s="8">
        <v>2.074074074074074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1</v>
      </c>
    </row>
    <row r="117" spans="1:25" x14ac:dyDescent="0.25">
      <c r="A117" s="13" t="s">
        <v>196</v>
      </c>
      <c r="B117" s="8"/>
      <c r="C117" s="8">
        <v>0.12</v>
      </c>
      <c r="D117" s="8">
        <v>0.625</v>
      </c>
      <c r="E117" s="8">
        <v>0.625</v>
      </c>
      <c r="F117" s="8">
        <v>0.33</v>
      </c>
      <c r="G117" s="8">
        <v>9.6000000000000002E-2</v>
      </c>
      <c r="H117" s="8">
        <v>0.59</v>
      </c>
      <c r="I117" s="8">
        <v>0.54608999563128013</v>
      </c>
      <c r="J117" s="8">
        <v>0.13</v>
      </c>
      <c r="K117" s="8">
        <v>0.13541666666666669</v>
      </c>
      <c r="L117" s="8">
        <v>1.0833333333333335</v>
      </c>
      <c r="M117" s="8"/>
      <c r="N117" s="8"/>
      <c r="O117" s="8"/>
      <c r="P117" s="8">
        <v>0.78915662650602414</v>
      </c>
      <c r="Q117" s="8"/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1</v>
      </c>
    </row>
    <row r="118" spans="1:25" x14ac:dyDescent="0.25">
      <c r="A118" s="13" t="s">
        <v>197</v>
      </c>
      <c r="B118" s="8">
        <v>1.4540000000000002</v>
      </c>
      <c r="C118" s="8">
        <v>0.13</v>
      </c>
      <c r="D118" s="8">
        <v>0.63291139240506333</v>
      </c>
      <c r="E118" s="8">
        <v>0.68565400843881863</v>
      </c>
      <c r="F118" s="8">
        <v>0.38</v>
      </c>
      <c r="G118" s="8">
        <v>9.9000000000000005E-2</v>
      </c>
      <c r="H118" s="8">
        <v>0.64</v>
      </c>
      <c r="I118" s="8">
        <v>0.50991501416430596</v>
      </c>
      <c r="J118" s="8">
        <v>0.11</v>
      </c>
      <c r="K118" s="8">
        <v>0.11603375527426162</v>
      </c>
      <c r="L118" s="8">
        <v>0.84615384615384615</v>
      </c>
      <c r="M118" s="8">
        <v>0.11331444759206799</v>
      </c>
      <c r="N118" s="8">
        <v>1.7500000000000002</v>
      </c>
      <c r="O118" s="8">
        <v>0.29535864978902959</v>
      </c>
      <c r="P118" s="8">
        <v>0.90769230769230758</v>
      </c>
      <c r="Q118" s="8">
        <v>2.3728813559322037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1</v>
      </c>
    </row>
    <row r="119" spans="1:25" x14ac:dyDescent="0.25">
      <c r="A119" s="13" t="s">
        <v>198</v>
      </c>
      <c r="B119" s="8">
        <v>1.48</v>
      </c>
      <c r="C119" s="8">
        <v>0.13</v>
      </c>
      <c r="D119" s="8">
        <v>0.61386138613861385</v>
      </c>
      <c r="E119" s="8">
        <v>0.59405940594059403</v>
      </c>
      <c r="F119" s="8">
        <v>0.32</v>
      </c>
      <c r="G119" s="8">
        <v>0.13</v>
      </c>
      <c r="H119" s="8">
        <v>0.6</v>
      </c>
      <c r="I119" s="8">
        <v>0.56140350877192979</v>
      </c>
      <c r="J119" s="8">
        <v>0.13</v>
      </c>
      <c r="K119" s="8">
        <v>0.12871287128712872</v>
      </c>
      <c r="L119" s="8">
        <v>1</v>
      </c>
      <c r="M119" s="8">
        <v>0.11842105263157894</v>
      </c>
      <c r="N119" s="8">
        <v>2.0769230769230771</v>
      </c>
      <c r="O119" s="8">
        <v>0.26732673267326734</v>
      </c>
      <c r="P119" s="8"/>
      <c r="Q119" s="8">
        <v>1.9285714285714286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1</v>
      </c>
    </row>
    <row r="120" spans="1:25" x14ac:dyDescent="0.25">
      <c r="A120" s="13" t="s">
        <v>199</v>
      </c>
      <c r="B120" s="8"/>
      <c r="C120" s="8">
        <v>0.12</v>
      </c>
      <c r="D120" s="8">
        <v>0.81481481481481477</v>
      </c>
      <c r="E120" s="8">
        <v>0.76543209876543206</v>
      </c>
      <c r="F120" s="8"/>
      <c r="G120" s="8">
        <v>0.12</v>
      </c>
      <c r="H120" s="8">
        <v>0.47</v>
      </c>
      <c r="I120" s="8">
        <v>0.55675675675675673</v>
      </c>
      <c r="J120" s="8">
        <v>0.1</v>
      </c>
      <c r="K120" s="8">
        <v>0.12345679012345678</v>
      </c>
      <c r="L120" s="8">
        <v>0.83333333333333337</v>
      </c>
      <c r="M120" s="8">
        <v>0.11351351351351351</v>
      </c>
      <c r="N120" s="8">
        <v>1.75</v>
      </c>
      <c r="O120" s="8">
        <v>0.25925925925925924</v>
      </c>
      <c r="P120" s="8">
        <v>0.75</v>
      </c>
      <c r="Q120" s="8">
        <v>2.3333333333333335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1</v>
      </c>
    </row>
    <row r="121" spans="1:25" x14ac:dyDescent="0.25">
      <c r="A121" s="13" t="s">
        <v>200</v>
      </c>
      <c r="B121" s="8">
        <v>1.8459999999999999</v>
      </c>
      <c r="C121" s="8">
        <v>0.15</v>
      </c>
      <c r="D121" s="8">
        <v>0.67963576158940397</v>
      </c>
      <c r="E121" s="8">
        <v>0.70695364238410596</v>
      </c>
      <c r="F121" s="8">
        <v>0.34</v>
      </c>
      <c r="G121" s="8">
        <v>0.12</v>
      </c>
      <c r="H121" s="8">
        <v>0.62</v>
      </c>
      <c r="I121" s="8">
        <v>0.56269716088328081</v>
      </c>
      <c r="J121" s="8">
        <v>0.11</v>
      </c>
      <c r="K121" s="8">
        <v>9.105960264900663E-2</v>
      </c>
      <c r="L121" s="8">
        <v>0.73333333333333339</v>
      </c>
      <c r="M121" s="8">
        <v>9.3848580441640378E-2</v>
      </c>
      <c r="N121" s="8">
        <v>1.5354838709677419</v>
      </c>
      <c r="O121" s="8">
        <v>0.19701986754966888</v>
      </c>
      <c r="P121" s="8">
        <v>1.1384615384615384</v>
      </c>
      <c r="Q121" s="8">
        <v>1.6081081081081081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1</v>
      </c>
    </row>
    <row r="122" spans="1:25" x14ac:dyDescent="0.25">
      <c r="A122" s="13" t="s">
        <v>201</v>
      </c>
      <c r="B122" s="8">
        <v>1.6839999999999999</v>
      </c>
      <c r="C122" s="8">
        <v>0.15</v>
      </c>
      <c r="D122" s="8">
        <v>0.68865179437439383</v>
      </c>
      <c r="E122" s="8">
        <v>0.76624636275460722</v>
      </c>
      <c r="F122" s="8">
        <v>0.34</v>
      </c>
      <c r="G122" s="8">
        <v>0.14000000000000001</v>
      </c>
      <c r="H122" s="8">
        <v>0.67</v>
      </c>
      <c r="I122" s="8">
        <v>0.54524971836274883</v>
      </c>
      <c r="J122" s="8">
        <v>0.11</v>
      </c>
      <c r="K122" s="8">
        <v>0.10669253152279341</v>
      </c>
      <c r="L122" s="8">
        <v>0.73333333333333339</v>
      </c>
      <c r="M122" s="8">
        <v>0.10214044310927527</v>
      </c>
      <c r="N122" s="8">
        <v>1.6790123456790125</v>
      </c>
      <c r="O122" s="8">
        <v>0.26382153249272555</v>
      </c>
      <c r="P122" s="8">
        <v>1.0538461538461539</v>
      </c>
      <c r="Q122" s="8">
        <v>1.9854014598540146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1</v>
      </c>
    </row>
    <row r="123" spans="1:25" x14ac:dyDescent="0.25">
      <c r="A123" s="13" t="s">
        <v>202</v>
      </c>
      <c r="B123" s="8">
        <v>1.6400000000000001</v>
      </c>
      <c r="C123" s="8">
        <v>0.14000000000000001</v>
      </c>
      <c r="D123" s="8">
        <v>0.52380952380952384</v>
      </c>
      <c r="E123" s="8">
        <v>0.6964285714285714</v>
      </c>
      <c r="F123" s="8">
        <v>0.34</v>
      </c>
      <c r="G123" s="8">
        <v>0.13600000000000001</v>
      </c>
      <c r="H123" s="8">
        <v>0.65500000000000003</v>
      </c>
      <c r="I123" s="8">
        <v>0.52201492537313432</v>
      </c>
      <c r="J123" s="8">
        <v>0.11700000000000001</v>
      </c>
      <c r="K123" s="8">
        <v>9.948979591836736E-2</v>
      </c>
      <c r="L123" s="8">
        <v>0.83571428571428563</v>
      </c>
      <c r="M123" s="8">
        <v>8.8805970149253718E-2</v>
      </c>
      <c r="N123" s="8">
        <v>1.2864864864864864</v>
      </c>
      <c r="O123" s="8">
        <v>0.20238095238095238</v>
      </c>
      <c r="P123" s="8"/>
      <c r="Q123" s="8"/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1</v>
      </c>
    </row>
    <row r="124" spans="1:25" x14ac:dyDescent="0.25">
      <c r="A124" s="13" t="s">
        <v>277</v>
      </c>
      <c r="B124" s="8">
        <v>1.923</v>
      </c>
      <c r="C124" s="8">
        <v>0.11700000000000001</v>
      </c>
      <c r="D124" s="8">
        <v>0.80352303523035229</v>
      </c>
      <c r="E124" s="8">
        <v>0.72628726287262879</v>
      </c>
      <c r="F124" s="8">
        <v>0.251</v>
      </c>
      <c r="G124" s="8">
        <v>8.6999999999999994E-2</v>
      </c>
      <c r="H124" s="8">
        <v>0.39900000000000002</v>
      </c>
      <c r="I124" s="8">
        <v>0.74098360655737705</v>
      </c>
      <c r="J124" s="8">
        <v>9.2999999999999999E-2</v>
      </c>
      <c r="K124" s="8">
        <v>0.12601626016260162</v>
      </c>
      <c r="L124" s="8">
        <v>0.79487179487179482</v>
      </c>
      <c r="M124" s="8">
        <v>0.13032786885245903</v>
      </c>
      <c r="N124" s="8">
        <v>1.528846153846154</v>
      </c>
      <c r="O124" s="8">
        <v>0.21544715447154472</v>
      </c>
      <c r="P124" s="8">
        <v>1.0588235294117645</v>
      </c>
      <c r="Q124" s="8">
        <v>1.7666666666666668</v>
      </c>
      <c r="R124" s="7">
        <v>0</v>
      </c>
      <c r="S124" s="7">
        <v>0</v>
      </c>
      <c r="T124" s="7">
        <v>1</v>
      </c>
      <c r="U124" s="7">
        <v>0</v>
      </c>
      <c r="V124" s="7">
        <v>1</v>
      </c>
      <c r="W124" s="7">
        <v>0</v>
      </c>
      <c r="X124" s="7">
        <v>0</v>
      </c>
      <c r="Y124" s="7">
        <v>0</v>
      </c>
    </row>
    <row r="125" spans="1:25" x14ac:dyDescent="0.25">
      <c r="A125" s="13" t="s">
        <v>278</v>
      </c>
      <c r="B125" s="8">
        <v>1.5169999999999999</v>
      </c>
      <c r="C125" s="8">
        <v>0.13600000000000001</v>
      </c>
      <c r="D125" s="8">
        <v>0.8453364817001181</v>
      </c>
      <c r="E125" s="8">
        <v>0.78276269185360103</v>
      </c>
      <c r="F125" s="8">
        <v>0.27700000000000002</v>
      </c>
      <c r="G125" s="8">
        <v>0.106</v>
      </c>
      <c r="H125" s="8">
        <v>0.46899999999999997</v>
      </c>
      <c r="I125" s="8">
        <v>0.82944489139179389</v>
      </c>
      <c r="J125" s="8">
        <v>8.7999999999999995E-2</v>
      </c>
      <c r="K125" s="8">
        <v>0.10389610389610389</v>
      </c>
      <c r="L125" s="8">
        <v>0.64705882352941169</v>
      </c>
      <c r="M125" s="8">
        <v>0.16653258246178598</v>
      </c>
      <c r="N125" s="8">
        <v>1.9903846153846154</v>
      </c>
      <c r="O125" s="8">
        <v>0.24439197166469892</v>
      </c>
      <c r="P125" s="8">
        <v>1.0526315789473684</v>
      </c>
      <c r="Q125" s="8">
        <v>2.0699999999999998</v>
      </c>
      <c r="R125" s="7">
        <v>0</v>
      </c>
      <c r="S125" s="7">
        <v>0</v>
      </c>
      <c r="T125" s="7">
        <v>1</v>
      </c>
      <c r="U125" s="7">
        <v>0</v>
      </c>
      <c r="V125" s="7">
        <v>1</v>
      </c>
      <c r="W125" s="7">
        <v>0</v>
      </c>
      <c r="X125" s="7">
        <v>0</v>
      </c>
      <c r="Y125" s="7">
        <v>0</v>
      </c>
    </row>
    <row r="126" spans="1:25" x14ac:dyDescent="0.25">
      <c r="A126" s="13" t="s">
        <v>279</v>
      </c>
      <c r="B126" s="8"/>
      <c r="C126" s="8">
        <v>0.114</v>
      </c>
      <c r="D126" s="8">
        <v>0.76852907639680734</v>
      </c>
      <c r="E126" s="8">
        <v>0.70239452679589509</v>
      </c>
      <c r="F126" s="8">
        <v>0.27</v>
      </c>
      <c r="G126" s="8">
        <v>0.107</v>
      </c>
      <c r="H126" s="8">
        <v>0.41599999999999998</v>
      </c>
      <c r="I126" s="8">
        <v>0.58695652173913038</v>
      </c>
      <c r="J126" s="8">
        <v>8.6999999999999994E-2</v>
      </c>
      <c r="K126" s="8">
        <v>9.9201824401368294E-2</v>
      </c>
      <c r="L126" s="8">
        <v>0.76315789473684204</v>
      </c>
      <c r="M126" s="8">
        <v>0.11366459627329191</v>
      </c>
      <c r="N126" s="8">
        <v>1.6339285714285714</v>
      </c>
      <c r="O126" s="8">
        <v>0.20866590649942987</v>
      </c>
      <c r="P126" s="8">
        <v>1.0227272727272727</v>
      </c>
      <c r="Q126" s="8">
        <v>2.0333333333333332</v>
      </c>
      <c r="R126" s="7">
        <v>0</v>
      </c>
      <c r="S126" s="7">
        <v>0</v>
      </c>
      <c r="T126" s="7">
        <v>1</v>
      </c>
      <c r="U126" s="7">
        <v>0</v>
      </c>
      <c r="V126" s="7">
        <v>1</v>
      </c>
      <c r="W126" s="7">
        <v>0</v>
      </c>
      <c r="X126" s="7">
        <v>0</v>
      </c>
      <c r="Y126" s="7">
        <v>0</v>
      </c>
    </row>
    <row r="127" spans="1:25" x14ac:dyDescent="0.25">
      <c r="A127" s="13" t="s">
        <v>280</v>
      </c>
      <c r="B127" s="8"/>
      <c r="C127" s="8">
        <v>0.11700000000000001</v>
      </c>
      <c r="D127" s="8">
        <v>0.80740740740740735</v>
      </c>
      <c r="E127" s="8">
        <v>0.75555555555555554</v>
      </c>
      <c r="F127" s="8"/>
      <c r="G127" s="8">
        <v>0.12</v>
      </c>
      <c r="H127" s="8">
        <v>0.44500000000000001</v>
      </c>
      <c r="I127" s="8">
        <v>0.59190751445086709</v>
      </c>
      <c r="J127" s="8">
        <v>0.09</v>
      </c>
      <c r="K127" s="8">
        <v>0.1111111111111111</v>
      </c>
      <c r="L127" s="8">
        <v>0.76923076923076916</v>
      </c>
      <c r="M127" s="8">
        <v>0.11387283236994221</v>
      </c>
      <c r="N127" s="8">
        <v>1.481203007518797</v>
      </c>
      <c r="O127" s="8">
        <v>0.24320987654320986</v>
      </c>
      <c r="P127" s="8">
        <v>0.84545454545454546</v>
      </c>
      <c r="Q127" s="8">
        <v>2.118279569892473</v>
      </c>
      <c r="R127" s="7">
        <v>0</v>
      </c>
      <c r="S127" s="7">
        <v>0</v>
      </c>
      <c r="T127" s="7">
        <v>1</v>
      </c>
      <c r="U127" s="7">
        <v>0</v>
      </c>
      <c r="V127" s="7">
        <v>1</v>
      </c>
      <c r="W127" s="7">
        <v>0</v>
      </c>
      <c r="X127" s="7">
        <v>0</v>
      </c>
      <c r="Y127" s="7">
        <v>0</v>
      </c>
    </row>
    <row r="128" spans="1:25" x14ac:dyDescent="0.25">
      <c r="A128" s="13" t="s">
        <v>281</v>
      </c>
      <c r="B128" s="8"/>
      <c r="C128" s="8">
        <v>0.11</v>
      </c>
      <c r="D128" s="8">
        <v>0.71478873239436624</v>
      </c>
      <c r="E128" s="8">
        <v>0.755868544600939</v>
      </c>
      <c r="F128" s="8">
        <v>0.27500000000000002</v>
      </c>
      <c r="G128" s="8"/>
      <c r="H128" s="8">
        <v>0.44</v>
      </c>
      <c r="I128" s="8">
        <v>0.57411764705882351</v>
      </c>
      <c r="J128" s="8">
        <v>0.08</v>
      </c>
      <c r="K128" s="8">
        <v>9.3896713615023483E-2</v>
      </c>
      <c r="L128" s="8">
        <v>0.72727272727272729</v>
      </c>
      <c r="M128" s="8">
        <v>0.11764705882352942</v>
      </c>
      <c r="N128" s="8">
        <v>1.8518518518518521</v>
      </c>
      <c r="O128" s="8">
        <v>0.23474178403755872</v>
      </c>
      <c r="P128" s="8">
        <v>1.1176470588235294</v>
      </c>
      <c r="Q128" s="8">
        <v>2.1052631578947367</v>
      </c>
      <c r="R128" s="7">
        <v>0</v>
      </c>
      <c r="S128" s="7">
        <v>0</v>
      </c>
      <c r="T128" s="7">
        <v>1</v>
      </c>
      <c r="U128" s="7">
        <v>0</v>
      </c>
      <c r="V128" s="7">
        <v>1</v>
      </c>
      <c r="W128" s="7">
        <v>0</v>
      </c>
      <c r="X128" s="7">
        <v>0</v>
      </c>
      <c r="Y128" s="7">
        <v>0</v>
      </c>
    </row>
    <row r="129" spans="1:25" x14ac:dyDescent="0.25">
      <c r="A129" s="13" t="s">
        <v>282</v>
      </c>
      <c r="B129" s="8"/>
      <c r="C129" s="8"/>
      <c r="D129" s="8"/>
      <c r="E129" s="8"/>
      <c r="F129" s="8">
        <v>0.28699999999999998</v>
      </c>
      <c r="G129" s="8">
        <v>0.1</v>
      </c>
      <c r="H129" s="8">
        <v>0.45300000000000001</v>
      </c>
      <c r="I129" s="8">
        <v>0.73846153846153839</v>
      </c>
      <c r="J129" s="8">
        <v>8.5000000000000006E-2</v>
      </c>
      <c r="K129" s="8">
        <v>0.10403916768665852</v>
      </c>
      <c r="L129" s="8"/>
      <c r="M129" s="8">
        <v>0.11538461538461538</v>
      </c>
      <c r="N129" s="8">
        <v>1.2820512820512819</v>
      </c>
      <c r="O129" s="8">
        <v>0.18359853121175032</v>
      </c>
      <c r="P129" s="8">
        <v>0.77227722772277219</v>
      </c>
      <c r="Q129" s="8">
        <v>1.9230769230769229</v>
      </c>
      <c r="R129" s="7">
        <v>0</v>
      </c>
      <c r="S129" s="7">
        <v>0</v>
      </c>
      <c r="T129" s="7">
        <v>1</v>
      </c>
      <c r="U129" s="7">
        <v>0</v>
      </c>
      <c r="V129" s="7">
        <v>1</v>
      </c>
      <c r="W129" s="7">
        <v>0</v>
      </c>
      <c r="X129" s="7">
        <v>0</v>
      </c>
      <c r="Y129" s="7">
        <v>0</v>
      </c>
    </row>
    <row r="130" spans="1:25" x14ac:dyDescent="0.25">
      <c r="A130" s="13" t="s">
        <v>283</v>
      </c>
      <c r="B130" s="8"/>
      <c r="C130" s="8">
        <v>0.104</v>
      </c>
      <c r="D130" s="8">
        <v>0.76549210206561369</v>
      </c>
      <c r="E130" s="8">
        <v>0.71688942891859053</v>
      </c>
      <c r="F130" s="8">
        <v>0.26</v>
      </c>
      <c r="G130" s="8">
        <v>9.8000000000000004E-2</v>
      </c>
      <c r="H130" s="8">
        <v>0.441</v>
      </c>
      <c r="I130" s="8">
        <v>0.53941176470588237</v>
      </c>
      <c r="J130" s="8">
        <v>0.09</v>
      </c>
      <c r="K130" s="8">
        <v>0.10935601458080195</v>
      </c>
      <c r="L130" s="8">
        <v>0.86538461538461542</v>
      </c>
      <c r="M130" s="8">
        <v>8.9411764705882357E-2</v>
      </c>
      <c r="N130" s="8">
        <v>1.4476190476190476</v>
      </c>
      <c r="O130" s="8">
        <v>0.18469015795868773</v>
      </c>
      <c r="P130" s="8">
        <v>0.86915887850467288</v>
      </c>
      <c r="Q130" s="8">
        <v>1.6344086021505375</v>
      </c>
      <c r="R130" s="7">
        <v>0</v>
      </c>
      <c r="S130" s="7">
        <v>0</v>
      </c>
      <c r="T130" s="7">
        <v>1</v>
      </c>
      <c r="U130" s="7">
        <v>0</v>
      </c>
      <c r="V130" s="7">
        <v>1</v>
      </c>
      <c r="W130" s="7">
        <v>0</v>
      </c>
      <c r="X130" s="7">
        <v>0</v>
      </c>
      <c r="Y130" s="7">
        <v>0</v>
      </c>
    </row>
    <row r="131" spans="1:25" x14ac:dyDescent="0.25">
      <c r="A131" s="13" t="s">
        <v>284</v>
      </c>
      <c r="B131" s="8"/>
      <c r="C131" s="8"/>
      <c r="D131" s="8"/>
      <c r="E131" s="8">
        <v>0.72101449275362317</v>
      </c>
      <c r="F131" s="8">
        <v>0.27700000000000002</v>
      </c>
      <c r="G131" s="8">
        <v>0.01</v>
      </c>
      <c r="H131" s="8">
        <v>0.42599999999999999</v>
      </c>
      <c r="I131" s="8">
        <v>0.66223776223776221</v>
      </c>
      <c r="J131" s="8">
        <v>8.1000000000000003E-2</v>
      </c>
      <c r="K131" s="8">
        <v>9.7826086956521743E-2</v>
      </c>
      <c r="L131" s="8"/>
      <c r="M131" s="8">
        <v>0.11888111888111889</v>
      </c>
      <c r="N131" s="8">
        <v>1.2977099236641221</v>
      </c>
      <c r="O131" s="8">
        <v>0.20531400966183577</v>
      </c>
      <c r="P131" s="8">
        <v>0.80392156862745101</v>
      </c>
      <c r="Q131" s="8">
        <v>2.0731707317073171</v>
      </c>
      <c r="R131" s="7">
        <v>0</v>
      </c>
      <c r="S131" s="7">
        <v>0</v>
      </c>
      <c r="T131" s="7">
        <v>1</v>
      </c>
      <c r="U131" s="7">
        <v>0</v>
      </c>
      <c r="V131" s="7">
        <v>1</v>
      </c>
      <c r="W131" s="7">
        <v>0</v>
      </c>
      <c r="X131" s="7">
        <v>0</v>
      </c>
      <c r="Y131" s="7">
        <v>0</v>
      </c>
    </row>
    <row r="132" spans="1:25" x14ac:dyDescent="0.25">
      <c r="A132" s="13" t="s">
        <v>285</v>
      </c>
      <c r="B132" s="8"/>
      <c r="C132" s="8"/>
      <c r="D132" s="8"/>
      <c r="E132" s="8"/>
      <c r="F132" s="8">
        <v>0.27</v>
      </c>
      <c r="G132" s="8">
        <v>0.1</v>
      </c>
      <c r="H132" s="8">
        <v>0.46899999999999997</v>
      </c>
      <c r="I132" s="8">
        <v>0.62941176470588234</v>
      </c>
      <c r="J132" s="8">
        <v>9.4E-2</v>
      </c>
      <c r="K132" s="8">
        <v>0.12097812097812098</v>
      </c>
      <c r="L132" s="8"/>
      <c r="M132" s="8">
        <v>9.4771241830065356E-2</v>
      </c>
      <c r="N132" s="8">
        <v>1.3809523809523809</v>
      </c>
      <c r="O132" s="8">
        <v>0.18661518661518658</v>
      </c>
      <c r="P132" s="8">
        <v>0.94117647058823539</v>
      </c>
      <c r="Q132" s="8">
        <v>1.5104166666666665</v>
      </c>
      <c r="R132" s="7">
        <v>0</v>
      </c>
      <c r="S132" s="7">
        <v>0</v>
      </c>
      <c r="T132" s="7">
        <v>1</v>
      </c>
      <c r="U132" s="7">
        <v>0</v>
      </c>
      <c r="V132" s="7">
        <v>1</v>
      </c>
      <c r="W132" s="7">
        <v>0</v>
      </c>
      <c r="X132" s="7">
        <v>0</v>
      </c>
      <c r="Y132" s="7">
        <v>0</v>
      </c>
    </row>
    <row r="133" spans="1:25" x14ac:dyDescent="0.25">
      <c r="A133" s="13" t="s">
        <v>286</v>
      </c>
      <c r="B133" s="8">
        <v>1.5529999999999999</v>
      </c>
      <c r="C133" s="8">
        <v>0.124</v>
      </c>
      <c r="D133" s="8">
        <v>0.83875338753387529</v>
      </c>
      <c r="E133" s="8">
        <v>0.74390243902439035</v>
      </c>
      <c r="F133" s="8">
        <v>0.28000000000000003</v>
      </c>
      <c r="G133" s="8">
        <v>9.6000000000000002E-2</v>
      </c>
      <c r="H133" s="8">
        <v>0.41199999999999998</v>
      </c>
      <c r="I133" s="8">
        <v>0.69821567106283944</v>
      </c>
      <c r="J133" s="8">
        <v>8.5999999999999993E-2</v>
      </c>
      <c r="K133" s="8">
        <v>0.11653116531165311</v>
      </c>
      <c r="L133" s="8">
        <v>0.69354838709677413</v>
      </c>
      <c r="M133" s="8">
        <v>0.1117145073700543</v>
      </c>
      <c r="N133" s="8">
        <v>1.3584905660377358</v>
      </c>
      <c r="O133" s="8">
        <v>0.19512195121951217</v>
      </c>
      <c r="P133" s="8"/>
      <c r="Q133" s="8"/>
      <c r="R133" s="7">
        <v>0</v>
      </c>
      <c r="S133" s="7">
        <v>0</v>
      </c>
      <c r="T133" s="7">
        <v>1</v>
      </c>
      <c r="U133" s="7">
        <v>0</v>
      </c>
      <c r="V133" s="7">
        <v>1</v>
      </c>
      <c r="W133" s="7">
        <v>0</v>
      </c>
      <c r="X133" s="7">
        <v>0</v>
      </c>
      <c r="Y133" s="7">
        <v>0</v>
      </c>
    </row>
    <row r="134" spans="1:25" x14ac:dyDescent="0.25">
      <c r="A134" s="13" t="s">
        <v>287</v>
      </c>
      <c r="B134" s="8">
        <v>1.143</v>
      </c>
      <c r="C134" s="8">
        <v>0.11</v>
      </c>
      <c r="D134" s="8">
        <v>0.77088948787061984</v>
      </c>
      <c r="E134" s="8">
        <v>0.74932614555256072</v>
      </c>
      <c r="F134" s="8">
        <v>0.27700000000000002</v>
      </c>
      <c r="G134" s="8">
        <v>0.09</v>
      </c>
      <c r="H134" s="8">
        <v>0.40699999999999997</v>
      </c>
      <c r="I134" s="8">
        <v>0.56787762906309758</v>
      </c>
      <c r="J134" s="8">
        <v>7.8E-2</v>
      </c>
      <c r="K134" s="8">
        <v>0.10512129380053908</v>
      </c>
      <c r="L134" s="8">
        <v>0.70909090909090911</v>
      </c>
      <c r="M134" s="8">
        <v>9.0503505417463354E-2</v>
      </c>
      <c r="N134" s="8">
        <v>1.7530864197530862</v>
      </c>
      <c r="O134" s="8">
        <v>0.19137466307277626</v>
      </c>
      <c r="P134" s="8">
        <v>0.82417582417582413</v>
      </c>
      <c r="Q134" s="8">
        <v>1.8933333333333333</v>
      </c>
      <c r="R134" s="7">
        <v>0</v>
      </c>
      <c r="S134" s="7">
        <v>0</v>
      </c>
      <c r="T134" s="7">
        <v>1</v>
      </c>
      <c r="U134" s="7">
        <v>0</v>
      </c>
      <c r="V134" s="7">
        <v>1</v>
      </c>
      <c r="W134" s="7">
        <v>0</v>
      </c>
      <c r="X134" s="7">
        <v>0</v>
      </c>
      <c r="Y134" s="7">
        <v>0</v>
      </c>
    </row>
    <row r="135" spans="1:25" x14ac:dyDescent="0.25">
      <c r="A135" s="13" t="s">
        <v>203</v>
      </c>
      <c r="B135" s="8">
        <v>1.4409999999999998</v>
      </c>
      <c r="C135" s="8">
        <v>0.19</v>
      </c>
      <c r="D135" s="8">
        <v>0.80891719745222934</v>
      </c>
      <c r="E135" s="8">
        <v>0.77616014558689717</v>
      </c>
      <c r="F135" s="8">
        <v>0.35199999999999998</v>
      </c>
      <c r="G135" s="8">
        <v>0.14599999999999999</v>
      </c>
      <c r="H135" s="8">
        <v>0.72199999999999998</v>
      </c>
      <c r="I135" s="8">
        <v>0.5842105263157894</v>
      </c>
      <c r="J135" s="8">
        <v>0.106</v>
      </c>
      <c r="K135" s="8">
        <v>9.6451319381255687E-2</v>
      </c>
      <c r="L135" s="8">
        <v>0.55789473684210522</v>
      </c>
      <c r="M135" s="8">
        <v>0.12429149797570849</v>
      </c>
      <c r="N135" s="8">
        <v>3.1979166666666665</v>
      </c>
      <c r="O135" s="8">
        <v>0.27934485896269334</v>
      </c>
      <c r="P135" s="8">
        <v>0.94117647058823528</v>
      </c>
      <c r="Q135" s="8">
        <v>2.3984375</v>
      </c>
      <c r="R135" s="7">
        <v>5</v>
      </c>
      <c r="S135" s="7">
        <v>2</v>
      </c>
      <c r="T135" s="7">
        <v>2</v>
      </c>
      <c r="U135" s="7">
        <v>1</v>
      </c>
      <c r="V135" s="7">
        <v>0</v>
      </c>
      <c r="W135" s="7">
        <v>0</v>
      </c>
      <c r="X135" s="7">
        <v>0</v>
      </c>
      <c r="Y135" s="7">
        <v>0</v>
      </c>
    </row>
    <row r="136" spans="1:25" x14ac:dyDescent="0.25">
      <c r="A136" s="13" t="s">
        <v>204</v>
      </c>
      <c r="B136" s="8">
        <v>1.788</v>
      </c>
      <c r="C136" s="8">
        <v>0.185</v>
      </c>
      <c r="D136" s="8">
        <v>0.78740157480314965</v>
      </c>
      <c r="E136" s="8">
        <v>0.84164479440069984</v>
      </c>
      <c r="F136" s="8">
        <v>0.39500000000000002</v>
      </c>
      <c r="G136" s="8">
        <v>0.14899999999999999</v>
      </c>
      <c r="H136" s="8">
        <v>0.82499999999999996</v>
      </c>
      <c r="I136" s="8">
        <v>0.57479174212241935</v>
      </c>
      <c r="J136" s="8">
        <v>0.11799999999999999</v>
      </c>
      <c r="K136" s="8">
        <v>0.10323709536307961</v>
      </c>
      <c r="L136" s="8">
        <v>0.63783783783783776</v>
      </c>
      <c r="M136" s="8">
        <v>0.11952191235059761</v>
      </c>
      <c r="N136" s="8">
        <v>2.9203539823008851</v>
      </c>
      <c r="O136" s="8">
        <v>0.28871391076115488</v>
      </c>
      <c r="P136" s="8">
        <v>0.93006993006993022</v>
      </c>
      <c r="Q136" s="8">
        <v>2.481203007518797</v>
      </c>
      <c r="R136" s="7">
        <v>5</v>
      </c>
      <c r="S136" s="7">
        <v>2</v>
      </c>
      <c r="T136" s="7">
        <v>2</v>
      </c>
      <c r="U136" s="7">
        <v>1</v>
      </c>
      <c r="V136" s="7">
        <v>0</v>
      </c>
      <c r="W136" s="7">
        <v>0</v>
      </c>
      <c r="X136" s="7">
        <v>0</v>
      </c>
      <c r="Y136" s="7">
        <v>0</v>
      </c>
    </row>
    <row r="137" spans="1:25" x14ac:dyDescent="0.25">
      <c r="A137" s="13" t="s">
        <v>205</v>
      </c>
      <c r="B137" s="8">
        <v>1.8479999999999999</v>
      </c>
      <c r="C137" s="8">
        <v>0.186</v>
      </c>
      <c r="D137" s="8">
        <v>0.90143737166324434</v>
      </c>
      <c r="E137" s="8">
        <v>0.88398357289527718</v>
      </c>
      <c r="F137" s="8">
        <v>0.33900000000000002</v>
      </c>
      <c r="G137" s="8"/>
      <c r="H137" s="8">
        <v>0.68799999999999994</v>
      </c>
      <c r="I137" s="8">
        <v>0.77959830866807622</v>
      </c>
      <c r="J137" s="8">
        <v>0.128</v>
      </c>
      <c r="K137" s="8">
        <v>0.13141683778234087</v>
      </c>
      <c r="L137" s="8">
        <v>0.68817204301075274</v>
      </c>
      <c r="M137" s="8">
        <v>0.15803382663847781</v>
      </c>
      <c r="N137" s="8">
        <v>3.2857142857142856</v>
      </c>
      <c r="O137" s="8">
        <v>0.30698151950718683</v>
      </c>
      <c r="P137" s="8">
        <v>0.76470588235294124</v>
      </c>
      <c r="Q137" s="8">
        <v>2.5555555555555554</v>
      </c>
      <c r="R137" s="7">
        <v>5</v>
      </c>
      <c r="S137" s="7">
        <v>2</v>
      </c>
      <c r="T137" s="7">
        <v>2</v>
      </c>
      <c r="U137" s="7">
        <v>1</v>
      </c>
      <c r="V137" s="7">
        <v>0</v>
      </c>
      <c r="W137" s="7">
        <v>0</v>
      </c>
      <c r="X137" s="7">
        <v>0</v>
      </c>
      <c r="Y137" s="7">
        <v>0</v>
      </c>
    </row>
    <row r="138" spans="1:25" x14ac:dyDescent="0.25">
      <c r="A138" s="13" t="s">
        <v>206</v>
      </c>
      <c r="B138" s="8">
        <v>1.516</v>
      </c>
      <c r="C138" s="8">
        <v>0.18</v>
      </c>
      <c r="D138" s="8">
        <v>0.84682332463011312</v>
      </c>
      <c r="E138" s="8">
        <v>0.85813751087902523</v>
      </c>
      <c r="F138" s="8">
        <v>0.36</v>
      </c>
      <c r="G138" s="8">
        <v>0.126</v>
      </c>
      <c r="H138" s="8">
        <v>0.749</v>
      </c>
      <c r="I138" s="8">
        <v>0.63795255930087391</v>
      </c>
      <c r="J138" s="8">
        <v>0.127</v>
      </c>
      <c r="K138" s="8">
        <v>0.11053089643167972</v>
      </c>
      <c r="L138" s="8">
        <v>0.7055555555555556</v>
      </c>
      <c r="M138" s="8">
        <v>0.13316687473990846</v>
      </c>
      <c r="N138" s="8">
        <v>3.2653061224489797</v>
      </c>
      <c r="O138" s="8">
        <v>0.278503046127067</v>
      </c>
      <c r="P138" s="8">
        <v>0.80722891566265065</v>
      </c>
      <c r="Q138" s="8">
        <v>2.3880597014925371</v>
      </c>
      <c r="R138" s="7">
        <v>5</v>
      </c>
      <c r="S138" s="7">
        <v>2</v>
      </c>
      <c r="T138" s="7">
        <v>2</v>
      </c>
      <c r="U138" s="7">
        <v>1</v>
      </c>
      <c r="V138" s="7">
        <v>0</v>
      </c>
      <c r="W138" s="7">
        <v>0</v>
      </c>
      <c r="X138" s="7">
        <v>0</v>
      </c>
      <c r="Y138" s="7">
        <v>0</v>
      </c>
    </row>
    <row r="139" spans="1:25" x14ac:dyDescent="0.25">
      <c r="A139" s="13" t="s">
        <v>207</v>
      </c>
      <c r="B139" s="8">
        <v>1.4750000000000001</v>
      </c>
      <c r="C139" s="8">
        <v>0.14899999999999999</v>
      </c>
      <c r="D139" s="8">
        <v>0.70978627671541061</v>
      </c>
      <c r="E139" s="8">
        <v>0.77727784026996616</v>
      </c>
      <c r="F139" s="8">
        <v>0.32500000000000001</v>
      </c>
      <c r="G139" s="8">
        <v>0.14000000000000001</v>
      </c>
      <c r="H139" s="8">
        <v>0.51</v>
      </c>
      <c r="I139" s="8">
        <v>0.58190954773869352</v>
      </c>
      <c r="J139" s="8">
        <v>0.10199999999999999</v>
      </c>
      <c r="K139" s="8">
        <v>0.11473565804274465</v>
      </c>
      <c r="L139" s="8">
        <v>0.68456375838926176</v>
      </c>
      <c r="M139" s="8">
        <v>0.10753768844221107</v>
      </c>
      <c r="N139" s="8">
        <v>1.8938053097345131</v>
      </c>
      <c r="O139" s="8">
        <v>0.24071991001124859</v>
      </c>
      <c r="P139" s="8">
        <v>0.82608695652173914</v>
      </c>
      <c r="Q139" s="8">
        <v>2.2526315789473683</v>
      </c>
      <c r="R139" s="7">
        <v>5</v>
      </c>
      <c r="S139" s="7">
        <v>2</v>
      </c>
      <c r="T139" s="7">
        <v>2</v>
      </c>
      <c r="U139" s="7">
        <v>1</v>
      </c>
      <c r="V139" s="7">
        <v>0</v>
      </c>
      <c r="W139" s="7">
        <v>0</v>
      </c>
      <c r="X139" s="7">
        <v>0</v>
      </c>
      <c r="Y139" s="7">
        <v>0</v>
      </c>
    </row>
    <row r="140" spans="1:25" x14ac:dyDescent="0.25">
      <c r="A140" s="13" t="s">
        <v>208</v>
      </c>
      <c r="B140" s="8">
        <v>1.4849999999999999</v>
      </c>
      <c r="C140" s="8">
        <v>0.154</v>
      </c>
      <c r="D140" s="8">
        <v>0.72846441947565543</v>
      </c>
      <c r="E140" s="8">
        <v>0.74625468164794007</v>
      </c>
      <c r="F140" s="8">
        <v>0.35299999999999998</v>
      </c>
      <c r="G140" s="8">
        <v>0.159</v>
      </c>
      <c r="H140" s="8">
        <v>0.67600000000000005</v>
      </c>
      <c r="I140" s="8">
        <v>0.5679898648648648</v>
      </c>
      <c r="J140" s="8">
        <v>0.11700000000000001</v>
      </c>
      <c r="K140" s="8">
        <v>0.10955056179775281</v>
      </c>
      <c r="L140" s="8">
        <v>0.75974025974025983</v>
      </c>
      <c r="M140" s="8">
        <v>0.11275337837837837</v>
      </c>
      <c r="N140" s="8">
        <v>2.2627118644067798</v>
      </c>
      <c r="O140" s="8">
        <v>0.25</v>
      </c>
      <c r="P140" s="8">
        <v>0.83571428571428563</v>
      </c>
      <c r="Q140" s="8">
        <v>2.2820512820512819</v>
      </c>
      <c r="R140" s="7">
        <v>5</v>
      </c>
      <c r="S140" s="7">
        <v>2</v>
      </c>
      <c r="T140" s="7">
        <v>2</v>
      </c>
      <c r="U140" s="7">
        <v>1</v>
      </c>
      <c r="V140" s="7">
        <v>0</v>
      </c>
      <c r="W140" s="7">
        <v>0</v>
      </c>
      <c r="X140" s="7">
        <v>0</v>
      </c>
      <c r="Y140" s="7">
        <v>0</v>
      </c>
    </row>
    <row r="141" spans="1:25" x14ac:dyDescent="0.25">
      <c r="A141" s="13" t="s">
        <v>209</v>
      </c>
      <c r="B141" s="8">
        <v>1.044</v>
      </c>
      <c r="C141" s="8">
        <v>0.14899999999999999</v>
      </c>
      <c r="D141" s="8">
        <v>0.81592689295039167</v>
      </c>
      <c r="E141" s="8">
        <v>0.76501305483028714</v>
      </c>
      <c r="F141" s="8">
        <v>0.33600000000000002</v>
      </c>
      <c r="G141" s="8">
        <v>0.13400000000000001</v>
      </c>
      <c r="H141" s="8">
        <v>0.53300000000000003</v>
      </c>
      <c r="I141" s="8">
        <v>0.65448315248429467</v>
      </c>
      <c r="J141" s="8">
        <v>0.111</v>
      </c>
      <c r="K141" s="8">
        <v>0.14490861618798956</v>
      </c>
      <c r="L141" s="8">
        <v>0.74496644295302017</v>
      </c>
      <c r="M141" s="8">
        <v>0.10622501427755569</v>
      </c>
      <c r="N141" s="8">
        <v>1.8787878787878787</v>
      </c>
      <c r="O141" s="8">
        <v>0.24281984334203655</v>
      </c>
      <c r="P141" s="8">
        <v>1.0823529411764705</v>
      </c>
      <c r="Q141" s="8">
        <v>2.0217391304347827</v>
      </c>
      <c r="R141" s="7">
        <v>5</v>
      </c>
      <c r="S141" s="7">
        <v>2</v>
      </c>
      <c r="T141" s="7">
        <v>2</v>
      </c>
      <c r="U141" s="7">
        <v>1</v>
      </c>
      <c r="V141" s="7">
        <v>0</v>
      </c>
      <c r="W141" s="7">
        <v>0</v>
      </c>
      <c r="X141" s="7">
        <v>0</v>
      </c>
      <c r="Y141" s="7">
        <v>0</v>
      </c>
    </row>
    <row r="142" spans="1:25" x14ac:dyDescent="0.25">
      <c r="A142" s="13" t="s">
        <v>210</v>
      </c>
      <c r="B142" s="8">
        <v>1.52</v>
      </c>
      <c r="C142" s="8">
        <v>0.151</v>
      </c>
      <c r="D142" s="8">
        <v>0.68756218905472644</v>
      </c>
      <c r="E142" s="8">
        <v>0.69950248756218913</v>
      </c>
      <c r="F142" s="8">
        <v>0.32800000000000001</v>
      </c>
      <c r="G142" s="8">
        <v>0.161</v>
      </c>
      <c r="H142" s="8">
        <v>0.61099999999999999</v>
      </c>
      <c r="I142" s="8">
        <v>0.57899628252788105</v>
      </c>
      <c r="J142" s="8">
        <v>0.105</v>
      </c>
      <c r="K142" s="8">
        <v>0.10447761194029852</v>
      </c>
      <c r="L142" s="8">
        <v>0.69536423841059603</v>
      </c>
      <c r="M142" s="8">
        <v>0.10873605947955391</v>
      </c>
      <c r="N142" s="8">
        <v>1.9830508474576274</v>
      </c>
      <c r="O142" s="8">
        <v>0.23283582089552243</v>
      </c>
      <c r="P142" s="8"/>
      <c r="Q142" s="8"/>
      <c r="R142" s="7">
        <v>5</v>
      </c>
      <c r="S142" s="7">
        <v>2</v>
      </c>
      <c r="T142" s="7">
        <v>2</v>
      </c>
      <c r="U142" s="7">
        <v>1</v>
      </c>
      <c r="V142" s="7">
        <v>0</v>
      </c>
      <c r="W142" s="7">
        <v>0</v>
      </c>
      <c r="X142" s="7">
        <v>0</v>
      </c>
      <c r="Y142" s="7">
        <v>0</v>
      </c>
    </row>
    <row r="143" spans="1:25" x14ac:dyDescent="0.25">
      <c r="A143" s="13" t="s">
        <v>211</v>
      </c>
      <c r="B143" s="8">
        <v>1.25</v>
      </c>
      <c r="C143" s="8">
        <v>0.154</v>
      </c>
      <c r="D143" s="8">
        <v>0.67918781725888333</v>
      </c>
      <c r="E143" s="8">
        <v>0.64771573604060917</v>
      </c>
      <c r="F143" s="8">
        <v>0.34899999999999998</v>
      </c>
      <c r="G143" s="8">
        <v>0.16400000000000001</v>
      </c>
      <c r="H143" s="8">
        <v>0.59399999999999997</v>
      </c>
      <c r="I143" s="8">
        <v>0.69535673839184597</v>
      </c>
      <c r="J143" s="8">
        <v>9.6000000000000002E-2</v>
      </c>
      <c r="K143" s="8">
        <v>9.746192893401015E-2</v>
      </c>
      <c r="L143" s="8">
        <v>0.62337662337662336</v>
      </c>
      <c r="M143" s="8">
        <v>0.12910532276330691</v>
      </c>
      <c r="N143" s="8">
        <v>2.0540540540540539</v>
      </c>
      <c r="O143" s="8">
        <v>0.23147208121827412</v>
      </c>
      <c r="P143" s="8">
        <v>0.8203125</v>
      </c>
      <c r="Q143" s="8">
        <v>2.1714285714285717</v>
      </c>
      <c r="R143" s="7">
        <v>5</v>
      </c>
      <c r="S143" s="7">
        <v>2</v>
      </c>
      <c r="T143" s="7">
        <v>2</v>
      </c>
      <c r="U143" s="7">
        <v>1</v>
      </c>
      <c r="V143" s="7">
        <v>0</v>
      </c>
      <c r="W143" s="7">
        <v>0</v>
      </c>
      <c r="X143" s="7">
        <v>0</v>
      </c>
      <c r="Y143" s="7">
        <v>0</v>
      </c>
    </row>
    <row r="144" spans="1:25" x14ac:dyDescent="0.25">
      <c r="A144" s="13" t="s">
        <v>212</v>
      </c>
      <c r="B144" s="8">
        <v>1.407</v>
      </c>
      <c r="C144" s="8">
        <v>0.13200000000000001</v>
      </c>
      <c r="D144" s="8">
        <v>0.68392664509169365</v>
      </c>
      <c r="E144" s="8">
        <v>0.7195253505933118</v>
      </c>
      <c r="F144" s="8">
        <v>0.32600000000000001</v>
      </c>
      <c r="G144" s="8">
        <v>0.152</v>
      </c>
      <c r="H144" s="8">
        <v>0.54300000000000004</v>
      </c>
      <c r="I144" s="8">
        <v>0.58388577256501795</v>
      </c>
      <c r="J144" s="8">
        <v>0.10199999999999999</v>
      </c>
      <c r="K144" s="8">
        <v>0.11003236245954691</v>
      </c>
      <c r="L144" s="8">
        <v>0.7727272727272726</v>
      </c>
      <c r="M144" s="8">
        <v>0.11218765935747069</v>
      </c>
      <c r="N144" s="8">
        <v>2.3404255319148937</v>
      </c>
      <c r="O144" s="8">
        <v>0.23732470334412081</v>
      </c>
      <c r="P144" s="8">
        <v>0.93103448275862066</v>
      </c>
      <c r="Q144" s="8">
        <v>2.0370370370370372</v>
      </c>
      <c r="R144" s="7">
        <v>5</v>
      </c>
      <c r="S144" s="7">
        <v>2</v>
      </c>
      <c r="T144" s="7">
        <v>2</v>
      </c>
      <c r="U144" s="7">
        <v>1</v>
      </c>
      <c r="V144" s="7">
        <v>0</v>
      </c>
      <c r="W144" s="7">
        <v>0</v>
      </c>
      <c r="X144" s="7">
        <v>0</v>
      </c>
      <c r="Y144" s="7">
        <v>0</v>
      </c>
    </row>
    <row r="145" spans="1:25" x14ac:dyDescent="0.25">
      <c r="A145" s="13" t="s">
        <v>213</v>
      </c>
      <c r="B145" s="8">
        <v>1.496</v>
      </c>
      <c r="C145" s="8">
        <v>0.161</v>
      </c>
      <c r="D145" s="8">
        <v>0.74315789473684213</v>
      </c>
      <c r="E145" s="8">
        <v>0.77473684210526317</v>
      </c>
      <c r="F145" s="8">
        <v>0.32700000000000001</v>
      </c>
      <c r="G145" s="8">
        <v>0.16200000000000001</v>
      </c>
      <c r="H145" s="8">
        <v>0.58299999999999996</v>
      </c>
      <c r="I145" s="8">
        <v>0.55825924192793641</v>
      </c>
      <c r="J145" s="8">
        <v>0.112</v>
      </c>
      <c r="K145" s="8">
        <v>0.11789473684210527</v>
      </c>
      <c r="L145" s="8">
        <v>0.69565217391304346</v>
      </c>
      <c r="M145" s="8">
        <v>0.11230697239120262</v>
      </c>
      <c r="N145" s="8">
        <v>2.0869565217391304</v>
      </c>
      <c r="O145" s="8">
        <v>0.25263157894736843</v>
      </c>
      <c r="P145" s="8">
        <v>0.93518518518518523</v>
      </c>
      <c r="Q145" s="8">
        <v>2.3762376237623761</v>
      </c>
      <c r="R145" s="7">
        <v>5</v>
      </c>
      <c r="S145" s="7">
        <v>2</v>
      </c>
      <c r="T145" s="7">
        <v>2</v>
      </c>
      <c r="U145" s="7">
        <v>1</v>
      </c>
      <c r="V145" s="7">
        <v>0</v>
      </c>
      <c r="W145" s="7">
        <v>0</v>
      </c>
      <c r="X145" s="7">
        <v>0</v>
      </c>
      <c r="Y145" s="7">
        <v>0</v>
      </c>
    </row>
    <row r="146" spans="1:25" x14ac:dyDescent="0.25">
      <c r="A146" s="13" t="s">
        <v>214</v>
      </c>
      <c r="B146" s="8">
        <v>1.1359999999999999</v>
      </c>
      <c r="C146" s="8">
        <v>0.15</v>
      </c>
      <c r="D146" s="8">
        <v>0.82690187431091511</v>
      </c>
      <c r="E146" s="8">
        <v>0.81697905181918407</v>
      </c>
      <c r="F146" s="8">
        <v>0.35799999999999998</v>
      </c>
      <c r="G146" s="8">
        <v>0.16300000000000001</v>
      </c>
      <c r="H146" s="8">
        <v>0.56799999999999995</v>
      </c>
      <c r="I146" s="8">
        <v>0.58462989156058465</v>
      </c>
      <c r="J146" s="8">
        <v>0.115</v>
      </c>
      <c r="K146" s="8">
        <v>0.12679162072767364</v>
      </c>
      <c r="L146" s="8">
        <v>0.76666666666666672</v>
      </c>
      <c r="M146" s="8">
        <v>0.10231023102310231</v>
      </c>
      <c r="N146" s="8">
        <v>2.17</v>
      </c>
      <c r="O146" s="8">
        <v>0.23925027563395809</v>
      </c>
      <c r="P146" s="8"/>
      <c r="Q146" s="8"/>
      <c r="R146" s="7">
        <v>5</v>
      </c>
      <c r="S146" s="7">
        <v>2</v>
      </c>
      <c r="T146" s="7">
        <v>2</v>
      </c>
      <c r="U146" s="7">
        <v>1</v>
      </c>
      <c r="V146" s="7">
        <v>0</v>
      </c>
      <c r="W146" s="7">
        <v>0</v>
      </c>
      <c r="X146" s="7">
        <v>0</v>
      </c>
      <c r="Y146" s="7">
        <v>0</v>
      </c>
    </row>
    <row r="147" spans="1:25" x14ac:dyDescent="0.25">
      <c r="A147" s="13" t="s">
        <v>215</v>
      </c>
      <c r="B147" s="8">
        <v>1.641</v>
      </c>
      <c r="C147" s="8">
        <v>0.17</v>
      </c>
      <c r="D147" s="8">
        <v>0.80388151174668032</v>
      </c>
      <c r="E147" s="8">
        <v>0.78753830439223704</v>
      </c>
      <c r="F147" s="8">
        <v>0.36599999999999999</v>
      </c>
      <c r="G147" s="8">
        <v>0.16300000000000001</v>
      </c>
      <c r="H147" s="8">
        <v>0.63900000000000001</v>
      </c>
      <c r="I147" s="8">
        <v>0.55935098206660971</v>
      </c>
      <c r="J147" s="8">
        <v>0.107</v>
      </c>
      <c r="K147" s="8">
        <v>0.10929519918283963</v>
      </c>
      <c r="L147" s="8">
        <v>0.62941176470588234</v>
      </c>
      <c r="M147" s="8">
        <v>9.4363791631084534E-2</v>
      </c>
      <c r="N147" s="8">
        <v>1.7265625</v>
      </c>
      <c r="O147" s="8">
        <v>0.22574055158324821</v>
      </c>
      <c r="P147" s="8">
        <v>0.66666666666666663</v>
      </c>
      <c r="Q147" s="8">
        <v>2.0090909090909093</v>
      </c>
      <c r="R147" s="7">
        <v>5</v>
      </c>
      <c r="S147" s="7">
        <v>2</v>
      </c>
      <c r="T147" s="7">
        <v>2</v>
      </c>
      <c r="U147" s="7">
        <v>1</v>
      </c>
      <c r="V147" s="7">
        <v>0</v>
      </c>
      <c r="W147" s="7">
        <v>0</v>
      </c>
      <c r="X147" s="7">
        <v>0</v>
      </c>
      <c r="Y147" s="7">
        <v>0</v>
      </c>
    </row>
    <row r="148" spans="1:25" x14ac:dyDescent="0.25">
      <c r="A148" s="13" t="s">
        <v>216</v>
      </c>
      <c r="B148" s="8">
        <v>1.2969999999999999</v>
      </c>
      <c r="C148" s="8">
        <v>0.19</v>
      </c>
      <c r="D148" s="8">
        <v>0.82456140350877205</v>
      </c>
      <c r="E148" s="8">
        <v>0.86790505675954588</v>
      </c>
      <c r="F148" s="8">
        <v>0.35899999999999999</v>
      </c>
      <c r="G148" s="8">
        <v>0.17100000000000001</v>
      </c>
      <c r="H148" s="8">
        <v>0.624</v>
      </c>
      <c r="I148" s="8">
        <v>0.51904376012965958</v>
      </c>
      <c r="J148" s="8">
        <v>0.113</v>
      </c>
      <c r="K148" s="8">
        <v>0.11661506707946337</v>
      </c>
      <c r="L148" s="8">
        <v>0.59473684210526312</v>
      </c>
      <c r="M148" s="8">
        <v>0.11304700162074556</v>
      </c>
      <c r="N148" s="8">
        <v>1.8600000000000003</v>
      </c>
      <c r="O148" s="8">
        <v>0.28792569659442729</v>
      </c>
      <c r="P148" s="8"/>
      <c r="Q148" s="8"/>
      <c r="R148" s="7">
        <v>5</v>
      </c>
      <c r="S148" s="7">
        <v>2</v>
      </c>
      <c r="T148" s="7">
        <v>2</v>
      </c>
      <c r="U148" s="7">
        <v>1</v>
      </c>
      <c r="V148" s="7">
        <v>0</v>
      </c>
      <c r="W148" s="7">
        <v>0</v>
      </c>
      <c r="X148" s="7">
        <v>0</v>
      </c>
      <c r="Y148" s="7">
        <v>0</v>
      </c>
    </row>
    <row r="149" spans="1:25" x14ac:dyDescent="0.25">
      <c r="A149" s="13" t="s">
        <v>217</v>
      </c>
      <c r="B149" s="8">
        <v>1.321</v>
      </c>
      <c r="C149" s="8">
        <v>0.13500000000000001</v>
      </c>
      <c r="D149" s="8">
        <v>0.7393561786085151</v>
      </c>
      <c r="E149" s="8">
        <v>0.73727933541017654</v>
      </c>
      <c r="F149" s="8">
        <v>0.317</v>
      </c>
      <c r="G149" s="8">
        <v>0.15</v>
      </c>
      <c r="H149" s="8">
        <v>0.66500000000000004</v>
      </c>
      <c r="I149" s="8">
        <v>0.55708333333333337</v>
      </c>
      <c r="J149" s="8">
        <v>0.123</v>
      </c>
      <c r="K149" s="8">
        <v>0.12772585669781933</v>
      </c>
      <c r="L149" s="8">
        <v>0.91111111111111098</v>
      </c>
      <c r="M149" s="8">
        <v>9.7916666666666666E-2</v>
      </c>
      <c r="N149" s="8">
        <v>1.4687499999999998</v>
      </c>
      <c r="O149" s="8">
        <v>0.24402907580477673</v>
      </c>
      <c r="P149" s="8"/>
      <c r="Q149" s="8">
        <v>2.2815533980582523</v>
      </c>
      <c r="R149" s="7">
        <v>0</v>
      </c>
      <c r="S149" s="7">
        <v>0</v>
      </c>
      <c r="T149" s="7">
        <v>2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</row>
    <row r="150" spans="1:25" x14ac:dyDescent="0.25">
      <c r="A150" s="13" t="s">
        <v>218</v>
      </c>
      <c r="B150" s="8">
        <v>1.2290000000000001</v>
      </c>
      <c r="C150" s="8">
        <v>0.12</v>
      </c>
      <c r="D150" s="8">
        <v>0.74537540805223068</v>
      </c>
      <c r="E150" s="8">
        <v>0.75408052230685518</v>
      </c>
      <c r="F150" s="8">
        <v>0.312</v>
      </c>
      <c r="G150" s="8">
        <v>0.14499999999999999</v>
      </c>
      <c r="H150" s="8">
        <v>0.68</v>
      </c>
      <c r="I150" s="8">
        <v>0.60798460798460807</v>
      </c>
      <c r="J150" s="8">
        <v>0.111</v>
      </c>
      <c r="K150" s="8">
        <v>0.12078346028291621</v>
      </c>
      <c r="L150" s="8">
        <v>0.92500000000000004</v>
      </c>
      <c r="M150" s="8">
        <v>0.10485810485810487</v>
      </c>
      <c r="N150" s="8">
        <v>1.7165354330708662</v>
      </c>
      <c r="O150" s="8">
        <v>0.23721436343852012</v>
      </c>
      <c r="P150" s="8">
        <v>0.90445859872611456</v>
      </c>
      <c r="Q150" s="8">
        <v>1.535211267605634</v>
      </c>
      <c r="R150" s="7">
        <v>0</v>
      </c>
      <c r="S150" s="7">
        <v>0</v>
      </c>
      <c r="T150" s="7">
        <v>2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</row>
    <row r="151" spans="1:25" x14ac:dyDescent="0.25">
      <c r="A151" s="13" t="s">
        <v>219</v>
      </c>
      <c r="B151" s="8"/>
      <c r="C151" s="8">
        <v>0.11600000000000001</v>
      </c>
      <c r="D151" s="8">
        <v>0.74597701149425288</v>
      </c>
      <c r="E151" s="8">
        <v>0.73218390804597699</v>
      </c>
      <c r="F151" s="8">
        <v>0.318</v>
      </c>
      <c r="G151" s="8">
        <v>0.111</v>
      </c>
      <c r="H151" s="8">
        <v>0.56899999999999995</v>
      </c>
      <c r="I151" s="8">
        <v>0.56380397865114018</v>
      </c>
      <c r="J151" s="8">
        <v>0.108</v>
      </c>
      <c r="K151" s="8">
        <v>0.12413793103448276</v>
      </c>
      <c r="L151" s="8">
        <v>0.93103448275862066</v>
      </c>
      <c r="M151" s="8">
        <v>9.3158660844250368E-2</v>
      </c>
      <c r="N151" s="8">
        <v>1.6134453781512605</v>
      </c>
      <c r="O151" s="8">
        <v>0.22068965517241379</v>
      </c>
      <c r="P151" s="8">
        <v>0.56551724137931036</v>
      </c>
      <c r="Q151" s="8">
        <v>2.3414634146341462</v>
      </c>
      <c r="R151" s="7">
        <v>0</v>
      </c>
      <c r="S151" s="7">
        <v>0</v>
      </c>
      <c r="T151" s="7">
        <v>2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</row>
    <row r="152" spans="1:25" x14ac:dyDescent="0.25">
      <c r="A152" s="13" t="s">
        <v>220</v>
      </c>
      <c r="B152" s="8">
        <v>1.4690000000000001</v>
      </c>
      <c r="C152" s="8">
        <v>0.113</v>
      </c>
      <c r="D152" s="8">
        <v>0.70505287896592239</v>
      </c>
      <c r="E152" s="8">
        <v>0.68507638072855459</v>
      </c>
      <c r="F152" s="8">
        <v>0.29699999999999999</v>
      </c>
      <c r="G152" s="8">
        <v>0.125</v>
      </c>
      <c r="H152" s="8">
        <v>0.51300000000000001</v>
      </c>
      <c r="I152" s="8">
        <v>0.59193054136874368</v>
      </c>
      <c r="J152" s="8">
        <v>0.11</v>
      </c>
      <c r="K152" s="8">
        <v>0.1292596944770858</v>
      </c>
      <c r="L152" s="8">
        <v>0.97345132743362828</v>
      </c>
      <c r="M152" s="8">
        <v>0.10623084780388151</v>
      </c>
      <c r="N152" s="8">
        <v>1.5999999999999999</v>
      </c>
      <c r="O152" s="8">
        <v>0.24441833137485311</v>
      </c>
      <c r="P152" s="8">
        <v>1.0168067226890756</v>
      </c>
      <c r="Q152" s="8">
        <v>1.71900826446281</v>
      </c>
      <c r="R152" s="7">
        <v>0</v>
      </c>
      <c r="S152" s="7">
        <v>0</v>
      </c>
      <c r="T152" s="7">
        <v>2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</row>
    <row r="153" spans="1:25" x14ac:dyDescent="0.25">
      <c r="A153" s="13" t="s">
        <v>221</v>
      </c>
      <c r="B153" s="8">
        <v>1.597</v>
      </c>
      <c r="C153" s="8">
        <v>0.122</v>
      </c>
      <c r="D153" s="8">
        <v>0.75109170305676842</v>
      </c>
      <c r="E153" s="8">
        <v>0.78711790393013092</v>
      </c>
      <c r="F153" s="8">
        <v>0.316</v>
      </c>
      <c r="G153" s="8">
        <v>0.13800000000000001</v>
      </c>
      <c r="H153" s="8">
        <v>0.60399999999999998</v>
      </c>
      <c r="I153" s="8">
        <v>0.64263959390862935</v>
      </c>
      <c r="J153" s="8">
        <v>0.106</v>
      </c>
      <c r="K153" s="8">
        <v>0.11572052401746724</v>
      </c>
      <c r="L153" s="8">
        <v>0.86885245901639341</v>
      </c>
      <c r="M153" s="8">
        <v>0.10406091370558374</v>
      </c>
      <c r="N153" s="8">
        <v>1.6141732283464565</v>
      </c>
      <c r="O153" s="8">
        <v>0.22379912663755455</v>
      </c>
      <c r="P153" s="8">
        <v>0.68055555555555558</v>
      </c>
      <c r="Q153" s="8">
        <v>2.0918367346938775</v>
      </c>
      <c r="R153" s="7">
        <v>0</v>
      </c>
      <c r="S153" s="7">
        <v>0</v>
      </c>
      <c r="T153" s="7">
        <v>2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</row>
    <row r="154" spans="1:25" x14ac:dyDescent="0.25">
      <c r="A154" s="13" t="s">
        <v>222</v>
      </c>
      <c r="B154" s="8">
        <v>1.5620000000000001</v>
      </c>
      <c r="C154" s="8">
        <v>0.107</v>
      </c>
      <c r="D154" s="8">
        <v>0.75124999999999997</v>
      </c>
      <c r="E154" s="8">
        <v>0.82750000000000001</v>
      </c>
      <c r="F154" s="8"/>
      <c r="G154" s="8">
        <v>0.128</v>
      </c>
      <c r="H154" s="8">
        <v>0.52</v>
      </c>
      <c r="I154" s="8">
        <v>0.66567695961995244</v>
      </c>
      <c r="J154" s="8">
        <v>9.5000000000000001E-2</v>
      </c>
      <c r="K154" s="8">
        <v>0.11874999999999999</v>
      </c>
      <c r="L154" s="8">
        <v>0.88785046728971961</v>
      </c>
      <c r="M154" s="8">
        <v>0.11935866983372921</v>
      </c>
      <c r="N154" s="8">
        <v>1.8611111111111112</v>
      </c>
      <c r="O154" s="8">
        <v>0.25124999999999997</v>
      </c>
      <c r="P154" s="8">
        <v>1.168421052631579</v>
      </c>
      <c r="Q154" s="8">
        <v>1.810810810810811</v>
      </c>
      <c r="R154" s="7">
        <v>0</v>
      </c>
      <c r="S154" s="7">
        <v>0</v>
      </c>
      <c r="T154" s="7">
        <v>2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</row>
    <row r="155" spans="1:25" x14ac:dyDescent="0.25">
      <c r="A155" s="13" t="s">
        <v>223</v>
      </c>
      <c r="B155" s="8">
        <v>1.589</v>
      </c>
      <c r="C155" s="8">
        <v>0.11799999999999999</v>
      </c>
      <c r="D155" s="8">
        <v>0.73540372670807441</v>
      </c>
      <c r="E155" s="8">
        <v>0.72173913043478255</v>
      </c>
      <c r="F155" s="8">
        <v>0.28599999999999998</v>
      </c>
      <c r="G155" s="8">
        <v>0.11799999999999999</v>
      </c>
      <c r="H155" s="8">
        <v>0.47</v>
      </c>
      <c r="I155" s="8">
        <v>0.65674477517416086</v>
      </c>
      <c r="J155" s="8">
        <v>9.6000000000000002E-2</v>
      </c>
      <c r="K155" s="8">
        <v>0.11925465838509317</v>
      </c>
      <c r="L155" s="8">
        <v>0.81355932203389836</v>
      </c>
      <c r="M155" s="8">
        <v>9.8796706776440785E-2</v>
      </c>
      <c r="N155" s="8">
        <v>1.5445544554455444</v>
      </c>
      <c r="O155" s="8">
        <v>0.1937888198757764</v>
      </c>
      <c r="P155" s="8">
        <v>0.85585585585585588</v>
      </c>
      <c r="Q155" s="8">
        <v>1.6421052631578947</v>
      </c>
      <c r="R155" s="7">
        <v>0</v>
      </c>
      <c r="S155" s="7">
        <v>0</v>
      </c>
      <c r="T155" s="7">
        <v>2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</row>
    <row r="156" spans="1:25" x14ac:dyDescent="0.25">
      <c r="A156" s="13" t="s">
        <v>224</v>
      </c>
      <c r="B156" s="8">
        <v>1.6110000000000002</v>
      </c>
      <c r="C156" s="8">
        <v>0.13</v>
      </c>
      <c r="D156" s="8">
        <v>0.78887841658812441</v>
      </c>
      <c r="E156" s="8">
        <v>0.81998114985862403</v>
      </c>
      <c r="F156" s="8">
        <v>0.32800000000000001</v>
      </c>
      <c r="G156" s="8">
        <v>0.14199999999999999</v>
      </c>
      <c r="H156" s="8">
        <v>0.68700000000000006</v>
      </c>
      <c r="I156" s="8">
        <v>0.61616161616161613</v>
      </c>
      <c r="J156" s="8">
        <v>0.108</v>
      </c>
      <c r="K156" s="8">
        <v>0.10179076343072574</v>
      </c>
      <c r="L156" s="8">
        <v>0.8307692307692307</v>
      </c>
      <c r="M156" s="8">
        <v>0.11658249158249159</v>
      </c>
      <c r="N156" s="8">
        <v>1.9928057553956835</v>
      </c>
      <c r="O156" s="8">
        <v>0.26107445805843549</v>
      </c>
      <c r="P156" s="8">
        <v>1.1475409836065575</v>
      </c>
      <c r="Q156" s="8">
        <v>1.9785714285714286</v>
      </c>
      <c r="R156" s="7">
        <v>0</v>
      </c>
      <c r="S156" s="7">
        <v>0</v>
      </c>
      <c r="T156" s="7">
        <v>2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</row>
    <row r="157" spans="1:25" x14ac:dyDescent="0.25">
      <c r="A157" s="13" t="s">
        <v>225</v>
      </c>
      <c r="B157" s="8">
        <v>1.6199999999999997</v>
      </c>
      <c r="C157" s="8">
        <v>0.128</v>
      </c>
      <c r="D157" s="8">
        <v>0.76041666666666663</v>
      </c>
      <c r="E157" s="8">
        <v>0.80018939393939392</v>
      </c>
      <c r="F157" s="8">
        <v>0.33400000000000002</v>
      </c>
      <c r="G157" s="8">
        <v>0.13600000000000001</v>
      </c>
      <c r="H157" s="8">
        <v>0.68400000000000005</v>
      </c>
      <c r="I157" s="8">
        <v>0.63533997401472497</v>
      </c>
      <c r="J157" s="8">
        <v>0.112</v>
      </c>
      <c r="K157" s="8">
        <v>0.10606060606060606</v>
      </c>
      <c r="L157" s="8">
        <v>0.875</v>
      </c>
      <c r="M157" s="8">
        <v>0.11000433087916847</v>
      </c>
      <c r="N157" s="8">
        <v>1.9097744360902256</v>
      </c>
      <c r="O157" s="8">
        <v>0.24053030303030301</v>
      </c>
      <c r="P157" s="8">
        <v>0.74545454545454537</v>
      </c>
      <c r="Q157" s="8">
        <v>2.065040650406504</v>
      </c>
      <c r="R157" s="7">
        <v>0</v>
      </c>
      <c r="S157" s="7">
        <v>0</v>
      </c>
      <c r="T157" s="7">
        <v>2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</row>
    <row r="158" spans="1:25" x14ac:dyDescent="0.25">
      <c r="A158" s="13" t="s">
        <v>226</v>
      </c>
      <c r="B158" s="8">
        <v>1.4969999999999999</v>
      </c>
      <c r="C158" s="8">
        <v>0.109</v>
      </c>
      <c r="D158" s="8">
        <v>0.69674711437565584</v>
      </c>
      <c r="E158" s="8">
        <v>0.73557187827911852</v>
      </c>
      <c r="F158" s="8">
        <v>0.314</v>
      </c>
      <c r="G158" s="8">
        <v>0.13900000000000001</v>
      </c>
      <c r="H158" s="8">
        <v>0.64</v>
      </c>
      <c r="I158" s="8">
        <v>0.6165685830692621</v>
      </c>
      <c r="J158" s="8">
        <v>0.11600000000000001</v>
      </c>
      <c r="K158" s="8">
        <v>0.12172088142707241</v>
      </c>
      <c r="L158" s="8">
        <v>1.0642201834862386</v>
      </c>
      <c r="M158" s="8">
        <v>0.1072883657763694</v>
      </c>
      <c r="N158" s="8">
        <v>1.8230769230769228</v>
      </c>
      <c r="O158" s="8">
        <v>0.24868835257082897</v>
      </c>
      <c r="P158" s="8">
        <v>0.81818181818181812</v>
      </c>
      <c r="Q158" s="8">
        <v>2.1944444444444442</v>
      </c>
      <c r="R158" s="7">
        <v>0</v>
      </c>
      <c r="S158" s="7">
        <v>0</v>
      </c>
      <c r="T158" s="7">
        <v>2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</row>
    <row r="159" spans="1:25" x14ac:dyDescent="0.25">
      <c r="A159" s="13" t="s">
        <v>227</v>
      </c>
      <c r="B159" s="8">
        <v>1.54</v>
      </c>
      <c r="C159" s="8">
        <v>0.11</v>
      </c>
      <c r="D159" s="8">
        <v>0.68131868131868134</v>
      </c>
      <c r="E159" s="8">
        <v>0.74065934065934069</v>
      </c>
      <c r="F159" s="8">
        <v>0.316</v>
      </c>
      <c r="G159" s="8">
        <v>0.13600000000000001</v>
      </c>
      <c r="H159" s="8">
        <v>0.53600000000000003</v>
      </c>
      <c r="I159" s="8">
        <v>0.63307349665924273</v>
      </c>
      <c r="J159" s="8">
        <v>0.11</v>
      </c>
      <c r="K159" s="8">
        <v>0.12087912087912088</v>
      </c>
      <c r="L159" s="8">
        <v>1</v>
      </c>
      <c r="M159" s="8">
        <v>0.111358574610245</v>
      </c>
      <c r="N159" s="8">
        <v>2</v>
      </c>
      <c r="O159" s="8">
        <v>0.21978021978021978</v>
      </c>
      <c r="P159" s="8">
        <v>0.92187499999999989</v>
      </c>
      <c r="Q159" s="8">
        <v>1.6949152542372883</v>
      </c>
      <c r="R159" s="7">
        <v>0</v>
      </c>
      <c r="S159" s="7">
        <v>0</v>
      </c>
      <c r="T159" s="7">
        <v>2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</row>
    <row r="160" spans="1:25" x14ac:dyDescent="0.25">
      <c r="A160" s="13" t="s">
        <v>228</v>
      </c>
      <c r="B160" s="8"/>
      <c r="C160" s="8">
        <v>0.11799999999999999</v>
      </c>
      <c r="D160" s="8">
        <v>0.79829890643985424</v>
      </c>
      <c r="E160" s="8">
        <v>0.75698663426488466</v>
      </c>
      <c r="F160" s="8">
        <v>0.309</v>
      </c>
      <c r="G160" s="8">
        <v>0.128</v>
      </c>
      <c r="H160" s="8">
        <v>0.53</v>
      </c>
      <c r="I160" s="8">
        <v>0.5996940336562977</v>
      </c>
      <c r="J160" s="8">
        <v>0.11799999999999999</v>
      </c>
      <c r="K160" s="8">
        <v>0.1433778857837181</v>
      </c>
      <c r="L160" s="8">
        <v>1</v>
      </c>
      <c r="M160" s="8">
        <v>9.4339622641509427E-2</v>
      </c>
      <c r="N160" s="8">
        <v>1.7452830188679245</v>
      </c>
      <c r="O160" s="8">
        <v>0.22478736330498178</v>
      </c>
      <c r="P160" s="8"/>
      <c r="Q160" s="8"/>
      <c r="R160" s="7">
        <v>0</v>
      </c>
      <c r="S160" s="7">
        <v>0</v>
      </c>
      <c r="T160" s="7">
        <v>2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</row>
    <row r="161" spans="1:25" x14ac:dyDescent="0.25">
      <c r="A161" s="13" t="s">
        <v>229</v>
      </c>
      <c r="B161" s="8">
        <v>1.5950000000000002</v>
      </c>
      <c r="C161" s="8">
        <v>0.122</v>
      </c>
      <c r="D161" s="8">
        <v>0.82096584216725554</v>
      </c>
      <c r="E161" s="8">
        <v>0.75147232037691403</v>
      </c>
      <c r="F161" s="8">
        <v>0.311</v>
      </c>
      <c r="G161" s="8">
        <v>0.13300000000000001</v>
      </c>
      <c r="H161" s="8">
        <v>0.55800000000000005</v>
      </c>
      <c r="I161" s="8">
        <v>0.5843902439024391</v>
      </c>
      <c r="J161" s="8">
        <v>9.8000000000000004E-2</v>
      </c>
      <c r="K161" s="8">
        <v>0.11542991755005889</v>
      </c>
      <c r="L161" s="8">
        <v>0.80327868852459017</v>
      </c>
      <c r="M161" s="8">
        <v>0.10292682926829269</v>
      </c>
      <c r="N161" s="8">
        <v>1.6746031746031744</v>
      </c>
      <c r="O161" s="8">
        <v>0.24852767962308597</v>
      </c>
      <c r="P161" s="8">
        <v>1.0865384615384617</v>
      </c>
      <c r="Q161" s="8">
        <v>1.8672566371681414</v>
      </c>
      <c r="R161" s="7">
        <v>0</v>
      </c>
      <c r="S161" s="7">
        <v>0</v>
      </c>
      <c r="T161" s="7">
        <v>2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</row>
    <row r="162" spans="1:25" x14ac:dyDescent="0.25">
      <c r="A162" s="13" t="s">
        <v>230</v>
      </c>
      <c r="B162" s="8">
        <v>1.6749999999999998</v>
      </c>
      <c r="C162" s="8">
        <v>0.128</v>
      </c>
      <c r="D162" s="8">
        <v>0.79395296752519595</v>
      </c>
      <c r="E162" s="8">
        <v>0.81410974244120937</v>
      </c>
      <c r="F162" s="8">
        <v>0.315</v>
      </c>
      <c r="G162" s="8">
        <v>0.14399999999999999</v>
      </c>
      <c r="H162" s="8">
        <v>0.58399999999999996</v>
      </c>
      <c r="I162" s="8">
        <v>0.57991708889912486</v>
      </c>
      <c r="J162" s="8">
        <v>0.11</v>
      </c>
      <c r="K162" s="8">
        <v>0.12318029115341546</v>
      </c>
      <c r="L162" s="8">
        <v>0.859375</v>
      </c>
      <c r="M162" s="8">
        <v>9.0280976508521432E-2</v>
      </c>
      <c r="N162" s="8">
        <v>1.8666666666666669</v>
      </c>
      <c r="O162" s="8">
        <v>0.219484882418813</v>
      </c>
      <c r="P162" s="8">
        <v>0.77611940298507454</v>
      </c>
      <c r="Q162" s="8">
        <v>1.8846153846153848</v>
      </c>
      <c r="R162" s="7">
        <v>0</v>
      </c>
      <c r="S162" s="7">
        <v>0</v>
      </c>
      <c r="T162" s="7">
        <v>2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</row>
    <row r="163" spans="1:25" x14ac:dyDescent="0.25">
      <c r="A163" s="13" t="s">
        <v>71</v>
      </c>
      <c r="B163" s="8">
        <v>0.873</v>
      </c>
      <c r="C163" s="8">
        <v>0.13300000000000001</v>
      </c>
      <c r="D163" s="8">
        <v>0.62516733601070951</v>
      </c>
      <c r="E163" s="8">
        <v>0.72824631860776445</v>
      </c>
      <c r="F163" s="8">
        <v>0.32800000000000001</v>
      </c>
      <c r="G163" s="8"/>
      <c r="H163" s="8">
        <v>0.60799999999999998</v>
      </c>
      <c r="I163" s="8">
        <v>0.4447036864209053</v>
      </c>
      <c r="J163" s="8">
        <v>0.121</v>
      </c>
      <c r="K163" s="8">
        <v>0.16198125836680052</v>
      </c>
      <c r="L163" s="8">
        <v>0.90977443609022546</v>
      </c>
      <c r="M163" s="8">
        <v>8.1661222585160995E-2</v>
      </c>
      <c r="N163" s="8">
        <v>1.805985552115583</v>
      </c>
      <c r="O163" s="8">
        <v>0.23427041499330656</v>
      </c>
      <c r="P163" s="8"/>
      <c r="Q163" s="8"/>
      <c r="R163" s="7">
        <v>4</v>
      </c>
      <c r="S163" s="7">
        <v>0</v>
      </c>
      <c r="T163" s="7">
        <v>1</v>
      </c>
      <c r="U163" s="7">
        <v>0</v>
      </c>
      <c r="V163" s="7">
        <v>0</v>
      </c>
      <c r="W163" s="7">
        <v>1</v>
      </c>
      <c r="X163" s="7">
        <v>0</v>
      </c>
      <c r="Y163" s="7">
        <v>0</v>
      </c>
    </row>
    <row r="164" spans="1:25" x14ac:dyDescent="0.25">
      <c r="A164" s="13" t="s">
        <v>70</v>
      </c>
      <c r="B164" s="8">
        <v>0.85499999999999998</v>
      </c>
      <c r="C164" s="8">
        <v>0.13</v>
      </c>
      <c r="D164" s="8">
        <v>0.6</v>
      </c>
      <c r="E164" s="8">
        <v>0.71764705882352942</v>
      </c>
      <c r="F164" s="8">
        <v>0.36</v>
      </c>
      <c r="G164" s="8"/>
      <c r="H164" s="8">
        <v>0.65</v>
      </c>
      <c r="I164" s="8">
        <v>0.45916114790286977</v>
      </c>
      <c r="J164" s="8">
        <v>0.16</v>
      </c>
      <c r="K164" s="8">
        <v>0.18823529411764706</v>
      </c>
      <c r="L164" s="8">
        <v>1.2307692307692308</v>
      </c>
      <c r="M164" s="8">
        <v>7.505518763796909E-2</v>
      </c>
      <c r="N164" s="8">
        <v>1.847826086956522</v>
      </c>
      <c r="O164" s="8">
        <v>0.2</v>
      </c>
      <c r="P164" s="8">
        <v>0.91666666666666674</v>
      </c>
      <c r="Q164" s="8">
        <v>1.5454545454545456</v>
      </c>
      <c r="R164" s="7">
        <v>4</v>
      </c>
      <c r="S164" s="7">
        <v>0</v>
      </c>
      <c r="T164" s="7">
        <v>1</v>
      </c>
      <c r="U164" s="7">
        <v>0</v>
      </c>
      <c r="V164" s="7">
        <v>0</v>
      </c>
      <c r="W164" s="7">
        <v>1</v>
      </c>
      <c r="X164" s="7">
        <v>0</v>
      </c>
      <c r="Y164" s="7">
        <v>0</v>
      </c>
    </row>
    <row r="165" spans="1:25" x14ac:dyDescent="0.25">
      <c r="A165" s="13" t="s">
        <v>69</v>
      </c>
      <c r="B165" s="8">
        <v>0.88100000000000001</v>
      </c>
      <c r="C165" s="8">
        <v>0.13500000000000001</v>
      </c>
      <c r="D165" s="8">
        <v>0.63157894736842102</v>
      </c>
      <c r="E165" s="8">
        <v>0.73684210526315796</v>
      </c>
      <c r="F165" s="8"/>
      <c r="G165" s="8"/>
      <c r="H165" s="8">
        <v>0.64</v>
      </c>
      <c r="I165" s="8">
        <v>0.42448132780082981</v>
      </c>
      <c r="J165" s="8">
        <v>0.12</v>
      </c>
      <c r="K165" s="8">
        <v>0.15789473684210525</v>
      </c>
      <c r="L165" s="8">
        <v>0.88888888888888884</v>
      </c>
      <c r="M165" s="8">
        <v>7.8838174273858919E-2</v>
      </c>
      <c r="N165" s="8">
        <v>1.9</v>
      </c>
      <c r="O165" s="8">
        <v>0.25</v>
      </c>
      <c r="P165" s="8"/>
      <c r="Q165" s="8"/>
      <c r="R165" s="7">
        <v>4</v>
      </c>
      <c r="S165" s="7">
        <v>0</v>
      </c>
      <c r="T165" s="7">
        <v>1</v>
      </c>
      <c r="U165" s="7">
        <v>0</v>
      </c>
      <c r="V165" s="7">
        <v>0</v>
      </c>
      <c r="W165" s="7">
        <v>1</v>
      </c>
      <c r="X165" s="7">
        <v>0</v>
      </c>
      <c r="Y165" s="7">
        <v>0</v>
      </c>
    </row>
    <row r="166" spans="1:25" x14ac:dyDescent="0.25">
      <c r="A166" s="13" t="s">
        <v>231</v>
      </c>
      <c r="B166" s="8">
        <v>0.97</v>
      </c>
      <c r="C166" s="8">
        <v>0.13</v>
      </c>
      <c r="D166" s="8">
        <v>0.66666666666666663</v>
      </c>
      <c r="E166" s="8">
        <v>0.7599999999999999</v>
      </c>
      <c r="F166" s="8">
        <v>0.35</v>
      </c>
      <c r="G166" s="8"/>
      <c r="H166" s="8">
        <v>0.62</v>
      </c>
      <c r="I166" s="8">
        <v>0.44144144144144137</v>
      </c>
      <c r="J166" s="8">
        <v>0.11</v>
      </c>
      <c r="K166" s="8">
        <v>0.14666666666666667</v>
      </c>
      <c r="L166" s="8">
        <v>0.84615384615384615</v>
      </c>
      <c r="M166" s="8">
        <v>8.468468468468468E-2</v>
      </c>
      <c r="N166" s="8">
        <v>2.4736842105263159</v>
      </c>
      <c r="O166" s="8">
        <v>0.25066666666666665</v>
      </c>
      <c r="P166" s="8">
        <v>1</v>
      </c>
      <c r="Q166" s="8">
        <v>1.5666666666666667</v>
      </c>
      <c r="R166" s="7">
        <v>4</v>
      </c>
      <c r="S166" s="7">
        <v>0</v>
      </c>
      <c r="T166" s="7">
        <v>1</v>
      </c>
      <c r="U166" s="7">
        <v>0</v>
      </c>
      <c r="V166" s="7">
        <v>0</v>
      </c>
      <c r="W166" s="7">
        <v>1</v>
      </c>
      <c r="X166" s="7">
        <v>0</v>
      </c>
      <c r="Y166" s="7">
        <v>0</v>
      </c>
    </row>
    <row r="167" spans="1:25" x14ac:dyDescent="0.25">
      <c r="A167" s="13" t="s">
        <v>232</v>
      </c>
      <c r="B167" s="8">
        <v>0.97</v>
      </c>
      <c r="C167" s="8">
        <v>0.12</v>
      </c>
      <c r="D167" s="8">
        <v>0.66666666666666663</v>
      </c>
      <c r="E167" s="8">
        <v>0.7466666666666667</v>
      </c>
      <c r="F167" s="8">
        <v>0.34</v>
      </c>
      <c r="G167" s="8"/>
      <c r="H167" s="8">
        <v>0.59299999999999997</v>
      </c>
      <c r="I167" s="8">
        <v>0.44999999999999996</v>
      </c>
      <c r="J167" s="8">
        <v>0.113</v>
      </c>
      <c r="K167" s="8">
        <v>0.15066666666666667</v>
      </c>
      <c r="L167" s="8">
        <v>0.94166666666666676</v>
      </c>
      <c r="M167" s="8">
        <v>7.3636363636363639E-2</v>
      </c>
      <c r="N167" s="8">
        <v>2.3142857142857141</v>
      </c>
      <c r="O167" s="8">
        <v>0.216</v>
      </c>
      <c r="P167" s="8"/>
      <c r="Q167" s="8"/>
      <c r="R167" s="7">
        <v>4</v>
      </c>
      <c r="S167" s="7">
        <v>0</v>
      </c>
      <c r="T167" s="7">
        <v>1</v>
      </c>
      <c r="U167" s="7">
        <v>0</v>
      </c>
      <c r="V167" s="7">
        <v>0</v>
      </c>
      <c r="W167" s="7">
        <v>1</v>
      </c>
      <c r="X167" s="7">
        <v>0</v>
      </c>
      <c r="Y167" s="7">
        <v>0</v>
      </c>
    </row>
    <row r="168" spans="1:25" x14ac:dyDescent="0.25">
      <c r="A168" s="13" t="s">
        <v>233</v>
      </c>
      <c r="B168" s="8">
        <v>0.73</v>
      </c>
      <c r="C168" s="8">
        <v>0.13</v>
      </c>
      <c r="D168" s="8">
        <v>0.72649572649572658</v>
      </c>
      <c r="E168" s="8">
        <v>0.75498575498575504</v>
      </c>
      <c r="F168" s="8">
        <v>0.31</v>
      </c>
      <c r="G168" s="8">
        <v>0.14799999999999999</v>
      </c>
      <c r="H168" s="8">
        <v>0.5</v>
      </c>
      <c r="I168" s="8">
        <v>0.54534676941315952</v>
      </c>
      <c r="J168" s="8">
        <v>0.108</v>
      </c>
      <c r="K168" s="8">
        <v>0.15384615384615385</v>
      </c>
      <c r="L168" s="8">
        <v>0.8307692307692307</v>
      </c>
      <c r="M168" s="8">
        <v>0.1066982809721399</v>
      </c>
      <c r="N168" s="8">
        <v>1.9148936170212765</v>
      </c>
      <c r="O168" s="8">
        <v>0.25641025641025644</v>
      </c>
      <c r="P168" s="8">
        <v>0.78400000000000003</v>
      </c>
      <c r="Q168" s="8">
        <v>1.8367346938775508</v>
      </c>
      <c r="R168" s="7">
        <v>4</v>
      </c>
      <c r="S168" s="7">
        <v>0</v>
      </c>
      <c r="T168" s="7">
        <v>1</v>
      </c>
      <c r="U168" s="7">
        <v>0</v>
      </c>
      <c r="V168" s="7">
        <v>0</v>
      </c>
      <c r="W168" s="7">
        <v>1</v>
      </c>
      <c r="X168" s="7">
        <v>0</v>
      </c>
      <c r="Y168" s="7">
        <v>0</v>
      </c>
    </row>
    <row r="169" spans="1:25" x14ac:dyDescent="0.25">
      <c r="A169" s="13" t="s">
        <v>234</v>
      </c>
      <c r="B169" s="8">
        <v>0.96</v>
      </c>
      <c r="C169" s="8">
        <v>0.12</v>
      </c>
      <c r="D169" s="8">
        <v>0.73611111111111116</v>
      </c>
      <c r="E169" s="8">
        <v>0.79166666666666663</v>
      </c>
      <c r="F169" s="8"/>
      <c r="G169" s="8">
        <v>0.15</v>
      </c>
      <c r="H169" s="8">
        <v>0.55000000000000004</v>
      </c>
      <c r="I169" s="8">
        <v>0.42735042735042733</v>
      </c>
      <c r="J169" s="8">
        <v>0.12</v>
      </c>
      <c r="K169" s="8">
        <v>0.16666666666666666</v>
      </c>
      <c r="L169" s="8">
        <v>1</v>
      </c>
      <c r="M169" s="8">
        <v>7.4673864147548369E-2</v>
      </c>
      <c r="N169" s="8">
        <v>1.7113402061855671</v>
      </c>
      <c r="O169" s="8">
        <v>0.23055555555555557</v>
      </c>
      <c r="P169" s="8">
        <v>1.2380952380952381</v>
      </c>
      <c r="Q169" s="8">
        <v>1.276923076923077</v>
      </c>
      <c r="R169" s="7">
        <v>4</v>
      </c>
      <c r="S169" s="7">
        <v>0</v>
      </c>
      <c r="T169" s="7">
        <v>1</v>
      </c>
      <c r="U169" s="7">
        <v>0</v>
      </c>
      <c r="V169" s="7">
        <v>0</v>
      </c>
      <c r="W169" s="7">
        <v>1</v>
      </c>
      <c r="X169" s="7">
        <v>0</v>
      </c>
      <c r="Y169" s="7">
        <v>0</v>
      </c>
    </row>
    <row r="170" spans="1:25" x14ac:dyDescent="0.25">
      <c r="A170" s="13" t="s">
        <v>235</v>
      </c>
      <c r="B170" s="8">
        <v>0.91200000000000003</v>
      </c>
      <c r="C170" s="8">
        <v>0.13300000000000001</v>
      </c>
      <c r="D170" s="8">
        <v>0.66897506925207761</v>
      </c>
      <c r="E170" s="8">
        <v>0.79085872576177285</v>
      </c>
      <c r="F170" s="8">
        <v>0.30099999999999999</v>
      </c>
      <c r="G170" s="8">
        <v>0.14399999999999999</v>
      </c>
      <c r="H170" s="8">
        <v>0.52200000000000002</v>
      </c>
      <c r="I170" s="8">
        <v>0.43246753246753245</v>
      </c>
      <c r="J170" s="8">
        <v>0.11700000000000001</v>
      </c>
      <c r="K170" s="8">
        <v>0.16204986149584488</v>
      </c>
      <c r="L170" s="8">
        <v>0.87969924812030076</v>
      </c>
      <c r="M170" s="8">
        <v>8.0086580086580081E-2</v>
      </c>
      <c r="N170" s="8">
        <v>2.5342465753424657</v>
      </c>
      <c r="O170" s="8">
        <v>0.25623268698060941</v>
      </c>
      <c r="P170" s="8">
        <v>0.67052023121387294</v>
      </c>
      <c r="Q170" s="8">
        <v>1.5948275862068964</v>
      </c>
      <c r="R170" s="7">
        <v>4</v>
      </c>
      <c r="S170" s="7">
        <v>0</v>
      </c>
      <c r="T170" s="7">
        <v>1</v>
      </c>
      <c r="U170" s="7">
        <v>0</v>
      </c>
      <c r="V170" s="7">
        <v>0</v>
      </c>
      <c r="W170" s="7">
        <v>1</v>
      </c>
      <c r="X170" s="7">
        <v>0</v>
      </c>
      <c r="Y170" s="7">
        <v>0</v>
      </c>
    </row>
    <row r="171" spans="1:25" x14ac:dyDescent="0.25">
      <c r="A171" s="13" t="s">
        <v>236</v>
      </c>
      <c r="B171" s="8">
        <v>0.879</v>
      </c>
      <c r="C171" s="8">
        <v>0.13400000000000001</v>
      </c>
      <c r="D171" s="8">
        <v>0.58271604938271593</v>
      </c>
      <c r="E171" s="8">
        <v>0.67160493827160495</v>
      </c>
      <c r="F171" s="8"/>
      <c r="G171" s="8">
        <v>0.14399999999999999</v>
      </c>
      <c r="H171" s="8">
        <v>0.52400000000000002</v>
      </c>
      <c r="I171" s="8">
        <v>0.46911196911196906</v>
      </c>
      <c r="J171" s="8">
        <v>0.10299999999999999</v>
      </c>
      <c r="K171" s="8">
        <v>0.12716049382716049</v>
      </c>
      <c r="L171" s="8">
        <v>0.76865671641791034</v>
      </c>
      <c r="M171" s="8">
        <v>8.6389961389961384E-2</v>
      </c>
      <c r="N171" s="8">
        <v>1.7549019607843137</v>
      </c>
      <c r="O171" s="8">
        <v>0.22098765432098763</v>
      </c>
      <c r="P171" s="8"/>
      <c r="Q171" s="8"/>
      <c r="R171" s="7">
        <v>4</v>
      </c>
      <c r="S171" s="7">
        <v>0</v>
      </c>
      <c r="T171" s="7">
        <v>1</v>
      </c>
      <c r="U171" s="7">
        <v>0</v>
      </c>
      <c r="V171" s="7">
        <v>0</v>
      </c>
      <c r="W171" s="7">
        <v>1</v>
      </c>
      <c r="X171" s="7">
        <v>0</v>
      </c>
      <c r="Y171" s="7">
        <v>0</v>
      </c>
    </row>
    <row r="172" spans="1:25" x14ac:dyDescent="0.25">
      <c r="A172" s="13" t="s">
        <v>237</v>
      </c>
      <c r="B172" s="8">
        <v>0.95199999999999996</v>
      </c>
      <c r="C172" s="8">
        <v>0.13500000000000001</v>
      </c>
      <c r="D172" s="8">
        <v>0.73182957393483705</v>
      </c>
      <c r="E172" s="8">
        <v>0.7493734335839598</v>
      </c>
      <c r="F172" s="8">
        <v>0.313</v>
      </c>
      <c r="G172" s="8">
        <v>0.155</v>
      </c>
      <c r="H172" s="8">
        <v>0.51</v>
      </c>
      <c r="I172" s="8">
        <v>0.52919516044187265</v>
      </c>
      <c r="J172" s="8">
        <v>0.11700000000000001</v>
      </c>
      <c r="K172" s="8">
        <v>0.14661654135338345</v>
      </c>
      <c r="L172" s="8">
        <v>0.8666666666666667</v>
      </c>
      <c r="M172" s="8">
        <v>0.10099947396107312</v>
      </c>
      <c r="N172" s="8">
        <v>2.1098901098901099</v>
      </c>
      <c r="O172" s="8">
        <v>0.24060150375939848</v>
      </c>
      <c r="P172" s="8">
        <v>1.0825688073394495</v>
      </c>
      <c r="Q172" s="8">
        <v>1.6271186440677967</v>
      </c>
      <c r="R172" s="7">
        <v>4</v>
      </c>
      <c r="S172" s="7">
        <v>0</v>
      </c>
      <c r="T172" s="7">
        <v>1</v>
      </c>
      <c r="U172" s="7">
        <v>0</v>
      </c>
      <c r="V172" s="7">
        <v>0</v>
      </c>
      <c r="W172" s="7">
        <v>1</v>
      </c>
      <c r="X172" s="7">
        <v>0</v>
      </c>
      <c r="Y172" s="7">
        <v>0</v>
      </c>
    </row>
    <row r="173" spans="1:25" x14ac:dyDescent="0.25">
      <c r="A173" s="13" t="s">
        <v>238</v>
      </c>
      <c r="B173" s="8">
        <v>0.91300000000000003</v>
      </c>
      <c r="C173" s="8">
        <v>0.129</v>
      </c>
      <c r="D173" s="8">
        <v>0.6130268199233716</v>
      </c>
      <c r="E173" s="8">
        <v>0.65517241379310343</v>
      </c>
      <c r="F173" s="8">
        <v>0.29599999999999999</v>
      </c>
      <c r="G173" s="8">
        <v>0.13500000000000001</v>
      </c>
      <c r="H173" s="8">
        <v>0.497</v>
      </c>
      <c r="I173" s="8">
        <v>0.46666666666666662</v>
      </c>
      <c r="J173" s="8">
        <v>0.107</v>
      </c>
      <c r="K173" s="8">
        <v>0.13665389527458494</v>
      </c>
      <c r="L173" s="8">
        <v>0.82945736434108519</v>
      </c>
      <c r="M173" s="8">
        <v>0.10294117647058823</v>
      </c>
      <c r="N173" s="8">
        <v>1.9444444444444444</v>
      </c>
      <c r="O173" s="8">
        <v>0.26819923371647508</v>
      </c>
      <c r="P173" s="8">
        <v>0.74615384615384617</v>
      </c>
      <c r="Q173" s="8">
        <v>2.1649484536082473</v>
      </c>
      <c r="R173" s="7">
        <v>4</v>
      </c>
      <c r="S173" s="7">
        <v>0</v>
      </c>
      <c r="T173" s="7">
        <v>1</v>
      </c>
      <c r="U173" s="7">
        <v>0</v>
      </c>
      <c r="V173" s="7">
        <v>0</v>
      </c>
      <c r="W173" s="7">
        <v>1</v>
      </c>
      <c r="X173" s="7">
        <v>0</v>
      </c>
      <c r="Y173" s="7">
        <v>0</v>
      </c>
    </row>
    <row r="174" spans="1:25" x14ac:dyDescent="0.25">
      <c r="A174" s="13" t="s">
        <v>239</v>
      </c>
      <c r="B174" s="8">
        <v>2.214</v>
      </c>
      <c r="C174" s="8">
        <v>0.152</v>
      </c>
      <c r="D174" s="8">
        <v>0.79404255319148942</v>
      </c>
      <c r="E174" s="8">
        <v>0.80510638297872328</v>
      </c>
      <c r="F174" s="8">
        <v>0.376</v>
      </c>
      <c r="G174" s="8">
        <v>0.14099999999999999</v>
      </c>
      <c r="H174" s="8">
        <v>0.76700000000000002</v>
      </c>
      <c r="I174" s="8">
        <v>0.64311377245508994</v>
      </c>
      <c r="J174" s="8">
        <v>0.12</v>
      </c>
      <c r="K174" s="8">
        <v>0.10212765957446808</v>
      </c>
      <c r="L174" s="8">
        <v>0.78947368421052633</v>
      </c>
      <c r="M174" s="8">
        <v>0.12095808383233533</v>
      </c>
      <c r="N174" s="8">
        <v>2.195652173913043</v>
      </c>
      <c r="O174" s="8">
        <v>0.25787234042553192</v>
      </c>
      <c r="P174" s="8"/>
      <c r="Q174" s="8"/>
      <c r="R174" s="7">
        <v>3</v>
      </c>
      <c r="S174" s="7">
        <v>2</v>
      </c>
      <c r="T174" s="7">
        <v>0</v>
      </c>
      <c r="U174" s="7">
        <v>0</v>
      </c>
      <c r="V174" s="7">
        <v>0</v>
      </c>
      <c r="W174" s="7">
        <v>0</v>
      </c>
      <c r="X174" s="7">
        <v>1</v>
      </c>
      <c r="Y174" s="7">
        <v>1</v>
      </c>
    </row>
    <row r="175" spans="1:25" x14ac:dyDescent="0.25">
      <c r="A175" s="13" t="s">
        <v>240</v>
      </c>
      <c r="B175" s="8">
        <v>2.2459999999999996</v>
      </c>
      <c r="C175" s="8">
        <v>0.17499999999999999</v>
      </c>
      <c r="D175" s="8">
        <v>0.75899005355776594</v>
      </c>
      <c r="E175" s="8">
        <v>0.77811782708492727</v>
      </c>
      <c r="F175" s="8">
        <v>0.41199999999999998</v>
      </c>
      <c r="G175" s="8">
        <v>0.13800000000000001</v>
      </c>
      <c r="H175" s="8">
        <v>0.86</v>
      </c>
      <c r="I175" s="8">
        <v>0.61032213370280575</v>
      </c>
      <c r="J175" s="8">
        <v>0.11600000000000001</v>
      </c>
      <c r="K175" s="8">
        <v>8.8752869166029077E-2</v>
      </c>
      <c r="L175" s="8">
        <v>0.66285714285714292</v>
      </c>
      <c r="M175" s="8">
        <v>0.13578108763422239</v>
      </c>
      <c r="N175" s="8">
        <v>2.6308724832214767</v>
      </c>
      <c r="O175" s="8">
        <v>0.29992348890589138</v>
      </c>
      <c r="P175" s="8">
        <v>0.96835443037974678</v>
      </c>
      <c r="Q175" s="8">
        <v>2.5620915032679741</v>
      </c>
      <c r="R175" s="7">
        <v>3</v>
      </c>
      <c r="S175" s="7">
        <v>2</v>
      </c>
      <c r="T175" s="7">
        <v>0</v>
      </c>
      <c r="U175" s="7">
        <v>0</v>
      </c>
      <c r="V175" s="7">
        <v>0</v>
      </c>
      <c r="W175" s="7">
        <v>0</v>
      </c>
      <c r="X175" s="7">
        <v>1</v>
      </c>
      <c r="Y175" s="7">
        <v>1</v>
      </c>
    </row>
    <row r="176" spans="1:25" x14ac:dyDescent="0.25">
      <c r="A176" s="13" t="s">
        <v>241</v>
      </c>
      <c r="B176" s="8">
        <v>1.7969999999999999</v>
      </c>
      <c r="C176" s="8">
        <v>0.15</v>
      </c>
      <c r="D176" s="8">
        <v>0.81497418244406195</v>
      </c>
      <c r="E176" s="8">
        <v>0.8442340791738383</v>
      </c>
      <c r="F176" s="8">
        <v>0.36299999999999999</v>
      </c>
      <c r="G176" s="8">
        <v>0.14799999999999999</v>
      </c>
      <c r="H176" s="8">
        <v>0.81599999999999995</v>
      </c>
      <c r="I176" s="8">
        <v>0.68931234465617242</v>
      </c>
      <c r="J176" s="8">
        <v>0.11700000000000001</v>
      </c>
      <c r="K176" s="8">
        <v>0.10068846815834769</v>
      </c>
      <c r="L176" s="8">
        <v>0.78</v>
      </c>
      <c r="M176" s="8">
        <v>0.15617232808616408</v>
      </c>
      <c r="N176" s="8">
        <v>1.7214611872146119</v>
      </c>
      <c r="O176" s="8">
        <v>0.32444061962134252</v>
      </c>
      <c r="P176" s="8">
        <v>1.0785714285714285</v>
      </c>
      <c r="Q176" s="8">
        <v>2.4966887417218544</v>
      </c>
      <c r="R176" s="7">
        <v>3</v>
      </c>
      <c r="S176" s="7">
        <v>2</v>
      </c>
      <c r="T176" s="7">
        <v>0</v>
      </c>
      <c r="U176" s="7">
        <v>0</v>
      </c>
      <c r="V176" s="7">
        <v>0</v>
      </c>
      <c r="W176" s="7">
        <v>0</v>
      </c>
      <c r="X176" s="7">
        <v>1</v>
      </c>
      <c r="Y176" s="7">
        <v>1</v>
      </c>
    </row>
    <row r="177" spans="1:25" x14ac:dyDescent="0.25">
      <c r="A177" s="13" t="s">
        <v>242</v>
      </c>
      <c r="B177" s="8">
        <v>2.2080000000000002</v>
      </c>
      <c r="C177" s="8">
        <v>0.14799999999999999</v>
      </c>
      <c r="D177" s="8">
        <v>0.697508896797153</v>
      </c>
      <c r="E177" s="8">
        <v>0.76067615658362975</v>
      </c>
      <c r="F177" s="8">
        <v>0.36099999999999999</v>
      </c>
      <c r="G177" s="8">
        <v>0.14000000000000001</v>
      </c>
      <c r="H177" s="8">
        <v>0.67600000000000005</v>
      </c>
      <c r="I177" s="8">
        <v>0.62934027777777768</v>
      </c>
      <c r="J177" s="8">
        <v>0.113</v>
      </c>
      <c r="K177" s="8">
        <v>0.10053380782918149</v>
      </c>
      <c r="L177" s="8">
        <v>0.7635135135135136</v>
      </c>
      <c r="M177" s="8">
        <v>0.10460069444444443</v>
      </c>
      <c r="N177" s="8">
        <v>1.5350318471337578</v>
      </c>
      <c r="O177" s="8">
        <v>0.21441281138790033</v>
      </c>
      <c r="P177" s="8">
        <v>0.99230769230769234</v>
      </c>
      <c r="Q177" s="8">
        <v>1.8682170542635659</v>
      </c>
      <c r="R177" s="7">
        <v>3</v>
      </c>
      <c r="S177" s="7">
        <v>2</v>
      </c>
      <c r="T177" s="7">
        <v>0</v>
      </c>
      <c r="U177" s="7">
        <v>0</v>
      </c>
      <c r="V177" s="7">
        <v>0</v>
      </c>
      <c r="W177" s="7">
        <v>0</v>
      </c>
      <c r="X177" s="7">
        <v>1</v>
      </c>
      <c r="Y177" s="7">
        <v>1</v>
      </c>
    </row>
    <row r="178" spans="1:25" x14ac:dyDescent="0.25">
      <c r="A178" s="13" t="s">
        <v>243</v>
      </c>
      <c r="B178" s="8"/>
      <c r="C178" s="8">
        <v>0.161</v>
      </c>
      <c r="D178" s="8">
        <v>0.71441689623507809</v>
      </c>
      <c r="E178" s="8">
        <v>0.80624426078971534</v>
      </c>
      <c r="F178" s="8">
        <v>0.37</v>
      </c>
      <c r="G178" s="8">
        <v>0.11899999999999999</v>
      </c>
      <c r="H178" s="8">
        <v>0.68600000000000005</v>
      </c>
      <c r="I178" s="8">
        <v>0.60510638297872332</v>
      </c>
      <c r="J178" s="8">
        <v>0.115</v>
      </c>
      <c r="K178" s="8">
        <v>0.10560146923783288</v>
      </c>
      <c r="L178" s="8">
        <v>0.7142857142857143</v>
      </c>
      <c r="M178" s="8">
        <v>0.11999999999999998</v>
      </c>
      <c r="N178" s="8">
        <v>2.5871559633027519</v>
      </c>
      <c r="O178" s="8">
        <v>0.25895316804407714</v>
      </c>
      <c r="P178" s="8">
        <v>0.91366906474820142</v>
      </c>
      <c r="Q178" s="8">
        <v>2.2204724409448815</v>
      </c>
      <c r="R178" s="7">
        <v>3</v>
      </c>
      <c r="S178" s="7">
        <v>2</v>
      </c>
      <c r="T178" s="7">
        <v>0</v>
      </c>
      <c r="U178" s="7">
        <v>0</v>
      </c>
      <c r="V178" s="7">
        <v>0</v>
      </c>
      <c r="W178" s="7">
        <v>0</v>
      </c>
      <c r="X178" s="7">
        <v>1</v>
      </c>
      <c r="Y178" s="7">
        <v>1</v>
      </c>
    </row>
    <row r="179" spans="1:25" x14ac:dyDescent="0.25">
      <c r="A179" s="13" t="s">
        <v>244</v>
      </c>
      <c r="B179" s="8">
        <v>1.9789999999999999</v>
      </c>
      <c r="C179" s="8">
        <v>0.13100000000000001</v>
      </c>
      <c r="D179" s="8">
        <v>0.72775800711743766</v>
      </c>
      <c r="E179" s="8">
        <v>0.76156583629893226</v>
      </c>
      <c r="F179" s="8">
        <v>0.312</v>
      </c>
      <c r="G179" s="8">
        <v>0.10299999999999999</v>
      </c>
      <c r="H179" s="8">
        <v>0.69</v>
      </c>
      <c r="I179" s="8">
        <v>0.68194706994328924</v>
      </c>
      <c r="J179" s="8">
        <v>0.111</v>
      </c>
      <c r="K179" s="8">
        <v>9.87544483985765E-2</v>
      </c>
      <c r="L179" s="8">
        <v>0.84732824427480913</v>
      </c>
      <c r="M179" s="8">
        <v>0.1275992438563327</v>
      </c>
      <c r="N179" s="8">
        <v>2.1428571428571428</v>
      </c>
      <c r="O179" s="8">
        <v>0.2402135231316726</v>
      </c>
      <c r="P179" s="8">
        <v>0.7383720930232559</v>
      </c>
      <c r="Q179" s="8">
        <v>2.1259842519685042</v>
      </c>
      <c r="R179" s="7">
        <v>3</v>
      </c>
      <c r="S179" s="7">
        <v>2</v>
      </c>
      <c r="T179" s="7">
        <v>0</v>
      </c>
      <c r="U179" s="7">
        <v>0</v>
      </c>
      <c r="V179" s="7">
        <v>0</v>
      </c>
      <c r="W179" s="7">
        <v>0</v>
      </c>
      <c r="X179" s="7">
        <v>1</v>
      </c>
      <c r="Y179" s="7">
        <v>1</v>
      </c>
    </row>
    <row r="180" spans="1:25" x14ac:dyDescent="0.25">
      <c r="A180" s="13" t="s">
        <v>245</v>
      </c>
      <c r="B180" s="8">
        <v>2.3099999999999996</v>
      </c>
      <c r="C180" s="8">
        <v>0.154</v>
      </c>
      <c r="D180" s="8">
        <v>0.8512685914260717</v>
      </c>
      <c r="E180" s="8">
        <v>0.82152230971128604</v>
      </c>
      <c r="F180" s="8">
        <v>0.39100000000000001</v>
      </c>
      <c r="G180" s="8">
        <v>0.13300000000000001</v>
      </c>
      <c r="H180" s="8">
        <v>0.80100000000000005</v>
      </c>
      <c r="I180" s="8">
        <v>0.57392571012381643</v>
      </c>
      <c r="J180" s="8">
        <v>0.123</v>
      </c>
      <c r="K180" s="8">
        <v>0.10761154855643044</v>
      </c>
      <c r="L180" s="8">
        <v>0.79870129870129869</v>
      </c>
      <c r="M180" s="8">
        <v>0.12199563000728333</v>
      </c>
      <c r="N180" s="8">
        <v>2.2635135135135136</v>
      </c>
      <c r="O180" s="8">
        <v>0.29308836395450572</v>
      </c>
      <c r="P180" s="8">
        <v>0.85207100591715967</v>
      </c>
      <c r="Q180" s="8">
        <v>2.3263888888888893</v>
      </c>
      <c r="R180" s="7">
        <v>3</v>
      </c>
      <c r="S180" s="7">
        <v>2</v>
      </c>
      <c r="T180" s="7">
        <v>0</v>
      </c>
      <c r="U180" s="7">
        <v>0</v>
      </c>
      <c r="V180" s="7">
        <v>0</v>
      </c>
      <c r="W180" s="7">
        <v>0</v>
      </c>
      <c r="X180" s="7">
        <v>1</v>
      </c>
      <c r="Y180" s="7">
        <v>1</v>
      </c>
    </row>
    <row r="181" spans="1:25" x14ac:dyDescent="0.25">
      <c r="A181" s="13" t="s">
        <v>246</v>
      </c>
      <c r="B181" s="8">
        <v>2.2509999999999999</v>
      </c>
      <c r="C181" s="8">
        <v>0.16400000000000001</v>
      </c>
      <c r="D181" s="8">
        <v>0.78153153153153143</v>
      </c>
      <c r="E181" s="8">
        <v>0.73498498498498488</v>
      </c>
      <c r="F181" s="8">
        <v>0.4</v>
      </c>
      <c r="G181" s="8">
        <v>0.13300000000000001</v>
      </c>
      <c r="H181" s="8">
        <v>0.80900000000000005</v>
      </c>
      <c r="I181" s="8">
        <v>0.65024555525945105</v>
      </c>
      <c r="J181" s="8">
        <v>0.11600000000000001</v>
      </c>
      <c r="K181" s="8">
        <v>8.7087087087087081E-2</v>
      </c>
      <c r="L181" s="8">
        <v>0.70731707317073167</v>
      </c>
      <c r="M181" s="8">
        <v>0.13210492252636385</v>
      </c>
      <c r="N181" s="8">
        <v>2.224358974358974</v>
      </c>
      <c r="O181" s="8">
        <v>0.2605105105105105</v>
      </c>
      <c r="P181" s="8">
        <v>1.1461538461538461</v>
      </c>
      <c r="Q181" s="8">
        <v>2.3288590604026846</v>
      </c>
      <c r="R181" s="7">
        <v>3</v>
      </c>
      <c r="S181" s="7">
        <v>2</v>
      </c>
      <c r="T181" s="7">
        <v>0</v>
      </c>
      <c r="U181" s="7">
        <v>0</v>
      </c>
      <c r="V181" s="7">
        <v>0</v>
      </c>
      <c r="W181" s="7">
        <v>0</v>
      </c>
      <c r="X181" s="7">
        <v>1</v>
      </c>
      <c r="Y181" s="7">
        <v>1</v>
      </c>
    </row>
    <row r="182" spans="1:25" x14ac:dyDescent="0.25">
      <c r="A182" s="13" t="s">
        <v>247</v>
      </c>
      <c r="B182" s="8">
        <v>2.331</v>
      </c>
      <c r="C182" s="8">
        <v>0.157</v>
      </c>
      <c r="D182" s="8">
        <v>0.79208688906128777</v>
      </c>
      <c r="E182" s="8">
        <v>0.78200155159038021</v>
      </c>
      <c r="F182" s="8">
        <v>0.42799999999999999</v>
      </c>
      <c r="G182" s="8">
        <v>0.13500000000000001</v>
      </c>
      <c r="H182" s="8">
        <v>0.83</v>
      </c>
      <c r="I182" s="8">
        <v>0.69914596273291918</v>
      </c>
      <c r="J182" s="8">
        <v>0.12</v>
      </c>
      <c r="K182" s="8">
        <v>9.3095422808378583E-2</v>
      </c>
      <c r="L182" s="8">
        <v>0.76433121019108274</v>
      </c>
      <c r="M182" s="8">
        <v>0.14169254658385091</v>
      </c>
      <c r="N182" s="8">
        <v>2.3548387096774195</v>
      </c>
      <c r="O182" s="8">
        <v>0.2831652443754849</v>
      </c>
      <c r="P182" s="8">
        <v>1.0797101449275361</v>
      </c>
      <c r="Q182" s="8">
        <v>2.4496644295302015</v>
      </c>
      <c r="R182" s="7">
        <v>3</v>
      </c>
      <c r="S182" s="7">
        <v>2</v>
      </c>
      <c r="T182" s="7">
        <v>0</v>
      </c>
      <c r="U182" s="7">
        <v>0</v>
      </c>
      <c r="V182" s="7">
        <v>0</v>
      </c>
      <c r="W182" s="7">
        <v>0</v>
      </c>
      <c r="X182" s="7">
        <v>1</v>
      </c>
      <c r="Y182" s="7">
        <v>1</v>
      </c>
    </row>
    <row r="183" spans="1:25" x14ac:dyDescent="0.25">
      <c r="A183" s="13" t="s">
        <v>248</v>
      </c>
      <c r="B183" s="8">
        <v>2.0939999999999999</v>
      </c>
      <c r="C183" s="8">
        <v>0.13400000000000001</v>
      </c>
      <c r="D183" s="8">
        <v>0.66864406779661023</v>
      </c>
      <c r="E183" s="8">
        <v>0.69745762711864412</v>
      </c>
      <c r="F183" s="8">
        <v>0.35799999999999998</v>
      </c>
      <c r="G183" s="8">
        <v>0.14199999999999999</v>
      </c>
      <c r="H183" s="8">
        <v>0.68200000000000005</v>
      </c>
      <c r="I183" s="8">
        <v>0.65808170515097697</v>
      </c>
      <c r="J183" s="8">
        <v>0.111</v>
      </c>
      <c r="K183" s="8">
        <v>9.4067796610169493E-2</v>
      </c>
      <c r="L183" s="8">
        <v>0.82835820895522383</v>
      </c>
      <c r="M183" s="8">
        <v>0.13587921847246892</v>
      </c>
      <c r="N183" s="8">
        <v>2</v>
      </c>
      <c r="O183" s="8">
        <v>0.2593220338983051</v>
      </c>
      <c r="P183" s="8">
        <v>0.67096774193548381</v>
      </c>
      <c r="Q183" s="8">
        <v>2.9423076923076925</v>
      </c>
      <c r="R183" s="7">
        <v>3</v>
      </c>
      <c r="S183" s="7">
        <v>2</v>
      </c>
      <c r="T183" s="7">
        <v>0</v>
      </c>
      <c r="U183" s="7">
        <v>0</v>
      </c>
      <c r="V183" s="7">
        <v>0</v>
      </c>
      <c r="W183" s="7">
        <v>0</v>
      </c>
      <c r="X183" s="7">
        <v>1</v>
      </c>
      <c r="Y183" s="7">
        <v>1</v>
      </c>
    </row>
    <row r="184" spans="1:25" x14ac:dyDescent="0.25">
      <c r="A184" s="13" t="s">
        <v>249</v>
      </c>
      <c r="B184" s="8">
        <v>1.94</v>
      </c>
      <c r="C184" s="8">
        <v>0.15</v>
      </c>
      <c r="D184" s="8">
        <v>0.76800000000000002</v>
      </c>
      <c r="E184" s="8">
        <v>0.74399999999999999</v>
      </c>
      <c r="F184" s="8">
        <v>0.3</v>
      </c>
      <c r="G184" s="8">
        <v>0.18</v>
      </c>
      <c r="H184" s="8">
        <v>0.77</v>
      </c>
      <c r="I184" s="8">
        <v>0.55518394648829428</v>
      </c>
      <c r="J184" s="8">
        <v>0.127</v>
      </c>
      <c r="K184" s="8">
        <v>0.1016</v>
      </c>
      <c r="L184" s="8">
        <v>0.84666666666666668</v>
      </c>
      <c r="M184" s="8">
        <v>0.12709030100334448</v>
      </c>
      <c r="N184" s="8">
        <v>2.2352941176470589</v>
      </c>
      <c r="O184" s="8">
        <v>0.30399999999999999</v>
      </c>
      <c r="P184" s="8">
        <v>0.8</v>
      </c>
      <c r="Q184" s="8">
        <v>3.166666666666667</v>
      </c>
      <c r="R184" s="7">
        <v>3</v>
      </c>
      <c r="S184" s="7">
        <v>2</v>
      </c>
      <c r="T184" s="7">
        <v>0</v>
      </c>
      <c r="U184" s="7">
        <v>0</v>
      </c>
      <c r="V184" s="7">
        <v>0</v>
      </c>
      <c r="W184" s="7">
        <v>0</v>
      </c>
      <c r="X184" s="7">
        <v>1</v>
      </c>
      <c r="Y184" s="7">
        <v>1</v>
      </c>
    </row>
    <row r="185" spans="1:25" x14ac:dyDescent="0.25">
      <c r="A185" s="13" t="s">
        <v>250</v>
      </c>
      <c r="B185" s="8">
        <v>1.88</v>
      </c>
      <c r="C185" s="8">
        <v>0.15</v>
      </c>
      <c r="D185" s="8">
        <v>0.69090909090909081</v>
      </c>
      <c r="E185" s="8">
        <v>0.70909090909090911</v>
      </c>
      <c r="F185" s="8">
        <v>0.38</v>
      </c>
      <c r="G185" s="8">
        <v>0.11</v>
      </c>
      <c r="H185" s="8">
        <v>0.65</v>
      </c>
      <c r="I185" s="8">
        <v>0.62271062271062272</v>
      </c>
      <c r="J185" s="8">
        <v>0.11700000000000001</v>
      </c>
      <c r="K185" s="8">
        <v>0.10636363636363635</v>
      </c>
      <c r="L185" s="8">
        <v>0.78</v>
      </c>
      <c r="M185" s="8">
        <v>0.12362637362637363</v>
      </c>
      <c r="N185" s="8">
        <v>2.0769230769230771</v>
      </c>
      <c r="O185" s="8">
        <v>0.24545454545454545</v>
      </c>
      <c r="P185" s="8">
        <v>1.0614035087719298</v>
      </c>
      <c r="Q185" s="8">
        <v>2.2314049586776861</v>
      </c>
      <c r="R185" s="7">
        <v>3</v>
      </c>
      <c r="S185" s="7">
        <v>2</v>
      </c>
      <c r="T185" s="7">
        <v>0</v>
      </c>
      <c r="U185" s="7">
        <v>0</v>
      </c>
      <c r="V185" s="7">
        <v>0</v>
      </c>
      <c r="W185" s="7">
        <v>0</v>
      </c>
      <c r="X185" s="7">
        <v>1</v>
      </c>
      <c r="Y185" s="7">
        <v>1</v>
      </c>
    </row>
    <row r="186" spans="1:25" x14ac:dyDescent="0.25">
      <c r="A186" s="13" t="s">
        <v>251</v>
      </c>
      <c r="B186" s="8">
        <v>1.641</v>
      </c>
      <c r="C186" s="8">
        <v>9.4E-2</v>
      </c>
      <c r="D186" s="8">
        <v>0.68333333333333335</v>
      </c>
      <c r="E186" s="8">
        <v>0.69305555555555554</v>
      </c>
      <c r="F186" s="8">
        <v>0.248</v>
      </c>
      <c r="G186" s="8">
        <v>5.2999999999999999E-2</v>
      </c>
      <c r="H186" s="8">
        <v>0.442</v>
      </c>
      <c r="I186" s="8">
        <v>0.66971777269260113</v>
      </c>
      <c r="J186" s="8">
        <v>7.8E-2</v>
      </c>
      <c r="K186" s="8">
        <v>0.10833333333333334</v>
      </c>
      <c r="L186" s="8">
        <v>0.82978723404255317</v>
      </c>
      <c r="M186" s="8">
        <v>0.14035087719298245</v>
      </c>
      <c r="N186" s="8">
        <v>2.24390243902439</v>
      </c>
      <c r="O186" s="8">
        <v>0.25555555555555554</v>
      </c>
      <c r="P186" s="8">
        <v>0.80733944954128434</v>
      </c>
      <c r="Q186" s="8">
        <v>2.0909090909090908</v>
      </c>
      <c r="R186" s="7">
        <v>3</v>
      </c>
      <c r="S186" s="7">
        <v>0</v>
      </c>
      <c r="T186" s="7">
        <v>0</v>
      </c>
      <c r="U186" s="7">
        <v>1</v>
      </c>
      <c r="V186" s="7">
        <v>0</v>
      </c>
      <c r="W186" s="7">
        <v>0</v>
      </c>
      <c r="X186" s="7">
        <v>0</v>
      </c>
      <c r="Y186" s="7">
        <v>0</v>
      </c>
    </row>
    <row r="187" spans="1:25" x14ac:dyDescent="0.25">
      <c r="A187" s="13" t="s">
        <v>252</v>
      </c>
      <c r="B187" s="8">
        <v>1.44</v>
      </c>
      <c r="C187" s="8">
        <v>0.12</v>
      </c>
      <c r="D187" s="8">
        <v>0.797752808988764</v>
      </c>
      <c r="E187" s="8">
        <v>0.6853932584269663</v>
      </c>
      <c r="F187" s="8">
        <v>0.28999999999999998</v>
      </c>
      <c r="G187" s="8">
        <v>9.1999999999999998E-2</v>
      </c>
      <c r="H187" s="8">
        <v>0.59</v>
      </c>
      <c r="I187" s="8">
        <v>0.64611111111111108</v>
      </c>
      <c r="J187" s="8">
        <v>8.5999999999999993E-2</v>
      </c>
      <c r="K187" s="8">
        <v>9.6629213483146056E-2</v>
      </c>
      <c r="L187" s="8">
        <v>0.71666666666666667</v>
      </c>
      <c r="M187" s="8">
        <v>0.11722222222222221</v>
      </c>
      <c r="N187" s="8">
        <v>1.9009009009009008</v>
      </c>
      <c r="O187" s="8">
        <v>0.23707865168539324</v>
      </c>
      <c r="P187" s="8">
        <v>0.78181818181818175</v>
      </c>
      <c r="Q187" s="8">
        <v>2.4534883720930232</v>
      </c>
      <c r="R187" s="7">
        <v>3</v>
      </c>
      <c r="S187" s="7">
        <v>0</v>
      </c>
      <c r="T187" s="7">
        <v>0</v>
      </c>
      <c r="U187" s="7">
        <v>1</v>
      </c>
      <c r="V187" s="7">
        <v>0</v>
      </c>
      <c r="W187" s="7">
        <v>0</v>
      </c>
      <c r="X187" s="7">
        <v>0</v>
      </c>
      <c r="Y187" s="7">
        <v>0</v>
      </c>
    </row>
    <row r="188" spans="1:25" x14ac:dyDescent="0.25">
      <c r="A188" s="13" t="s">
        <v>253</v>
      </c>
      <c r="B188" s="8">
        <v>1.7170000000000001</v>
      </c>
      <c r="C188" s="8">
        <v>0.113</v>
      </c>
      <c r="D188" s="8">
        <v>0.59695817490494296</v>
      </c>
      <c r="E188" s="8">
        <v>0.64131812420785805</v>
      </c>
      <c r="F188" s="8">
        <v>0.27500000000000002</v>
      </c>
      <c r="G188" s="8">
        <v>6.5000000000000002E-2</v>
      </c>
      <c r="H188" s="8">
        <v>0.47699999999999998</v>
      </c>
      <c r="I188" s="8">
        <v>0.61256544502617805</v>
      </c>
      <c r="J188" s="8">
        <v>8.7999999999999995E-2</v>
      </c>
      <c r="K188" s="8">
        <v>0.11153358681875791</v>
      </c>
      <c r="L188" s="8">
        <v>0.77876106194690253</v>
      </c>
      <c r="M188" s="8">
        <v>0.1099476439790576</v>
      </c>
      <c r="N188" s="8">
        <v>1.931034482758621</v>
      </c>
      <c r="O188" s="8">
        <v>0.21292775665399241</v>
      </c>
      <c r="P188" s="8">
        <v>0.98275862068965514</v>
      </c>
      <c r="Q188" s="8">
        <v>1.4736842105263159</v>
      </c>
      <c r="R188" s="7">
        <v>3</v>
      </c>
      <c r="S188" s="7">
        <v>0</v>
      </c>
      <c r="T188" s="7">
        <v>0</v>
      </c>
      <c r="U188" s="7">
        <v>1</v>
      </c>
      <c r="V188" s="7">
        <v>0</v>
      </c>
      <c r="W188" s="7">
        <v>0</v>
      </c>
      <c r="X188" s="7">
        <v>0</v>
      </c>
      <c r="Y188" s="7">
        <v>0</v>
      </c>
    </row>
    <row r="189" spans="1:25" x14ac:dyDescent="0.25">
      <c r="A189" s="13" t="s">
        <v>254</v>
      </c>
      <c r="B189" s="8">
        <v>1.855</v>
      </c>
      <c r="C189" s="8">
        <v>0.123</v>
      </c>
      <c r="D189" s="8">
        <v>0.68634686346863483</v>
      </c>
      <c r="E189" s="8">
        <v>0.68511685116851184</v>
      </c>
      <c r="F189" s="8">
        <v>0.24299999999999999</v>
      </c>
      <c r="G189" s="8">
        <v>7.2999999999999995E-2</v>
      </c>
      <c r="H189" s="8">
        <v>0.439</v>
      </c>
      <c r="I189" s="8">
        <v>0.77601270849880866</v>
      </c>
      <c r="J189" s="8">
        <v>8.1000000000000003E-2</v>
      </c>
      <c r="K189" s="8">
        <v>9.963099630996311E-2</v>
      </c>
      <c r="L189" s="8">
        <v>0.65853658536585369</v>
      </c>
      <c r="M189" s="8">
        <v>0.13820492454328834</v>
      </c>
      <c r="N189" s="8">
        <v>1.8510638297872339</v>
      </c>
      <c r="O189" s="8">
        <v>0.2140221402214022</v>
      </c>
      <c r="P189" s="8">
        <v>0.875</v>
      </c>
      <c r="Q189" s="8">
        <v>1.912087912087912</v>
      </c>
      <c r="R189" s="7">
        <v>3</v>
      </c>
      <c r="S189" s="7">
        <v>0</v>
      </c>
      <c r="T189" s="7">
        <v>0</v>
      </c>
      <c r="U189" s="7">
        <v>1</v>
      </c>
      <c r="V189" s="7">
        <v>0</v>
      </c>
      <c r="W189" s="7">
        <v>0</v>
      </c>
      <c r="X189" s="7">
        <v>0</v>
      </c>
      <c r="Y189" s="7">
        <v>0</v>
      </c>
    </row>
    <row r="190" spans="1:25" x14ac:dyDescent="0.25">
      <c r="A190" s="13" t="s">
        <v>255</v>
      </c>
      <c r="B190" s="8">
        <v>2.1080000000000001</v>
      </c>
      <c r="C190" s="8">
        <v>0.13</v>
      </c>
      <c r="D190" s="8">
        <v>0.80387096774193545</v>
      </c>
      <c r="E190" s="8">
        <v>0.68129032258064515</v>
      </c>
      <c r="F190" s="8">
        <v>0.26700000000000002</v>
      </c>
      <c r="G190" s="8">
        <v>6.4000000000000001E-2</v>
      </c>
      <c r="H190" s="8">
        <v>0.44400000000000001</v>
      </c>
      <c r="I190" s="8">
        <v>0.73975557153127236</v>
      </c>
      <c r="J190" s="8">
        <v>8.7999999999999995E-2</v>
      </c>
      <c r="K190" s="8">
        <v>0.11354838709677419</v>
      </c>
      <c r="L190" s="8">
        <v>0.67692307692307685</v>
      </c>
      <c r="M190" s="8">
        <v>0.11574406901509705</v>
      </c>
      <c r="N190" s="8">
        <v>1.8720930232558142</v>
      </c>
      <c r="O190" s="8">
        <v>0.20774193548387096</v>
      </c>
      <c r="P190" s="8"/>
      <c r="Q190" s="8">
        <v>1.7127659574468086</v>
      </c>
      <c r="R190" s="7">
        <v>3</v>
      </c>
      <c r="S190" s="7">
        <v>0</v>
      </c>
      <c r="T190" s="7">
        <v>0</v>
      </c>
      <c r="U190" s="7">
        <v>1</v>
      </c>
      <c r="V190" s="7">
        <v>0</v>
      </c>
      <c r="W190" s="7">
        <v>0</v>
      </c>
      <c r="X190" s="7">
        <v>0</v>
      </c>
      <c r="Y190" s="7">
        <v>0</v>
      </c>
    </row>
    <row r="191" spans="1:25" x14ac:dyDescent="0.25">
      <c r="A191" s="13" t="s">
        <v>256</v>
      </c>
      <c r="B191" s="8">
        <v>1.754</v>
      </c>
      <c r="C191" s="8">
        <v>0.104</v>
      </c>
      <c r="D191" s="8">
        <v>0.66408268733850129</v>
      </c>
      <c r="E191" s="8">
        <v>0.65116279069767435</v>
      </c>
      <c r="F191" s="8">
        <v>0.24199999999999999</v>
      </c>
      <c r="G191" s="8">
        <v>6.5000000000000002E-2</v>
      </c>
      <c r="H191" s="8">
        <v>0.41899999999999998</v>
      </c>
      <c r="I191" s="8">
        <v>0.60218181818181815</v>
      </c>
      <c r="J191" s="8">
        <v>8.5000000000000006E-2</v>
      </c>
      <c r="K191" s="8">
        <v>0.10981912144702843</v>
      </c>
      <c r="L191" s="8">
        <v>0.8173076923076924</v>
      </c>
      <c r="M191" s="8">
        <v>0.10836363636363636</v>
      </c>
      <c r="N191" s="8">
        <v>2.0694444444444446</v>
      </c>
      <c r="O191" s="8">
        <v>0.19250645994832041</v>
      </c>
      <c r="P191" s="8">
        <v>0.95535714285714279</v>
      </c>
      <c r="Q191" s="8">
        <v>1.3925233644859814</v>
      </c>
      <c r="R191" s="7">
        <v>3</v>
      </c>
      <c r="S191" s="7">
        <v>0</v>
      </c>
      <c r="T191" s="7">
        <v>0</v>
      </c>
      <c r="U191" s="7">
        <v>1</v>
      </c>
      <c r="V191" s="7">
        <v>0</v>
      </c>
      <c r="W191" s="7">
        <v>0</v>
      </c>
      <c r="X191" s="7">
        <v>0</v>
      </c>
      <c r="Y191" s="7">
        <v>0</v>
      </c>
    </row>
    <row r="192" spans="1:25" x14ac:dyDescent="0.25">
      <c r="A192" s="13" t="s">
        <v>257</v>
      </c>
      <c r="B192" s="8">
        <v>1.3340000000000001</v>
      </c>
      <c r="C192" s="8">
        <v>0.122</v>
      </c>
      <c r="D192" s="8">
        <v>0.71907514450867049</v>
      </c>
      <c r="E192" s="8">
        <v>0.63352601156069366</v>
      </c>
      <c r="F192" s="8">
        <v>0.26500000000000001</v>
      </c>
      <c r="G192" s="8">
        <v>7.0999999999999994E-2</v>
      </c>
      <c r="H192" s="8">
        <v>0.48499999999999999</v>
      </c>
      <c r="I192" s="8">
        <v>0.66830165542611897</v>
      </c>
      <c r="J192" s="8">
        <v>8.8999999999999996E-2</v>
      </c>
      <c r="K192" s="8">
        <v>0.10289017341040461</v>
      </c>
      <c r="L192" s="8">
        <v>0.72950819672131151</v>
      </c>
      <c r="M192" s="8">
        <v>8.8902513795217658E-2</v>
      </c>
      <c r="N192" s="8">
        <v>1.4948453608247421</v>
      </c>
      <c r="O192" s="8">
        <v>0.16763005780346821</v>
      </c>
      <c r="P192" s="8">
        <v>0.77868852459016391</v>
      </c>
      <c r="Q192" s="8">
        <v>1.5263157894736841</v>
      </c>
      <c r="R192" s="7">
        <v>3</v>
      </c>
      <c r="S192" s="7">
        <v>0</v>
      </c>
      <c r="T192" s="7">
        <v>0</v>
      </c>
      <c r="U192" s="7">
        <v>1</v>
      </c>
      <c r="V192" s="7">
        <v>0</v>
      </c>
      <c r="W192" s="7">
        <v>0</v>
      </c>
      <c r="X192" s="7">
        <v>0</v>
      </c>
      <c r="Y192" s="7">
        <v>0</v>
      </c>
    </row>
    <row r="193" spans="1:25" x14ac:dyDescent="0.25">
      <c r="A193" s="13" t="s">
        <v>258</v>
      </c>
      <c r="B193" s="8">
        <v>2.06</v>
      </c>
      <c r="C193" s="8">
        <v>0.12</v>
      </c>
      <c r="D193" s="8">
        <v>0.810126582278481</v>
      </c>
      <c r="E193" s="8">
        <v>0.67088607594936711</v>
      </c>
      <c r="F193" s="8">
        <v>0.25</v>
      </c>
      <c r="G193" s="8">
        <v>7.0000000000000007E-2</v>
      </c>
      <c r="H193" s="8">
        <v>0.45</v>
      </c>
      <c r="I193" s="8">
        <v>0.74285714285714288</v>
      </c>
      <c r="J193" s="8">
        <v>0.09</v>
      </c>
      <c r="K193" s="8">
        <v>0.11392405063291139</v>
      </c>
      <c r="L193" s="8">
        <v>0.75</v>
      </c>
      <c r="M193" s="8">
        <v>0.1142857142857143</v>
      </c>
      <c r="N193" s="8">
        <v>1.7777777777777779</v>
      </c>
      <c r="O193" s="8">
        <v>0.20253164556962025</v>
      </c>
      <c r="P193" s="8"/>
      <c r="Q193" s="8"/>
      <c r="R193" s="7">
        <v>3</v>
      </c>
      <c r="S193" s="7">
        <v>0</v>
      </c>
      <c r="T193" s="7">
        <v>0</v>
      </c>
      <c r="U193" s="7">
        <v>1</v>
      </c>
      <c r="V193" s="7">
        <v>0</v>
      </c>
      <c r="W193" s="7">
        <v>0</v>
      </c>
      <c r="X193" s="7">
        <v>0</v>
      </c>
      <c r="Y193" s="7">
        <v>0</v>
      </c>
    </row>
    <row r="194" spans="1:25" x14ac:dyDescent="0.25">
      <c r="A194" s="13" t="s">
        <v>259</v>
      </c>
      <c r="B194" s="8">
        <v>1.76</v>
      </c>
      <c r="C194" s="8">
        <v>0.11</v>
      </c>
      <c r="D194" s="8">
        <v>0.70270270270270274</v>
      </c>
      <c r="E194" s="8">
        <v>0.68918918918918926</v>
      </c>
      <c r="F194" s="8">
        <v>0.24</v>
      </c>
      <c r="G194" s="8">
        <v>7.0000000000000007E-2</v>
      </c>
      <c r="H194" s="8">
        <v>0.42</v>
      </c>
      <c r="I194" s="8">
        <v>0.58992805755395672</v>
      </c>
      <c r="J194" s="8">
        <v>0.08</v>
      </c>
      <c r="K194" s="8">
        <v>0.10810810810810811</v>
      </c>
      <c r="L194" s="8">
        <v>0.72727272727272729</v>
      </c>
      <c r="M194" s="8">
        <v>0.10791366906474818</v>
      </c>
      <c r="N194" s="8">
        <v>1.875</v>
      </c>
      <c r="O194" s="8">
        <v>0.20270270270270269</v>
      </c>
      <c r="P194" s="8">
        <v>0.79999999999999993</v>
      </c>
      <c r="Q194" s="8">
        <v>1.875</v>
      </c>
      <c r="R194" s="7">
        <v>3</v>
      </c>
      <c r="S194" s="7">
        <v>0</v>
      </c>
      <c r="T194" s="7">
        <v>0</v>
      </c>
      <c r="U194" s="7">
        <v>1</v>
      </c>
      <c r="V194" s="7">
        <v>0</v>
      </c>
      <c r="W194" s="7">
        <v>0</v>
      </c>
      <c r="X194" s="7">
        <v>0</v>
      </c>
      <c r="Y194" s="7">
        <v>0</v>
      </c>
    </row>
    <row r="195" spans="1:25" x14ac:dyDescent="0.25">
      <c r="A195" s="13" t="s">
        <v>260</v>
      </c>
      <c r="B195" s="8">
        <v>1.38</v>
      </c>
      <c r="C195" s="8">
        <v>0.12</v>
      </c>
      <c r="D195" s="8">
        <v>0.73749999999999993</v>
      </c>
      <c r="E195" s="8">
        <v>0.70000000000000007</v>
      </c>
      <c r="F195" s="8">
        <v>0.25</v>
      </c>
      <c r="G195" s="8">
        <v>0.06</v>
      </c>
      <c r="H195" s="8">
        <v>0.44</v>
      </c>
      <c r="I195" s="8">
        <v>0.71111111111111103</v>
      </c>
      <c r="J195" s="8">
        <v>0.08</v>
      </c>
      <c r="K195" s="8">
        <v>9.9999999999999992E-2</v>
      </c>
      <c r="L195" s="8">
        <v>0.66666666666666674</v>
      </c>
      <c r="M195" s="8">
        <v>0.11851851851851851</v>
      </c>
      <c r="N195" s="8">
        <v>2.2857142857142856</v>
      </c>
      <c r="O195" s="8">
        <v>0.19999999999999998</v>
      </c>
      <c r="P195" s="8">
        <v>0.81818181818181812</v>
      </c>
      <c r="Q195" s="8">
        <v>1.7777777777777779</v>
      </c>
      <c r="R195" s="7">
        <v>3</v>
      </c>
      <c r="S195" s="7">
        <v>0</v>
      </c>
      <c r="T195" s="7">
        <v>0</v>
      </c>
      <c r="U195" s="7">
        <v>1</v>
      </c>
      <c r="V195" s="7">
        <v>0</v>
      </c>
      <c r="W195" s="7">
        <v>0</v>
      </c>
      <c r="X195" s="7">
        <v>0</v>
      </c>
      <c r="Y195" s="7">
        <v>0</v>
      </c>
    </row>
    <row r="196" spans="1:25" x14ac:dyDescent="0.25">
      <c r="A196" s="13" t="s">
        <v>261</v>
      </c>
      <c r="B196" s="8">
        <v>1.69</v>
      </c>
      <c r="C196" s="8">
        <v>0.12</v>
      </c>
      <c r="D196" s="8">
        <v>0.73333333333333339</v>
      </c>
      <c r="E196" s="8">
        <v>0.66666666666666663</v>
      </c>
      <c r="F196" s="8">
        <v>0.28000000000000003</v>
      </c>
      <c r="G196" s="8">
        <v>7.0000000000000007E-2</v>
      </c>
      <c r="H196" s="8">
        <v>0.46</v>
      </c>
      <c r="I196" s="8">
        <v>0.62580645161290327</v>
      </c>
      <c r="J196" s="8">
        <v>0.09</v>
      </c>
      <c r="K196" s="8">
        <v>0.12</v>
      </c>
      <c r="L196" s="8">
        <v>0.75</v>
      </c>
      <c r="M196" s="8">
        <v>0.10322580645161292</v>
      </c>
      <c r="N196" s="8">
        <v>1.4545454545454546</v>
      </c>
      <c r="O196" s="8">
        <v>0.21333333333333335</v>
      </c>
      <c r="P196" s="8">
        <v>0.81818181818181812</v>
      </c>
      <c r="Q196" s="8">
        <v>1.7777777777777779</v>
      </c>
      <c r="R196" s="7">
        <v>3</v>
      </c>
      <c r="S196" s="7">
        <v>0</v>
      </c>
      <c r="T196" s="7">
        <v>0</v>
      </c>
      <c r="U196" s="7">
        <v>1</v>
      </c>
      <c r="V196" s="7">
        <v>0</v>
      </c>
      <c r="W196" s="7">
        <v>0</v>
      </c>
      <c r="X196" s="7">
        <v>0</v>
      </c>
      <c r="Y196" s="7">
        <v>0</v>
      </c>
    </row>
    <row r="197" spans="1:25" x14ac:dyDescent="0.25">
      <c r="A197" s="13" t="s">
        <v>262</v>
      </c>
      <c r="B197" s="8">
        <v>1.31</v>
      </c>
      <c r="C197" s="8">
        <v>0.11</v>
      </c>
      <c r="D197" s="8">
        <v>0.73239436619718312</v>
      </c>
      <c r="E197" s="8">
        <v>0.70422535211267612</v>
      </c>
      <c r="F197" s="8">
        <v>0.28000000000000003</v>
      </c>
      <c r="G197" s="8">
        <v>0.08</v>
      </c>
      <c r="H197" s="8">
        <v>0.44</v>
      </c>
      <c r="I197" s="8">
        <v>0.68461538461538463</v>
      </c>
      <c r="J197" s="8">
        <v>0.08</v>
      </c>
      <c r="K197" s="8">
        <v>0.11267605633802817</v>
      </c>
      <c r="L197" s="8">
        <v>0.72727272727272729</v>
      </c>
      <c r="M197" s="8">
        <v>0.1</v>
      </c>
      <c r="N197" s="8">
        <v>1.3</v>
      </c>
      <c r="O197" s="8">
        <v>0.18309859154929578</v>
      </c>
      <c r="P197" s="8">
        <v>0.88888888888888895</v>
      </c>
      <c r="Q197" s="8">
        <v>1.625</v>
      </c>
      <c r="R197" s="7">
        <v>3</v>
      </c>
      <c r="S197" s="7">
        <v>0</v>
      </c>
      <c r="T197" s="7">
        <v>0</v>
      </c>
      <c r="U197" s="7">
        <v>1</v>
      </c>
      <c r="V197" s="7">
        <v>0</v>
      </c>
      <c r="W197" s="7">
        <v>0</v>
      </c>
      <c r="X197" s="7">
        <v>0</v>
      </c>
      <c r="Y197" s="7">
        <v>0</v>
      </c>
    </row>
    <row r="198" spans="1:25" x14ac:dyDescent="0.25">
      <c r="A198" s="13" t="s">
        <v>263</v>
      </c>
      <c r="B198" s="8">
        <v>1.96</v>
      </c>
      <c r="C198" s="8">
        <v>0.12</v>
      </c>
      <c r="D198" s="8">
        <v>0.74683544303797456</v>
      </c>
      <c r="E198" s="8">
        <v>0.70886075949367089</v>
      </c>
      <c r="F198" s="8">
        <v>0.25</v>
      </c>
      <c r="G198" s="8">
        <v>0.09</v>
      </c>
      <c r="H198" s="8">
        <v>0.46</v>
      </c>
      <c r="I198" s="8">
        <v>0.67808219178082196</v>
      </c>
      <c r="J198" s="8">
        <v>0.08</v>
      </c>
      <c r="K198" s="8">
        <v>0.10126582278481013</v>
      </c>
      <c r="L198" s="8">
        <v>0.66666666666666674</v>
      </c>
      <c r="M198" s="8">
        <v>0.10958904109589042</v>
      </c>
      <c r="N198" s="8">
        <v>1.7777777777777779</v>
      </c>
      <c r="O198" s="8">
        <v>0.20253164556962025</v>
      </c>
      <c r="P198" s="8"/>
      <c r="Q198" s="8"/>
      <c r="R198" s="7">
        <v>3</v>
      </c>
      <c r="S198" s="7">
        <v>0</v>
      </c>
      <c r="T198" s="7">
        <v>0</v>
      </c>
      <c r="U198" s="7">
        <v>1</v>
      </c>
      <c r="V198" s="7">
        <v>0</v>
      </c>
      <c r="W198" s="7">
        <v>0</v>
      </c>
      <c r="X198" s="7">
        <v>0</v>
      </c>
      <c r="Y198" s="7">
        <v>0</v>
      </c>
    </row>
    <row r="199" spans="1:25" x14ac:dyDescent="0.25">
      <c r="A199" s="13" t="s">
        <v>264</v>
      </c>
      <c r="B199" s="8">
        <v>1.6700000000000002</v>
      </c>
      <c r="C199" s="8">
        <v>0.1</v>
      </c>
      <c r="D199" s="8">
        <v>0.69620253164556967</v>
      </c>
      <c r="E199" s="8">
        <v>0.68354430379746833</v>
      </c>
      <c r="F199" s="8">
        <v>0.26</v>
      </c>
      <c r="G199" s="8">
        <v>7.0000000000000007E-2</v>
      </c>
      <c r="H199" s="8">
        <v>0.44</v>
      </c>
      <c r="I199" s="8">
        <v>0.70769230769230784</v>
      </c>
      <c r="J199" s="8">
        <v>0.08</v>
      </c>
      <c r="K199" s="8">
        <v>0.10126582278481013</v>
      </c>
      <c r="L199" s="8">
        <v>0.79999999999999993</v>
      </c>
      <c r="M199" s="8">
        <v>0.11538461538461539</v>
      </c>
      <c r="N199" s="8">
        <v>1.6666666666666667</v>
      </c>
      <c r="O199" s="8">
        <v>0.18987341772151897</v>
      </c>
      <c r="P199" s="8"/>
      <c r="Q199" s="8"/>
      <c r="R199" s="7">
        <v>3</v>
      </c>
      <c r="S199" s="7">
        <v>0</v>
      </c>
      <c r="T199" s="7">
        <v>0</v>
      </c>
      <c r="U199" s="7">
        <v>1</v>
      </c>
      <c r="V199" s="7">
        <v>0</v>
      </c>
      <c r="W199" s="7">
        <v>0</v>
      </c>
      <c r="X199" s="7">
        <v>0</v>
      </c>
      <c r="Y199" s="7">
        <v>0</v>
      </c>
    </row>
    <row r="200" spans="1:25" x14ac:dyDescent="0.25">
      <c r="A200" s="13" t="s">
        <v>265</v>
      </c>
      <c r="B200" s="8">
        <v>1.2599999999999998</v>
      </c>
      <c r="C200" s="8">
        <v>0.12</v>
      </c>
      <c r="D200" s="8">
        <v>0.78082191780821908</v>
      </c>
      <c r="E200" s="8">
        <v>0.67123287671232879</v>
      </c>
      <c r="F200" s="8">
        <v>0.25</v>
      </c>
      <c r="G200" s="8">
        <v>7.0000000000000007E-2</v>
      </c>
      <c r="H200" s="8">
        <v>0.41</v>
      </c>
      <c r="I200" s="8">
        <v>0.69841269841269837</v>
      </c>
      <c r="J200" s="8">
        <v>0.08</v>
      </c>
      <c r="K200" s="8">
        <v>0.10958904109589042</v>
      </c>
      <c r="L200" s="8">
        <v>0.66666666666666674</v>
      </c>
      <c r="M200" s="8">
        <v>0.10317460317460318</v>
      </c>
      <c r="N200" s="8">
        <v>2.166666666666667</v>
      </c>
      <c r="O200" s="8">
        <v>0.17808219178082194</v>
      </c>
      <c r="P200" s="8"/>
      <c r="Q200" s="8"/>
      <c r="R200" s="7">
        <v>3</v>
      </c>
      <c r="S200" s="7">
        <v>0</v>
      </c>
      <c r="T200" s="7">
        <v>0</v>
      </c>
      <c r="U200" s="7">
        <v>1</v>
      </c>
      <c r="V200" s="7">
        <v>0</v>
      </c>
      <c r="W200" s="7">
        <v>0</v>
      </c>
      <c r="X200" s="7">
        <v>0</v>
      </c>
      <c r="Y200" s="7">
        <v>0</v>
      </c>
    </row>
    <row r="201" spans="1:25" x14ac:dyDescent="0.25">
      <c r="A201" s="13" t="s">
        <v>266</v>
      </c>
      <c r="B201" s="8">
        <v>1.78</v>
      </c>
      <c r="C201" s="8">
        <v>0.1</v>
      </c>
      <c r="D201" s="8">
        <v>0.70833333333333337</v>
      </c>
      <c r="E201" s="8">
        <v>0.63888888888888895</v>
      </c>
      <c r="F201" s="8">
        <v>0.25</v>
      </c>
      <c r="G201" s="8">
        <v>7.0000000000000007E-2</v>
      </c>
      <c r="H201" s="8">
        <v>0.44</v>
      </c>
      <c r="I201" s="8">
        <v>0.56666666666666665</v>
      </c>
      <c r="J201" s="8">
        <v>0.08</v>
      </c>
      <c r="K201" s="8">
        <v>0.11111111111111112</v>
      </c>
      <c r="L201" s="8">
        <v>0.79999999999999993</v>
      </c>
      <c r="M201" s="8">
        <v>0.12</v>
      </c>
      <c r="N201" s="8">
        <v>2.25</v>
      </c>
      <c r="O201" s="8">
        <v>0.25</v>
      </c>
      <c r="P201" s="8">
        <v>1</v>
      </c>
      <c r="Q201" s="8">
        <v>2</v>
      </c>
      <c r="R201" s="7">
        <v>3</v>
      </c>
      <c r="S201" s="7">
        <v>0</v>
      </c>
      <c r="T201" s="7">
        <v>0</v>
      </c>
      <c r="U201" s="7">
        <v>1</v>
      </c>
      <c r="V201" s="7">
        <v>0</v>
      </c>
      <c r="W201" s="7">
        <v>0</v>
      </c>
      <c r="X201" s="7">
        <v>0</v>
      </c>
      <c r="Y201" s="7">
        <v>0</v>
      </c>
    </row>
    <row r="202" spans="1:25" x14ac:dyDescent="0.25">
      <c r="A202" s="13" t="s">
        <v>267</v>
      </c>
      <c r="B202" s="8">
        <v>1.329</v>
      </c>
      <c r="C202" s="8">
        <v>0.16500000000000001</v>
      </c>
      <c r="D202" s="8">
        <v>0.85644171779141109</v>
      </c>
      <c r="E202" s="8">
        <v>0.88098159509202456</v>
      </c>
      <c r="F202" s="8">
        <v>0.32</v>
      </c>
      <c r="G202" s="8">
        <v>0.13900000000000001</v>
      </c>
      <c r="H202" s="8">
        <v>0.65800000000000003</v>
      </c>
      <c r="I202" s="8">
        <v>0.46728971962616828</v>
      </c>
      <c r="J202" s="8"/>
      <c r="K202" s="8"/>
      <c r="L202" s="8"/>
      <c r="M202" s="8">
        <v>8.8785046728971972E-2</v>
      </c>
      <c r="N202" s="8">
        <v>3.166666666666667</v>
      </c>
      <c r="O202" s="8">
        <v>0.27975460122699392</v>
      </c>
      <c r="P202" s="8"/>
      <c r="Q202" s="8">
        <v>1.52</v>
      </c>
      <c r="R202" s="7">
        <v>3</v>
      </c>
      <c r="S202" s="7">
        <v>0</v>
      </c>
      <c r="T202" s="7">
        <v>1</v>
      </c>
      <c r="U202" s="7">
        <v>0</v>
      </c>
      <c r="V202" s="7">
        <v>0</v>
      </c>
      <c r="W202" s="7">
        <v>1</v>
      </c>
      <c r="X202" s="7">
        <v>0</v>
      </c>
      <c r="Y202" s="7">
        <v>0</v>
      </c>
    </row>
    <row r="203" spans="1:25" x14ac:dyDescent="0.25">
      <c r="A203" s="13" t="s">
        <v>68</v>
      </c>
      <c r="B203" s="8">
        <v>1.347</v>
      </c>
      <c r="C203" s="8">
        <v>0.17199999999999999</v>
      </c>
      <c r="D203" s="8">
        <v>0.86907730673316697</v>
      </c>
      <c r="E203" s="8">
        <v>0.84039900249376565</v>
      </c>
      <c r="F203" s="8">
        <v>0.34</v>
      </c>
      <c r="G203" s="8">
        <v>0.157</v>
      </c>
      <c r="H203" s="8">
        <v>0.65300000000000002</v>
      </c>
      <c r="I203" s="8">
        <v>0.41155234657039702</v>
      </c>
      <c r="J203" s="8"/>
      <c r="K203" s="8"/>
      <c r="L203" s="8"/>
      <c r="M203" s="8">
        <v>8.3754512635379058E-2</v>
      </c>
      <c r="N203" s="8">
        <v>1.8560000000000001</v>
      </c>
      <c r="O203" s="8">
        <v>0.2892768079800499</v>
      </c>
      <c r="P203" s="8"/>
      <c r="Q203" s="8">
        <v>1.4777070063694269</v>
      </c>
      <c r="R203" s="7">
        <v>3</v>
      </c>
      <c r="S203" s="7">
        <v>0</v>
      </c>
      <c r="T203" s="7">
        <v>1</v>
      </c>
      <c r="U203" s="7">
        <v>0</v>
      </c>
      <c r="V203" s="7">
        <v>0</v>
      </c>
      <c r="W203" s="7">
        <v>1</v>
      </c>
      <c r="X203" s="7">
        <v>0</v>
      </c>
      <c r="Y203" s="7">
        <v>0</v>
      </c>
    </row>
    <row r="204" spans="1:25" x14ac:dyDescent="0.25">
      <c r="A204" s="13" t="s">
        <v>67</v>
      </c>
      <c r="B204" s="8">
        <v>0.998</v>
      </c>
      <c r="C204" s="8">
        <v>0.152</v>
      </c>
      <c r="D204" s="8">
        <v>0.66877370417193427</v>
      </c>
      <c r="E204" s="8">
        <v>0.67003792667509487</v>
      </c>
      <c r="F204" s="8">
        <v>0.33</v>
      </c>
      <c r="G204" s="8">
        <v>0.17399999999999999</v>
      </c>
      <c r="H204" s="8">
        <v>0.60599999999999998</v>
      </c>
      <c r="I204" s="8">
        <v>0.48297703879651627</v>
      </c>
      <c r="J204" s="8"/>
      <c r="K204" s="8"/>
      <c r="L204" s="8"/>
      <c r="M204" s="8">
        <v>0.10530482977038798</v>
      </c>
      <c r="N204" s="8">
        <v>1.9275362318840579</v>
      </c>
      <c r="O204" s="8">
        <v>0.33628318584070799</v>
      </c>
      <c r="P204" s="8">
        <v>0.6875</v>
      </c>
      <c r="Q204" s="8">
        <v>2.4181818181818184</v>
      </c>
      <c r="R204" s="7">
        <v>3</v>
      </c>
      <c r="S204" s="7">
        <v>0</v>
      </c>
      <c r="T204" s="7">
        <v>1</v>
      </c>
      <c r="U204" s="7">
        <v>0</v>
      </c>
      <c r="V204" s="7">
        <v>0</v>
      </c>
      <c r="W204" s="7">
        <v>1</v>
      </c>
      <c r="X204" s="7">
        <v>0</v>
      </c>
      <c r="Y204" s="7">
        <v>0</v>
      </c>
    </row>
    <row r="205" spans="1:25" x14ac:dyDescent="0.25">
      <c r="A205" s="13" t="s">
        <v>66</v>
      </c>
      <c r="B205" s="8">
        <v>1.115</v>
      </c>
      <c r="C205" s="8">
        <v>0.154</v>
      </c>
      <c r="D205" s="8">
        <v>0.65585168018539974</v>
      </c>
      <c r="E205" s="8">
        <v>0.68713789107763612</v>
      </c>
      <c r="F205" s="8">
        <v>0.33800000000000002</v>
      </c>
      <c r="G205" s="8">
        <v>0.126</v>
      </c>
      <c r="H205" s="8">
        <v>0.54800000000000004</v>
      </c>
      <c r="I205" s="8">
        <v>0.5625</v>
      </c>
      <c r="J205" s="8">
        <v>0.111</v>
      </c>
      <c r="K205" s="8">
        <v>0.12862108922363846</v>
      </c>
      <c r="L205" s="8">
        <v>0.72077922077922085</v>
      </c>
      <c r="M205" s="8">
        <v>0.12318840579710144</v>
      </c>
      <c r="N205" s="8">
        <v>3.0222222222222226</v>
      </c>
      <c r="O205" s="8">
        <v>0.3151796060254925</v>
      </c>
      <c r="P205" s="8">
        <v>0.6875</v>
      </c>
      <c r="Q205" s="8">
        <v>2.4727272727272731</v>
      </c>
      <c r="R205" s="7">
        <v>3</v>
      </c>
      <c r="S205" s="7">
        <v>0</v>
      </c>
      <c r="T205" s="7">
        <v>1</v>
      </c>
      <c r="U205" s="7">
        <v>0</v>
      </c>
      <c r="V205" s="7">
        <v>0</v>
      </c>
      <c r="W205" s="7">
        <v>1</v>
      </c>
      <c r="X205" s="7">
        <v>0</v>
      </c>
      <c r="Y205" s="7">
        <v>0</v>
      </c>
    </row>
    <row r="206" spans="1:25" x14ac:dyDescent="0.25">
      <c r="A206" s="13" t="s">
        <v>268</v>
      </c>
      <c r="B206" s="8">
        <v>1.163</v>
      </c>
      <c r="C206" s="8">
        <v>0.17100000000000001</v>
      </c>
      <c r="D206" s="8">
        <v>0.71234428086070212</v>
      </c>
      <c r="E206" s="8">
        <v>0.6885617214043035</v>
      </c>
      <c r="F206" s="8">
        <v>0.36799999999999999</v>
      </c>
      <c r="G206" s="8">
        <v>0.127</v>
      </c>
      <c r="H206" s="8">
        <v>0.60399999999999998</v>
      </c>
      <c r="I206" s="8">
        <v>0.59400179051029545</v>
      </c>
      <c r="J206" s="8">
        <v>0.11799999999999999</v>
      </c>
      <c r="K206" s="8">
        <v>0.13363533408833522</v>
      </c>
      <c r="L206" s="8">
        <v>0.6900584795321637</v>
      </c>
      <c r="M206" s="8">
        <v>0.11593554162936437</v>
      </c>
      <c r="N206" s="8">
        <v>2.78494623655914</v>
      </c>
      <c r="O206" s="8">
        <v>0.29331823329558326</v>
      </c>
      <c r="P206" s="8"/>
      <c r="Q206" s="8">
        <v>1.7986111111111114</v>
      </c>
      <c r="R206" s="7">
        <v>3</v>
      </c>
      <c r="S206" s="7">
        <v>0</v>
      </c>
      <c r="T206" s="7">
        <v>1</v>
      </c>
      <c r="U206" s="7">
        <v>0</v>
      </c>
      <c r="V206" s="7">
        <v>0</v>
      </c>
      <c r="W206" s="7">
        <v>1</v>
      </c>
      <c r="X206" s="7">
        <v>0</v>
      </c>
      <c r="Y206" s="7">
        <v>0</v>
      </c>
    </row>
    <row r="207" spans="1:25" x14ac:dyDescent="0.25">
      <c r="A207" s="13" t="s">
        <v>269</v>
      </c>
      <c r="B207" s="8">
        <v>0.95200000000000007</v>
      </c>
      <c r="C207" s="8">
        <v>0.14099999999999999</v>
      </c>
      <c r="D207" s="8">
        <v>0.60637087599544937</v>
      </c>
      <c r="E207" s="8">
        <v>0.64960182025028435</v>
      </c>
      <c r="F207" s="8">
        <v>0.36399999999999999</v>
      </c>
      <c r="G207" s="8">
        <v>0.16700000000000001</v>
      </c>
      <c r="H207" s="8">
        <v>0.61499999999999999</v>
      </c>
      <c r="I207" s="8">
        <v>0.50824402308326466</v>
      </c>
      <c r="J207" s="8">
        <v>0.11899999999999999</v>
      </c>
      <c r="K207" s="8">
        <v>0.13538111490329921</v>
      </c>
      <c r="L207" s="8">
        <v>0.84397163120567376</v>
      </c>
      <c r="M207" s="8">
        <v>0.1133553173948887</v>
      </c>
      <c r="N207" s="8">
        <v>2.291666666666667</v>
      </c>
      <c r="O207" s="8">
        <v>0.31285551763367464</v>
      </c>
      <c r="P207" s="8">
        <v>0.97916666666666663</v>
      </c>
      <c r="Q207" s="8">
        <v>1.9503546099290783</v>
      </c>
      <c r="R207" s="7">
        <v>3</v>
      </c>
      <c r="S207" s="7">
        <v>0</v>
      </c>
      <c r="T207" s="7">
        <v>1</v>
      </c>
      <c r="U207" s="7">
        <v>0</v>
      </c>
      <c r="V207" s="7">
        <v>0</v>
      </c>
      <c r="W207" s="7">
        <v>1</v>
      </c>
      <c r="X207" s="7">
        <v>0</v>
      </c>
      <c r="Y207" s="7">
        <v>0</v>
      </c>
    </row>
    <row r="208" spans="1:25" x14ac:dyDescent="0.25">
      <c r="A208" s="13" t="s">
        <v>270</v>
      </c>
      <c r="B208" s="8">
        <v>1.1909999999999998</v>
      </c>
      <c r="C208" s="8">
        <v>0.15</v>
      </c>
      <c r="D208" s="8">
        <v>0.6689113355780022</v>
      </c>
      <c r="E208" s="8">
        <v>0.63973063973063971</v>
      </c>
      <c r="F208" s="8">
        <v>0.34499999999999997</v>
      </c>
      <c r="G208" s="8">
        <v>0.17399999999999999</v>
      </c>
      <c r="H208" s="8">
        <v>0.65100000000000002</v>
      </c>
      <c r="I208" s="8">
        <v>0.50124955373081048</v>
      </c>
      <c r="J208" s="8">
        <v>0.13100000000000001</v>
      </c>
      <c r="K208" s="8">
        <v>0.14702581369248036</v>
      </c>
      <c r="L208" s="8">
        <v>0.87333333333333341</v>
      </c>
      <c r="M208" s="8">
        <v>9.7108175651553039E-2</v>
      </c>
      <c r="N208" s="8">
        <v>2.1760000000000002</v>
      </c>
      <c r="O208" s="8">
        <v>0.30527497194163861</v>
      </c>
      <c r="P208" s="8">
        <v>0.95569620253164556</v>
      </c>
      <c r="Q208" s="8">
        <v>1.8013245033112584</v>
      </c>
      <c r="R208" s="7">
        <v>3</v>
      </c>
      <c r="S208" s="7">
        <v>0</v>
      </c>
      <c r="T208" s="7">
        <v>1</v>
      </c>
      <c r="U208" s="7">
        <v>0</v>
      </c>
      <c r="V208" s="7">
        <v>0</v>
      </c>
      <c r="W208" s="7">
        <v>1</v>
      </c>
      <c r="X208" s="7">
        <v>0</v>
      </c>
      <c r="Y208" s="7">
        <v>0</v>
      </c>
    </row>
    <row r="209" spans="1:25" x14ac:dyDescent="0.25">
      <c r="A209" s="13" t="s">
        <v>271</v>
      </c>
      <c r="B209" s="8">
        <v>1.2689999999999999</v>
      </c>
      <c r="C209" s="8">
        <v>0.154</v>
      </c>
      <c r="D209" s="8">
        <v>0.65031982942430711</v>
      </c>
      <c r="E209" s="8">
        <v>0.68869936034115142</v>
      </c>
      <c r="F209" s="8">
        <v>0.35099999999999998</v>
      </c>
      <c r="G209" s="8">
        <v>0.12</v>
      </c>
      <c r="H209" s="8">
        <v>0.68200000000000005</v>
      </c>
      <c r="I209" s="8">
        <v>0.55454545454545445</v>
      </c>
      <c r="J209" s="8">
        <v>0.13600000000000001</v>
      </c>
      <c r="K209" s="8">
        <v>0.14498933901918978</v>
      </c>
      <c r="L209" s="8">
        <v>0.88311688311688319</v>
      </c>
      <c r="M209" s="8">
        <v>0.1067193675889328</v>
      </c>
      <c r="N209" s="8">
        <v>3.1034482758620694</v>
      </c>
      <c r="O209" s="8">
        <v>0.28784648187633266</v>
      </c>
      <c r="P209" s="8">
        <v>1.1014492753623186</v>
      </c>
      <c r="Q209" s="8">
        <v>1.7763157894736843</v>
      </c>
      <c r="R209" s="7">
        <v>3</v>
      </c>
      <c r="S209" s="7">
        <v>0</v>
      </c>
      <c r="T209" s="7">
        <v>1</v>
      </c>
      <c r="U209" s="7">
        <v>0</v>
      </c>
      <c r="V209" s="7">
        <v>0</v>
      </c>
      <c r="W209" s="7">
        <v>1</v>
      </c>
      <c r="X209" s="7">
        <v>0</v>
      </c>
      <c r="Y209" s="7">
        <v>0</v>
      </c>
    </row>
    <row r="210" spans="1:25" x14ac:dyDescent="0.25">
      <c r="A210" s="13" t="s">
        <v>272</v>
      </c>
      <c r="B210" s="8">
        <v>1.1719999999999999</v>
      </c>
      <c r="C210" s="8">
        <v>0.16300000000000001</v>
      </c>
      <c r="D210" s="8">
        <v>0.66127292340884569</v>
      </c>
      <c r="E210" s="8">
        <v>0.65372168284789633</v>
      </c>
      <c r="F210" s="8">
        <v>0.33600000000000002</v>
      </c>
      <c r="G210" s="8">
        <v>0.13600000000000001</v>
      </c>
      <c r="H210" s="8">
        <v>0.59499999999999997</v>
      </c>
      <c r="I210" s="8">
        <v>0.55120213713268029</v>
      </c>
      <c r="J210" s="8">
        <v>0.13</v>
      </c>
      <c r="K210" s="8">
        <v>0.14023732470334413</v>
      </c>
      <c r="L210" s="8">
        <v>0.7975460122699386</v>
      </c>
      <c r="M210" s="8">
        <v>0.10908281389136242</v>
      </c>
      <c r="N210" s="8">
        <v>3.141025641025641</v>
      </c>
      <c r="O210" s="8">
        <v>0.26429341963322545</v>
      </c>
      <c r="P210" s="8">
        <v>0.99275362318840576</v>
      </c>
      <c r="Q210" s="8">
        <v>1.7883211678832116</v>
      </c>
      <c r="R210" s="7">
        <v>3</v>
      </c>
      <c r="S210" s="7">
        <v>0</v>
      </c>
      <c r="T210" s="7">
        <v>1</v>
      </c>
      <c r="U210" s="7">
        <v>0</v>
      </c>
      <c r="V210" s="7">
        <v>0</v>
      </c>
      <c r="W210" s="7">
        <v>1</v>
      </c>
      <c r="X210" s="7">
        <v>0</v>
      </c>
      <c r="Y210" s="7">
        <v>0</v>
      </c>
    </row>
    <row r="211" spans="1:25" x14ac:dyDescent="0.25">
      <c r="A211" s="13" t="s">
        <v>273</v>
      </c>
      <c r="B211" s="8">
        <v>0.94899999999999995</v>
      </c>
      <c r="C211" s="8">
        <v>0.13500000000000001</v>
      </c>
      <c r="D211" s="8">
        <v>0.72490221642764019</v>
      </c>
      <c r="E211" s="8">
        <v>0.76662320730117339</v>
      </c>
      <c r="F211" s="8">
        <v>0.32400000000000001</v>
      </c>
      <c r="G211" s="8">
        <v>0.125</v>
      </c>
      <c r="H211" s="8">
        <v>0.499</v>
      </c>
      <c r="I211" s="8">
        <v>0.48630742049469966</v>
      </c>
      <c r="J211" s="8">
        <v>9.7000000000000003E-2</v>
      </c>
      <c r="K211" s="8">
        <v>0.12646675358539766</v>
      </c>
      <c r="L211" s="8">
        <v>0.71851851851851845</v>
      </c>
      <c r="M211" s="8">
        <v>9.1431095406360421E-2</v>
      </c>
      <c r="N211" s="8">
        <v>2.9571428571428569</v>
      </c>
      <c r="O211" s="8">
        <v>0.26988265971316816</v>
      </c>
      <c r="P211" s="8">
        <v>0.87401574803149606</v>
      </c>
      <c r="Q211" s="8">
        <v>1.8648648648648647</v>
      </c>
      <c r="R211" s="7">
        <v>3</v>
      </c>
      <c r="S211" s="7">
        <v>0</v>
      </c>
      <c r="T211" s="7">
        <v>1</v>
      </c>
      <c r="U211" s="7">
        <v>0</v>
      </c>
      <c r="V211" s="7">
        <v>0</v>
      </c>
      <c r="W211" s="7">
        <v>1</v>
      </c>
      <c r="X211" s="7">
        <v>0</v>
      </c>
      <c r="Y211" s="7">
        <v>0</v>
      </c>
    </row>
    <row r="212" spans="1:25" x14ac:dyDescent="0.25">
      <c r="A212" s="13" t="s">
        <v>274</v>
      </c>
      <c r="B212" s="8">
        <v>1.3340000000000001</v>
      </c>
      <c r="C212" s="8">
        <v>0.14899999999999999</v>
      </c>
      <c r="D212" s="8">
        <v>0.79265402843601906</v>
      </c>
      <c r="E212" s="8">
        <v>0.75947867298578198</v>
      </c>
      <c r="F212" s="8">
        <v>0.32600000000000001</v>
      </c>
      <c r="G212" s="8">
        <v>0.121</v>
      </c>
      <c r="H212" s="8">
        <v>0.57999999999999996</v>
      </c>
      <c r="I212" s="8">
        <v>0.52144939608496466</v>
      </c>
      <c r="J212" s="8">
        <v>0.124</v>
      </c>
      <c r="K212" s="8">
        <v>0.14691943127962084</v>
      </c>
      <c r="L212" s="8">
        <v>0.83221476510067116</v>
      </c>
      <c r="M212" s="8">
        <v>9.5793419408579772E-2</v>
      </c>
      <c r="N212" s="8">
        <v>2.9487179487179489</v>
      </c>
      <c r="O212" s="8">
        <v>0.27251184834123227</v>
      </c>
      <c r="P212" s="8">
        <v>0.78125</v>
      </c>
      <c r="Q212" s="8">
        <v>2.2999999999999998</v>
      </c>
      <c r="R212" s="7">
        <v>3</v>
      </c>
      <c r="S212" s="7">
        <v>0</v>
      </c>
      <c r="T212" s="7">
        <v>1</v>
      </c>
      <c r="U212" s="7">
        <v>0</v>
      </c>
      <c r="V212" s="7">
        <v>0</v>
      </c>
      <c r="W212" s="7">
        <v>1</v>
      </c>
      <c r="X212" s="7">
        <v>0</v>
      </c>
      <c r="Y212" s="7">
        <v>0</v>
      </c>
    </row>
    <row r="213" spans="1:25" x14ac:dyDescent="0.25">
      <c r="A213" s="13" t="s">
        <v>275</v>
      </c>
      <c r="B213" s="8">
        <v>1.496</v>
      </c>
      <c r="C213" s="8">
        <v>0.17</v>
      </c>
      <c r="D213" s="8">
        <v>0.72530864197530864</v>
      </c>
      <c r="E213" s="8">
        <v>0.80144032921810704</v>
      </c>
      <c r="F213" s="8">
        <v>0.38800000000000001</v>
      </c>
      <c r="G213" s="8">
        <v>0.155</v>
      </c>
      <c r="H213" s="8">
        <v>0.72399999999999998</v>
      </c>
      <c r="I213" s="8">
        <v>0.59918864097363089</v>
      </c>
      <c r="J213" s="8">
        <v>0.121</v>
      </c>
      <c r="K213" s="8">
        <v>0.12448559670781893</v>
      </c>
      <c r="L213" s="8">
        <v>0.71176470588235285</v>
      </c>
      <c r="M213" s="8">
        <v>0.12210953346855984</v>
      </c>
      <c r="N213" s="8">
        <v>2.7870370370370368</v>
      </c>
      <c r="O213" s="8">
        <v>0.30967078189300412</v>
      </c>
      <c r="P213" s="8"/>
      <c r="Q213" s="8"/>
      <c r="R213" s="7">
        <v>3</v>
      </c>
      <c r="S213" s="7">
        <v>0</v>
      </c>
      <c r="T213" s="7">
        <v>1</v>
      </c>
      <c r="U213" s="7">
        <v>0</v>
      </c>
      <c r="V213" s="7">
        <v>0</v>
      </c>
      <c r="W213" s="7">
        <v>1</v>
      </c>
      <c r="X213" s="7">
        <v>0</v>
      </c>
      <c r="Y213" s="7">
        <v>0</v>
      </c>
    </row>
    <row r="214" spans="1:25" x14ac:dyDescent="0.25">
      <c r="A214" s="26" t="s">
        <v>276</v>
      </c>
      <c r="B214" s="27">
        <v>1.0049999999999999</v>
      </c>
      <c r="C214" s="27">
        <v>0.16800000000000001</v>
      </c>
      <c r="D214" s="27">
        <v>0.80361173814898412</v>
      </c>
      <c r="E214" s="27">
        <v>0.79796839729119629</v>
      </c>
      <c r="F214" s="27">
        <v>0.33400000000000002</v>
      </c>
      <c r="G214" s="27">
        <v>0.14099999999999999</v>
      </c>
      <c r="H214" s="27">
        <v>0.58799999999999997</v>
      </c>
      <c r="I214" s="27">
        <v>0.53980099502487566</v>
      </c>
      <c r="J214" s="27">
        <v>0.124</v>
      </c>
      <c r="K214" s="27">
        <v>0.1399548532731377</v>
      </c>
      <c r="L214" s="27">
        <v>0.73809523809523803</v>
      </c>
      <c r="M214" s="27">
        <v>9.5771144278606973E-2</v>
      </c>
      <c r="N214" s="27">
        <v>2.40625</v>
      </c>
      <c r="O214" s="27">
        <v>0.26072234762979685</v>
      </c>
      <c r="P214" s="27">
        <v>0.87301587301587302</v>
      </c>
      <c r="Q214" s="27">
        <v>2.1</v>
      </c>
      <c r="R214" s="28">
        <v>3</v>
      </c>
      <c r="S214" s="28">
        <v>0</v>
      </c>
      <c r="T214" s="28">
        <v>1</v>
      </c>
      <c r="U214" s="28">
        <v>0</v>
      </c>
      <c r="V214" s="28">
        <v>0</v>
      </c>
      <c r="W214" s="28">
        <v>1</v>
      </c>
      <c r="X214" s="28">
        <v>0</v>
      </c>
      <c r="Y214" s="28">
        <v>0</v>
      </c>
    </row>
    <row r="215" spans="1:25" x14ac:dyDescent="0.25">
      <c r="A215" s="10"/>
    </row>
    <row r="217" spans="1:25" x14ac:dyDescent="0.25">
      <c r="B217" s="11" t="s">
        <v>85</v>
      </c>
      <c r="C217" s="11" t="s">
        <v>84</v>
      </c>
      <c r="D217" s="11" t="s">
        <v>83</v>
      </c>
    </row>
    <row r="218" spans="1:25" x14ac:dyDescent="0.25">
      <c r="B218" s="11">
        <v>1</v>
      </c>
      <c r="C218" s="12">
        <v>2.9108900000000002</v>
      </c>
      <c r="D218" s="12">
        <v>50.866</v>
      </c>
      <c r="E218" s="8"/>
    </row>
    <row r="219" spans="1:25" x14ac:dyDescent="0.25">
      <c r="B219" s="11">
        <v>2</v>
      </c>
      <c r="C219" s="12">
        <v>1.13967</v>
      </c>
      <c r="D219" s="12">
        <v>19.914999999999999</v>
      </c>
    </row>
    <row r="220" spans="1:25" x14ac:dyDescent="0.25">
      <c r="B220" s="11">
        <v>3</v>
      </c>
      <c r="C220" s="8">
        <v>0.57264800000000005</v>
      </c>
      <c r="D220" s="8">
        <v>10.007</v>
      </c>
    </row>
    <row r="221" spans="1:25" x14ac:dyDescent="0.25">
      <c r="B221" s="11">
        <v>4</v>
      </c>
      <c r="C221" s="8">
        <v>0.37179099999999998</v>
      </c>
      <c r="D221" s="8">
        <v>6.4969000000000001</v>
      </c>
    </row>
    <row r="222" spans="1:25" x14ac:dyDescent="0.25">
      <c r="B222" s="11">
        <v>5</v>
      </c>
      <c r="C222" s="8">
        <v>0.222973</v>
      </c>
      <c r="D222" s="8">
        <v>3.8963000000000001</v>
      </c>
    </row>
    <row r="223" spans="1:25" x14ac:dyDescent="0.25">
      <c r="B223" s="11">
        <v>6</v>
      </c>
      <c r="C223" s="8">
        <v>0.18179400000000001</v>
      </c>
      <c r="D223" s="8">
        <v>3.1768000000000001</v>
      </c>
    </row>
    <row r="224" spans="1:25" x14ac:dyDescent="0.25">
      <c r="B224" s="11">
        <v>7</v>
      </c>
      <c r="C224" s="8">
        <v>9.5685400000000004E-2</v>
      </c>
      <c r="D224" s="8">
        <v>1.6720999999999999</v>
      </c>
    </row>
    <row r="225" spans="2:4" x14ac:dyDescent="0.25">
      <c r="B225" s="11">
        <v>8</v>
      </c>
      <c r="C225" s="8">
        <v>8.6911199999999994E-2</v>
      </c>
      <c r="D225" s="8">
        <v>1.5186999999999999</v>
      </c>
    </row>
    <row r="226" spans="2:4" x14ac:dyDescent="0.25">
      <c r="B226" s="11">
        <v>9</v>
      </c>
      <c r="C226" s="8">
        <v>5.3268099999999999E-2</v>
      </c>
      <c r="D226" s="8">
        <v>0.93083000000000005</v>
      </c>
    </row>
    <row r="227" spans="2:4" x14ac:dyDescent="0.25">
      <c r="B227" s="11">
        <v>10</v>
      </c>
      <c r="C227" s="8">
        <v>2.5310300000000001E-2</v>
      </c>
      <c r="D227" s="8">
        <v>0.44228000000000001</v>
      </c>
    </row>
    <row r="228" spans="2:4" x14ac:dyDescent="0.25">
      <c r="B228" s="11">
        <v>11</v>
      </c>
      <c r="C228" s="8">
        <v>2.1775900000000001E-2</v>
      </c>
      <c r="D228" s="8">
        <v>0.38052000000000002</v>
      </c>
    </row>
    <row r="229" spans="2:4" x14ac:dyDescent="0.25">
      <c r="B229" s="11">
        <v>12</v>
      </c>
      <c r="C229" s="8">
        <v>1.486E-2</v>
      </c>
      <c r="D229" s="8">
        <v>0.25967000000000001</v>
      </c>
    </row>
    <row r="230" spans="2:4" x14ac:dyDescent="0.25">
      <c r="B230" s="11">
        <v>13</v>
      </c>
      <c r="C230" s="8">
        <v>9.0136299999999999E-3</v>
      </c>
      <c r="D230" s="8">
        <v>0.15751000000000001</v>
      </c>
    </row>
    <row r="231" spans="2:4" x14ac:dyDescent="0.25">
      <c r="B231" s="11">
        <v>14</v>
      </c>
      <c r="C231" s="8">
        <v>5.8101300000000002E-3</v>
      </c>
      <c r="D231" s="8">
        <v>0.10153</v>
      </c>
    </row>
    <row r="232" spans="2:4" x14ac:dyDescent="0.25">
      <c r="B232" s="11">
        <v>15</v>
      </c>
      <c r="C232" s="8">
        <v>5.0583900000000003E-3</v>
      </c>
      <c r="D232" s="8">
        <v>8.8392999999999999E-2</v>
      </c>
    </row>
    <row r="233" spans="2:4" x14ac:dyDescent="0.25">
      <c r="B233" s="11">
        <v>16</v>
      </c>
      <c r="C233" s="8">
        <v>2.7860799999999998E-3</v>
      </c>
      <c r="D233" s="8">
        <v>4.8684999999999999E-2</v>
      </c>
    </row>
    <row r="234" spans="2:4" x14ac:dyDescent="0.25">
      <c r="B234" s="11">
        <v>17</v>
      </c>
      <c r="C234" s="8">
        <v>8.6942599999999997E-4</v>
      </c>
      <c r="D234" s="8">
        <v>1.5193E-2</v>
      </c>
    </row>
    <row r="235" spans="2:4" x14ac:dyDescent="0.25">
      <c r="B235" s="11">
        <v>18</v>
      </c>
      <c r="C235" s="8">
        <v>5.7523899999999996E-4</v>
      </c>
      <c r="D235" s="8">
        <v>1.0052E-2</v>
      </c>
    </row>
    <row r="236" spans="2:4" x14ac:dyDescent="0.25">
      <c r="B236" s="11">
        <v>19</v>
      </c>
      <c r="C236" s="8">
        <v>4.7245399999999997E-4</v>
      </c>
      <c r="D236" s="8">
        <v>8.2559E-3</v>
      </c>
    </row>
    <row r="237" spans="2:4" x14ac:dyDescent="0.25">
      <c r="B237" s="11">
        <v>20</v>
      </c>
      <c r="C237" s="8">
        <v>2.4022E-4</v>
      </c>
      <c r="D237" s="8">
        <v>4.1977000000000004E-3</v>
      </c>
    </row>
    <row r="238" spans="2:4" x14ac:dyDescent="0.25">
      <c r="B238" s="11">
        <v>21</v>
      </c>
      <c r="C238" s="8">
        <v>1.6074899999999999E-4</v>
      </c>
      <c r="D238" s="8">
        <v>2.8089999999999999E-3</v>
      </c>
    </row>
    <row r="239" spans="2:4" x14ac:dyDescent="0.25">
      <c r="B239" s="11">
        <v>22</v>
      </c>
      <c r="C239" s="8">
        <v>3.9682299999999998E-5</v>
      </c>
      <c r="D239" s="8">
        <v>6.9342999999999998E-4</v>
      </c>
    </row>
    <row r="240" spans="2:4" x14ac:dyDescent="0.25">
      <c r="B240" s="11">
        <v>23</v>
      </c>
      <c r="C240" s="8">
        <v>2.6078600000000001E-5</v>
      </c>
      <c r="D240" s="8">
        <v>4.5571000000000001E-4</v>
      </c>
    </row>
    <row r="241" spans="1:25" x14ac:dyDescent="0.25">
      <c r="B241" s="11">
        <v>24</v>
      </c>
      <c r="C241" s="8">
        <v>1.0915E-5</v>
      </c>
      <c r="D241" s="8">
        <v>1.9073000000000001E-4</v>
      </c>
    </row>
    <row r="244" spans="1:25" x14ac:dyDescent="0.25">
      <c r="B244" s="29" t="s">
        <v>65</v>
      </c>
      <c r="C244" s="29" t="s">
        <v>64</v>
      </c>
      <c r="D244" s="29" t="s">
        <v>63</v>
      </c>
      <c r="E244" s="29" t="s">
        <v>62</v>
      </c>
      <c r="F244" s="29" t="s">
        <v>61</v>
      </c>
      <c r="G244" s="29" t="s">
        <v>60</v>
      </c>
      <c r="H244" s="29" t="s">
        <v>59</v>
      </c>
      <c r="I244" s="29" t="s">
        <v>58</v>
      </c>
      <c r="J244" s="29" t="s">
        <v>57</v>
      </c>
      <c r="K244" s="29" t="s">
        <v>56</v>
      </c>
      <c r="L244" s="29" t="s">
        <v>55</v>
      </c>
      <c r="M244" s="29" t="s">
        <v>54</v>
      </c>
      <c r="N244" s="29" t="s">
        <v>53</v>
      </c>
      <c r="O244" s="29" t="s">
        <v>52</v>
      </c>
      <c r="P244" s="29" t="s">
        <v>51</v>
      </c>
      <c r="Q244" s="29" t="s">
        <v>50</v>
      </c>
      <c r="R244" s="29" t="s">
        <v>49</v>
      </c>
      <c r="S244" s="29" t="s">
        <v>48</v>
      </c>
      <c r="T244" s="29" t="s">
        <v>47</v>
      </c>
      <c r="U244" s="29" t="s">
        <v>46</v>
      </c>
      <c r="V244" s="29" t="s">
        <v>45</v>
      </c>
      <c r="W244" s="29" t="s">
        <v>44</v>
      </c>
      <c r="X244" s="29" t="s">
        <v>43</v>
      </c>
      <c r="Y244" s="29" t="s">
        <v>42</v>
      </c>
    </row>
    <row r="245" spans="1:25" x14ac:dyDescent="0.25">
      <c r="A245" s="30" t="s">
        <v>2</v>
      </c>
      <c r="B245" s="12">
        <v>-1.581</v>
      </c>
      <c r="C245" s="12">
        <v>1.6529</v>
      </c>
      <c r="D245" s="8">
        <v>0.85950000000000004</v>
      </c>
      <c r="E245" s="8">
        <v>-0.32651000000000002</v>
      </c>
      <c r="F245" s="8">
        <v>9.7764000000000004E-2</v>
      </c>
      <c r="G245" s="8">
        <v>-0.38980999999999999</v>
      </c>
      <c r="H245" s="8">
        <v>0.54381000000000002</v>
      </c>
      <c r="I245" s="8">
        <v>-4.104E-2</v>
      </c>
      <c r="J245" s="8">
        <v>0.11531</v>
      </c>
      <c r="K245" s="8">
        <v>0.17843999999999999</v>
      </c>
      <c r="L245" s="8">
        <v>-6.3283999999999997E-4</v>
      </c>
      <c r="M245" s="8">
        <v>0.15026999999999999</v>
      </c>
      <c r="N245" s="8">
        <v>-1.1532000000000001E-2</v>
      </c>
      <c r="O245" s="8">
        <v>-4.0619000000000002E-3</v>
      </c>
      <c r="P245" s="8">
        <v>4.6765000000000001E-2</v>
      </c>
      <c r="Q245" s="8">
        <v>-1.9001000000000001E-2</v>
      </c>
      <c r="R245" s="8">
        <v>-2.3351E-2</v>
      </c>
      <c r="S245" s="8">
        <v>2.283E-2</v>
      </c>
      <c r="T245" s="8">
        <v>1.4454E-2</v>
      </c>
      <c r="U245" s="8">
        <v>-8.6990999999999995E-3</v>
      </c>
      <c r="V245" s="8">
        <v>7.7510999999999997E-4</v>
      </c>
      <c r="W245" s="8">
        <v>2.6691000000000002E-3</v>
      </c>
      <c r="X245" s="8">
        <v>-1.7577999999999999E-3</v>
      </c>
      <c r="Y245" s="8">
        <v>-4.7597000000000004E-3</v>
      </c>
    </row>
    <row r="246" spans="1:25" x14ac:dyDescent="0.25">
      <c r="A246" s="30" t="s">
        <v>1</v>
      </c>
      <c r="B246" s="12">
        <v>-1.6763999999999999</v>
      </c>
      <c r="C246" s="12">
        <v>1.6687000000000001</v>
      </c>
      <c r="D246" s="8">
        <v>0.82374999999999998</v>
      </c>
      <c r="E246" s="8">
        <v>-0.16783999999999999</v>
      </c>
      <c r="F246" s="8">
        <v>-0.41932999999999998</v>
      </c>
      <c r="G246" s="8">
        <v>-0.47460999999999998</v>
      </c>
      <c r="H246" s="8">
        <v>0.13250999999999999</v>
      </c>
      <c r="I246" s="8">
        <v>-0.28556999999999999</v>
      </c>
      <c r="J246" s="8">
        <v>0.18101</v>
      </c>
      <c r="K246" s="8">
        <v>0.18607000000000001</v>
      </c>
      <c r="L246" s="8">
        <v>5.5918000000000002E-2</v>
      </c>
      <c r="M246" s="8">
        <v>-3.7802000000000002E-2</v>
      </c>
      <c r="N246" s="8">
        <v>-8.6466000000000001E-2</v>
      </c>
      <c r="O246" s="8">
        <v>0.22042999999999999</v>
      </c>
      <c r="P246" s="8">
        <v>6.8656999999999996E-2</v>
      </c>
      <c r="Q246" s="8">
        <v>5.4467000000000002E-2</v>
      </c>
      <c r="R246" s="8">
        <v>-3.2098000000000002E-2</v>
      </c>
      <c r="S246" s="8">
        <v>-2.8802999999999999E-2</v>
      </c>
      <c r="T246" s="8">
        <v>3.0837E-2</v>
      </c>
      <c r="U246" s="8">
        <v>2.1052999999999999E-2</v>
      </c>
      <c r="V246" s="8">
        <v>2.0466000000000002E-2</v>
      </c>
      <c r="W246" s="8">
        <v>-4.2046000000000002E-3</v>
      </c>
      <c r="X246" s="8">
        <v>-2.7788999999999999E-3</v>
      </c>
      <c r="Y246" s="8">
        <v>-5.5576999999999996E-3</v>
      </c>
    </row>
    <row r="247" spans="1:25" x14ac:dyDescent="0.25">
      <c r="A247" s="30" t="s">
        <v>0</v>
      </c>
      <c r="B247" s="12">
        <v>-1.5976999999999999</v>
      </c>
      <c r="C247" s="12">
        <v>1.7042999999999999</v>
      </c>
      <c r="D247" s="8">
        <v>0.82535000000000003</v>
      </c>
      <c r="E247" s="8">
        <v>-0.24715000000000001</v>
      </c>
      <c r="F247" s="8">
        <v>-2.0582E-2</v>
      </c>
      <c r="G247" s="8">
        <v>-0.21340999999999999</v>
      </c>
      <c r="H247" s="8">
        <v>0.40578999999999998</v>
      </c>
      <c r="I247" s="8">
        <v>-5.2018000000000002E-2</v>
      </c>
      <c r="J247" s="8">
        <v>0.20930000000000001</v>
      </c>
      <c r="K247" s="8">
        <v>0.20591000000000001</v>
      </c>
      <c r="L247" s="8">
        <v>5.0645999999999997E-2</v>
      </c>
      <c r="M247" s="8">
        <v>3.7814E-2</v>
      </c>
      <c r="N247" s="8">
        <v>1.0738000000000001E-4</v>
      </c>
      <c r="O247" s="8">
        <v>8.9084999999999998E-2</v>
      </c>
      <c r="P247" s="8">
        <v>7.4029999999999999E-2</v>
      </c>
      <c r="Q247" s="8">
        <v>-1.4123999999999999E-2</v>
      </c>
      <c r="R247" s="8">
        <v>2.4053000000000001E-2</v>
      </c>
      <c r="S247" s="8">
        <v>-1.5737999999999999E-2</v>
      </c>
      <c r="T247" s="8">
        <v>-1.1717999999999999E-2</v>
      </c>
      <c r="U247" s="8">
        <v>-1.3357000000000001E-2</v>
      </c>
      <c r="V247" s="8">
        <v>-2.4743000000000001E-2</v>
      </c>
      <c r="W247" s="8">
        <v>9.9028999999999992E-3</v>
      </c>
      <c r="X247" s="8">
        <v>8.2539999999999992E-3</v>
      </c>
      <c r="Y247" s="8">
        <v>-5.6740000000000002E-3</v>
      </c>
    </row>
    <row r="248" spans="1:25" x14ac:dyDescent="0.25">
      <c r="A248" s="30" t="s">
        <v>100</v>
      </c>
      <c r="B248" s="12">
        <v>-1.5733999999999999</v>
      </c>
      <c r="C248" s="12">
        <v>1.6039000000000001</v>
      </c>
      <c r="D248" s="8">
        <v>0.88809000000000005</v>
      </c>
      <c r="E248" s="8">
        <v>-0.36820999999999998</v>
      </c>
      <c r="F248" s="8">
        <v>0.17974000000000001</v>
      </c>
      <c r="G248" s="8">
        <v>-0.59453999999999996</v>
      </c>
      <c r="H248" s="8">
        <v>0.61051</v>
      </c>
      <c r="I248" s="8">
        <v>-7.5595999999999997E-3</v>
      </c>
      <c r="J248" s="8">
        <v>5.7887000000000001E-2</v>
      </c>
      <c r="K248" s="8">
        <v>0.18107000000000001</v>
      </c>
      <c r="L248" s="8">
        <v>-1.3448E-2</v>
      </c>
      <c r="M248" s="8">
        <v>0.14327000000000001</v>
      </c>
      <c r="N248" s="8">
        <v>-1.8460000000000001E-2</v>
      </c>
      <c r="O248" s="8">
        <v>0.13399</v>
      </c>
      <c r="P248" s="8">
        <v>0.10135</v>
      </c>
      <c r="Q248" s="8">
        <v>-1.5294E-2</v>
      </c>
      <c r="R248" s="8">
        <v>5.7253999999999999E-2</v>
      </c>
      <c r="S248" s="8">
        <v>-8.8666000000000005E-3</v>
      </c>
      <c r="T248" s="8">
        <v>-2.8743000000000001E-2</v>
      </c>
      <c r="U248" s="8">
        <v>4.5025000000000004E-3</v>
      </c>
      <c r="V248" s="8">
        <v>1.5524E-2</v>
      </c>
      <c r="W248" s="8">
        <v>-5.7492999999999997E-3</v>
      </c>
      <c r="X248" s="8">
        <v>1.3545E-3</v>
      </c>
      <c r="Y248" s="8">
        <v>-3.3890999999999999E-3</v>
      </c>
    </row>
    <row r="249" spans="1:25" x14ac:dyDescent="0.25">
      <c r="A249" s="30" t="s">
        <v>101</v>
      </c>
      <c r="B249" s="12">
        <v>-1.5943000000000001</v>
      </c>
      <c r="C249" s="12">
        <v>1.7056</v>
      </c>
      <c r="D249" s="8">
        <v>0.85719000000000001</v>
      </c>
      <c r="E249" s="8">
        <v>-0.34148000000000001</v>
      </c>
      <c r="F249" s="8">
        <v>-3.0318000000000001E-2</v>
      </c>
      <c r="G249" s="8">
        <v>2.2133E-2</v>
      </c>
      <c r="H249" s="8">
        <v>0.28297</v>
      </c>
      <c r="I249" s="8">
        <v>-0.61314999999999997</v>
      </c>
      <c r="J249" s="8">
        <v>0.15110999999999999</v>
      </c>
      <c r="K249" s="8">
        <v>-7.0824999999999999E-2</v>
      </c>
      <c r="L249" s="8">
        <v>1.8534999999999999E-2</v>
      </c>
      <c r="M249" s="8">
        <v>-0.14094999999999999</v>
      </c>
      <c r="N249" s="8">
        <v>-7.8441999999999998E-2</v>
      </c>
      <c r="O249" s="8">
        <v>9.9084000000000005E-2</v>
      </c>
      <c r="P249" s="8">
        <v>-3.0712E-2</v>
      </c>
      <c r="Q249" s="8">
        <v>0.11251</v>
      </c>
      <c r="R249" s="8">
        <v>7.2842000000000002E-3</v>
      </c>
      <c r="S249" s="8">
        <v>2.6357999999999999E-2</v>
      </c>
      <c r="T249" s="8">
        <v>-1.5640999999999999E-2</v>
      </c>
      <c r="U249" s="8">
        <v>1.1985000000000001E-2</v>
      </c>
      <c r="V249" s="8">
        <v>-3.0611000000000002E-3</v>
      </c>
      <c r="W249" s="8">
        <v>-4.0483000000000003E-3</v>
      </c>
      <c r="X249" s="8">
        <v>-5.5274E-3</v>
      </c>
      <c r="Y249" s="8">
        <v>9.5953E-4</v>
      </c>
    </row>
    <row r="250" spans="1:25" x14ac:dyDescent="0.25">
      <c r="A250" s="30" t="s">
        <v>102</v>
      </c>
      <c r="B250" s="12">
        <v>-1.589</v>
      </c>
      <c r="C250" s="12">
        <v>1.8005</v>
      </c>
      <c r="D250" s="8">
        <v>0.81238999999999995</v>
      </c>
      <c r="E250" s="8">
        <v>-0.28372999999999998</v>
      </c>
      <c r="F250" s="8">
        <v>-7.3897000000000004E-2</v>
      </c>
      <c r="G250" s="8">
        <v>0.43662000000000001</v>
      </c>
      <c r="H250" s="8">
        <v>0.21271999999999999</v>
      </c>
      <c r="I250" s="8">
        <v>-0.61956999999999995</v>
      </c>
      <c r="J250" s="8">
        <v>0.27367000000000002</v>
      </c>
      <c r="K250" s="8">
        <v>-8.4474999999999995E-2</v>
      </c>
      <c r="L250" s="8">
        <v>1.1544E-2</v>
      </c>
      <c r="M250" s="8">
        <v>-5.0444000000000003E-2</v>
      </c>
      <c r="N250" s="8">
        <v>-1.6372000000000001E-2</v>
      </c>
      <c r="O250" s="8">
        <v>-7.3820999999999998E-2</v>
      </c>
      <c r="P250" s="8">
        <v>-1.0600999999999999E-2</v>
      </c>
      <c r="Q250" s="8">
        <v>5.3983000000000003E-2</v>
      </c>
      <c r="R250" s="8">
        <v>1.205E-2</v>
      </c>
      <c r="S250" s="8">
        <v>-5.0726000000000005E-4</v>
      </c>
      <c r="T250" s="8">
        <v>-1.9746E-2</v>
      </c>
      <c r="U250" s="8">
        <v>1.2515E-3</v>
      </c>
      <c r="V250" s="8">
        <v>-1.4532E-2</v>
      </c>
      <c r="W250" s="8">
        <v>-5.4542000000000002E-3</v>
      </c>
      <c r="X250" s="8">
        <v>-2.8297999999999999E-3</v>
      </c>
      <c r="Y250" s="8">
        <v>3.2555000000000001E-3</v>
      </c>
    </row>
    <row r="251" spans="1:25" x14ac:dyDescent="0.25">
      <c r="A251" s="30" t="s">
        <v>103</v>
      </c>
      <c r="B251" s="12">
        <v>-1.6141000000000001</v>
      </c>
      <c r="C251" s="12">
        <v>1.7031000000000001</v>
      </c>
      <c r="D251" s="8">
        <v>0.82371000000000005</v>
      </c>
      <c r="E251" s="8">
        <v>-0.25056</v>
      </c>
      <c r="F251" s="8">
        <v>-0.13553999999999999</v>
      </c>
      <c r="G251" s="8">
        <v>-0.19661000000000001</v>
      </c>
      <c r="H251" s="8">
        <v>0.36130000000000001</v>
      </c>
      <c r="I251" s="8">
        <v>-0.19932</v>
      </c>
      <c r="J251" s="8">
        <v>0.15289</v>
      </c>
      <c r="K251" s="8">
        <v>0.15121000000000001</v>
      </c>
      <c r="L251" s="8">
        <v>3.6142000000000001E-2</v>
      </c>
      <c r="M251" s="8">
        <v>4.7048E-2</v>
      </c>
      <c r="N251" s="8">
        <v>8.0649999999999999E-2</v>
      </c>
      <c r="O251" s="8">
        <v>-0.12127</v>
      </c>
      <c r="P251" s="8">
        <v>-7.8527E-2</v>
      </c>
      <c r="Q251" s="8">
        <v>-1.1304E-2</v>
      </c>
      <c r="R251" s="8">
        <v>5.5915000000000001E-3</v>
      </c>
      <c r="S251" s="8">
        <v>5.2738999999999998E-4</v>
      </c>
      <c r="T251" s="8">
        <v>2.0549000000000001E-2</v>
      </c>
      <c r="U251" s="8">
        <v>-1.3143E-2</v>
      </c>
      <c r="V251" s="8">
        <v>-1.2271999999999999E-3</v>
      </c>
      <c r="W251" s="8">
        <v>3.8359000000000001E-4</v>
      </c>
      <c r="X251" s="8">
        <v>1.0061E-2</v>
      </c>
      <c r="Y251" s="8">
        <v>5.9826999999999997E-3</v>
      </c>
    </row>
    <row r="252" spans="1:25" x14ac:dyDescent="0.25">
      <c r="A252" s="30" t="s">
        <v>104</v>
      </c>
      <c r="B252" s="12">
        <v>-1.6281000000000001</v>
      </c>
      <c r="C252" s="12">
        <v>1.7136</v>
      </c>
      <c r="D252" s="8">
        <v>0.81960999999999995</v>
      </c>
      <c r="E252" s="8">
        <v>-0.23794999999999999</v>
      </c>
      <c r="F252" s="8">
        <v>-0.2175</v>
      </c>
      <c r="G252" s="8">
        <v>-0.10999</v>
      </c>
      <c r="H252" s="8">
        <v>0.24493000000000001</v>
      </c>
      <c r="I252" s="8">
        <v>-0.37375000000000003</v>
      </c>
      <c r="J252" s="8">
        <v>0.17827000000000001</v>
      </c>
      <c r="K252" s="8">
        <v>8.4925E-2</v>
      </c>
      <c r="L252" s="8">
        <v>7.3674000000000003E-2</v>
      </c>
      <c r="M252" s="8">
        <v>-0.10917</v>
      </c>
      <c r="N252" s="8">
        <v>-4.0758000000000001E-3</v>
      </c>
      <c r="O252" s="8">
        <v>-2.4145E-2</v>
      </c>
      <c r="P252" s="8">
        <v>-1.167E-2</v>
      </c>
      <c r="Q252" s="8">
        <v>2.5885999999999999E-2</v>
      </c>
      <c r="R252" s="8">
        <v>-1.8749999999999999E-2</v>
      </c>
      <c r="S252" s="8">
        <v>-1.4519000000000001E-2</v>
      </c>
      <c r="T252" s="8">
        <v>-1.1892E-2</v>
      </c>
      <c r="U252" s="8">
        <v>8.9545000000000007E-3</v>
      </c>
      <c r="V252" s="8">
        <v>2.0148000000000002E-3</v>
      </c>
      <c r="W252" s="8">
        <v>-1.9418E-3</v>
      </c>
      <c r="X252" s="8">
        <v>2.8040999999999999E-3</v>
      </c>
      <c r="Y252" s="8">
        <v>3.3327999999999999E-3</v>
      </c>
    </row>
    <row r="253" spans="1:25" x14ac:dyDescent="0.25">
      <c r="A253" s="30" t="s">
        <v>105</v>
      </c>
      <c r="B253" s="12">
        <v>-1.6043000000000001</v>
      </c>
      <c r="C253" s="12">
        <v>1.6788000000000001</v>
      </c>
      <c r="D253" s="8">
        <v>0.84677999999999998</v>
      </c>
      <c r="E253" s="8">
        <v>-0.30356</v>
      </c>
      <c r="F253" s="8">
        <v>-7.2327000000000002E-2</v>
      </c>
      <c r="G253" s="8">
        <v>-0.23086000000000001</v>
      </c>
      <c r="H253" s="8">
        <v>0.3957</v>
      </c>
      <c r="I253" s="8">
        <v>-0.30503999999999998</v>
      </c>
      <c r="J253" s="8">
        <v>9.1636999999999996E-2</v>
      </c>
      <c r="K253" s="8">
        <v>6.9962999999999997E-2</v>
      </c>
      <c r="L253" s="8">
        <v>7.0144999999999999E-3</v>
      </c>
      <c r="M253" s="8">
        <v>-5.4879999999999998E-3</v>
      </c>
      <c r="N253" s="8">
        <v>0.13572999999999999</v>
      </c>
      <c r="O253" s="8">
        <v>-8.6472999999999994E-2</v>
      </c>
      <c r="P253" s="8">
        <v>8.7715999999999992E-3</v>
      </c>
      <c r="Q253" s="8">
        <v>2.1586999999999999E-2</v>
      </c>
      <c r="R253" s="8">
        <v>-1.0222E-2</v>
      </c>
      <c r="S253" s="8">
        <v>-1.7676E-3</v>
      </c>
      <c r="T253" s="8">
        <v>1.9720999999999999E-2</v>
      </c>
      <c r="U253" s="8">
        <v>-1.6591000000000002E-2</v>
      </c>
      <c r="V253" s="8">
        <v>-3.1416999999999999E-3</v>
      </c>
      <c r="W253" s="8">
        <v>-1.5832000000000001E-3</v>
      </c>
      <c r="X253" s="8">
        <v>2.6381E-3</v>
      </c>
      <c r="Y253" s="8">
        <v>-3.0603000000000002E-3</v>
      </c>
    </row>
    <row r="254" spans="1:25" x14ac:dyDescent="0.25">
      <c r="A254" s="30" t="s">
        <v>106</v>
      </c>
      <c r="B254" s="12">
        <v>-1.5838000000000001</v>
      </c>
      <c r="C254" s="12">
        <v>1.8263</v>
      </c>
      <c r="D254" s="8">
        <v>0.77793999999999996</v>
      </c>
      <c r="E254" s="8">
        <v>-0.18082999999999999</v>
      </c>
      <c r="F254" s="8">
        <v>-2.3838000000000002E-2</v>
      </c>
      <c r="G254" s="8">
        <v>0.35613</v>
      </c>
      <c r="H254" s="8">
        <v>0.25668000000000002</v>
      </c>
      <c r="I254" s="8">
        <v>-0.15159</v>
      </c>
      <c r="J254" s="8">
        <v>0.37719999999999998</v>
      </c>
      <c r="K254" s="8">
        <v>0.16128999999999999</v>
      </c>
      <c r="L254" s="8">
        <v>6.3634999999999997E-2</v>
      </c>
      <c r="M254" s="8">
        <v>-7.2688000000000003E-2</v>
      </c>
      <c r="N254" s="8">
        <v>8.4515000000000007E-2</v>
      </c>
      <c r="O254" s="8">
        <v>0.17754</v>
      </c>
      <c r="P254" s="8">
        <v>8.2077999999999998E-2</v>
      </c>
      <c r="Q254" s="8">
        <v>5.2387999999999997E-2</v>
      </c>
      <c r="R254" s="8">
        <v>4.3914000000000002E-2</v>
      </c>
      <c r="S254" s="8">
        <v>1.3008E-2</v>
      </c>
      <c r="T254" s="8">
        <v>-4.0455999999999999E-3</v>
      </c>
      <c r="U254" s="8">
        <v>-1.7597000000000002E-2</v>
      </c>
      <c r="V254" s="8">
        <v>6.1288999999999996E-3</v>
      </c>
      <c r="W254" s="8">
        <v>1.0011E-4</v>
      </c>
      <c r="X254" s="8">
        <v>-5.47E-3</v>
      </c>
      <c r="Y254" s="8">
        <v>-4.9843999999999999E-3</v>
      </c>
    </row>
    <row r="255" spans="1:25" x14ac:dyDescent="0.25">
      <c r="A255" s="30" t="s">
        <v>107</v>
      </c>
      <c r="B255" s="12">
        <v>-1.5584</v>
      </c>
      <c r="C255" s="12">
        <v>1.7541</v>
      </c>
      <c r="D255" s="8">
        <v>0.83357000000000003</v>
      </c>
      <c r="E255" s="8">
        <v>-0.30617</v>
      </c>
      <c r="F255" s="8">
        <v>0.15753</v>
      </c>
      <c r="G255" s="8">
        <v>0.14521000000000001</v>
      </c>
      <c r="H255" s="8">
        <v>0.41503000000000001</v>
      </c>
      <c r="I255" s="8">
        <v>-0.2261</v>
      </c>
      <c r="J255" s="8">
        <v>0.26680999999999999</v>
      </c>
      <c r="K255" s="8">
        <v>9.0554999999999997E-2</v>
      </c>
      <c r="L255" s="8">
        <v>-4.4612999999999996E-3</v>
      </c>
      <c r="M255" s="8">
        <v>7.6628000000000002E-2</v>
      </c>
      <c r="N255" s="8">
        <v>-3.7971999999999999E-2</v>
      </c>
      <c r="O255" s="8">
        <v>0.14566000000000001</v>
      </c>
      <c r="P255" s="8">
        <v>-9.5493000000000001E-3</v>
      </c>
      <c r="Q255" s="8">
        <v>3.2718999999999998E-2</v>
      </c>
      <c r="R255" s="8">
        <v>1.5347E-2</v>
      </c>
      <c r="S255" s="8">
        <v>1.0544E-2</v>
      </c>
      <c r="T255" s="8">
        <v>-1.6230999999999999E-2</v>
      </c>
      <c r="U255" s="8">
        <v>1.3554999999999999E-2</v>
      </c>
      <c r="V255" s="8">
        <v>-8.1890000000000001E-3</v>
      </c>
      <c r="W255" s="8">
        <v>2.9309000000000002E-3</v>
      </c>
      <c r="X255" s="8">
        <v>-5.2513000000000004E-3</v>
      </c>
      <c r="Y255" s="8">
        <v>2.3137000000000001E-3</v>
      </c>
    </row>
    <row r="256" spans="1:25" x14ac:dyDescent="0.25">
      <c r="A256" s="30" t="s">
        <v>108</v>
      </c>
      <c r="B256" s="12">
        <v>-1.6113</v>
      </c>
      <c r="C256" s="12">
        <v>1.6273</v>
      </c>
      <c r="D256" s="8">
        <v>0.87927999999999995</v>
      </c>
      <c r="E256" s="8">
        <v>-0.32722000000000001</v>
      </c>
      <c r="F256" s="8">
        <v>-5.1554999999999997E-2</v>
      </c>
      <c r="G256" s="8">
        <v>-0.51129000000000002</v>
      </c>
      <c r="H256" s="8">
        <v>0.41955999999999999</v>
      </c>
      <c r="I256" s="8">
        <v>-0.25890000000000002</v>
      </c>
      <c r="J256" s="8">
        <v>6.5232999999999999E-2</v>
      </c>
      <c r="K256" s="8">
        <v>9.0311000000000002E-2</v>
      </c>
      <c r="L256" s="8">
        <v>-7.0663000000000004E-2</v>
      </c>
      <c r="M256" s="8">
        <v>0.18371000000000001</v>
      </c>
      <c r="N256" s="8">
        <v>-2.7265000000000002E-3</v>
      </c>
      <c r="O256" s="8">
        <v>8.4004999999999996E-2</v>
      </c>
      <c r="P256" s="8">
        <v>2.2502000000000001E-2</v>
      </c>
      <c r="Q256" s="8">
        <v>8.7420999999999999E-2</v>
      </c>
      <c r="R256" s="8">
        <v>4.7174000000000001E-2</v>
      </c>
      <c r="S256" s="8">
        <v>3.1722E-2</v>
      </c>
      <c r="T256" s="8">
        <v>2.5317999999999998E-3</v>
      </c>
      <c r="U256" s="8">
        <v>3.0282E-2</v>
      </c>
      <c r="V256" s="8">
        <v>-3.8844000000000001E-3</v>
      </c>
      <c r="W256" s="8">
        <v>-2.784E-3</v>
      </c>
      <c r="X256" s="8">
        <v>3.8650999999999996E-6</v>
      </c>
      <c r="Y256" s="8">
        <v>-1.8699999999999999E-3</v>
      </c>
    </row>
    <row r="257" spans="1:25" x14ac:dyDescent="0.25">
      <c r="A257" s="30" t="s">
        <v>109</v>
      </c>
      <c r="B257" s="12">
        <v>-1.6596</v>
      </c>
      <c r="C257" s="12">
        <v>1.6701999999999999</v>
      </c>
      <c r="D257" s="8">
        <v>0.82413999999999998</v>
      </c>
      <c r="E257" s="8">
        <v>-0.20838000000000001</v>
      </c>
      <c r="F257" s="8">
        <v>-0.36105999999999999</v>
      </c>
      <c r="G257" s="8">
        <v>-0.39721000000000001</v>
      </c>
      <c r="H257" s="8">
        <v>0.22786999999999999</v>
      </c>
      <c r="I257" s="8">
        <v>-0.30969999999999998</v>
      </c>
      <c r="J257" s="8">
        <v>0.11656999999999999</v>
      </c>
      <c r="K257" s="8">
        <v>0.14857000000000001</v>
      </c>
      <c r="L257" s="8">
        <v>7.0502999999999996E-2</v>
      </c>
      <c r="M257" s="8">
        <v>-5.7918999999999998E-2</v>
      </c>
      <c r="N257" s="8">
        <v>4.6050000000000001E-2</v>
      </c>
      <c r="O257" s="8">
        <v>-6.6886000000000001E-2</v>
      </c>
      <c r="P257" s="8">
        <v>-3.9995000000000003E-2</v>
      </c>
      <c r="Q257" s="8">
        <v>-4.9090999999999996E-3</v>
      </c>
      <c r="R257" s="8">
        <v>-2.5631999999999999E-2</v>
      </c>
      <c r="S257" s="8">
        <v>2.2467999999999998E-2</v>
      </c>
      <c r="T257" s="8">
        <v>1.2517E-2</v>
      </c>
      <c r="U257" s="8">
        <v>5.9065000000000003E-3</v>
      </c>
      <c r="V257" s="8">
        <v>-7.9681000000000005E-3</v>
      </c>
      <c r="W257" s="8">
        <v>8.8103999999999995E-3</v>
      </c>
      <c r="X257" s="8">
        <v>6.4939000000000004E-3</v>
      </c>
      <c r="Y257" s="8">
        <v>4.1790999999999998E-3</v>
      </c>
    </row>
    <row r="258" spans="1:25" x14ac:dyDescent="0.25">
      <c r="A258" s="30" t="s">
        <v>110</v>
      </c>
      <c r="B258" s="12">
        <v>-1.6214999999999999</v>
      </c>
      <c r="C258" s="12">
        <v>1.5673999999999999</v>
      </c>
      <c r="D258" s="8">
        <v>0.877</v>
      </c>
      <c r="E258" s="8">
        <v>-0.33082</v>
      </c>
      <c r="F258" s="8">
        <v>-8.3583000000000005E-2</v>
      </c>
      <c r="G258" s="8">
        <v>-0.77664999999999995</v>
      </c>
      <c r="H258" s="8">
        <v>0.50322999999999996</v>
      </c>
      <c r="I258" s="8">
        <v>-0.1431</v>
      </c>
      <c r="J258" s="8">
        <v>-3.7020999999999998E-2</v>
      </c>
      <c r="K258" s="8">
        <v>0.17100000000000001</v>
      </c>
      <c r="L258" s="8">
        <v>9.2787999999999995E-2</v>
      </c>
      <c r="M258" s="8">
        <v>-0.14080999999999999</v>
      </c>
      <c r="N258" s="8">
        <v>6.9313999999999999E-3</v>
      </c>
      <c r="O258" s="8">
        <v>-4.4896999999999999E-2</v>
      </c>
      <c r="P258" s="8">
        <v>2.6391000000000001E-2</v>
      </c>
      <c r="Q258" s="8">
        <v>1.1619000000000001E-2</v>
      </c>
      <c r="R258" s="8">
        <v>-5.6493000000000002E-2</v>
      </c>
      <c r="S258" s="8">
        <v>1.9921999999999999E-2</v>
      </c>
      <c r="T258" s="8">
        <v>3.5785999999999999E-3</v>
      </c>
      <c r="U258" s="8">
        <v>2.4792999999999999E-4</v>
      </c>
      <c r="V258" s="8">
        <v>-6.2598000000000003E-3</v>
      </c>
      <c r="W258" s="8">
        <v>2.5165000000000001E-3</v>
      </c>
      <c r="X258" s="8">
        <v>1.1002E-2</v>
      </c>
      <c r="Y258" s="8">
        <v>5.8478999999999996E-4</v>
      </c>
    </row>
    <row r="259" spans="1:25" x14ac:dyDescent="0.25">
      <c r="A259" s="30" t="s">
        <v>111</v>
      </c>
      <c r="B259" s="12">
        <v>-1.6520999999999999</v>
      </c>
      <c r="C259" s="12">
        <v>1.6691</v>
      </c>
      <c r="D259" s="8">
        <v>0.83447000000000005</v>
      </c>
      <c r="E259" s="8">
        <v>-0.23930999999999999</v>
      </c>
      <c r="F259" s="8">
        <v>-0.32390999999999998</v>
      </c>
      <c r="G259" s="8">
        <v>-0.35117999999999999</v>
      </c>
      <c r="H259" s="8">
        <v>0.23429</v>
      </c>
      <c r="I259" s="8">
        <v>-0.39645999999999998</v>
      </c>
      <c r="J259" s="8">
        <v>0.11126999999999999</v>
      </c>
      <c r="K259" s="8">
        <v>0.10521999999999999</v>
      </c>
      <c r="L259" s="8">
        <v>4.7044000000000002E-2</v>
      </c>
      <c r="M259" s="8">
        <v>-4.6682E-3</v>
      </c>
      <c r="N259" s="8">
        <v>1.6840000000000001E-2</v>
      </c>
      <c r="O259" s="8">
        <v>-6.8061999999999998E-2</v>
      </c>
      <c r="P259" s="8">
        <v>-9.3209E-2</v>
      </c>
      <c r="Q259" s="8">
        <v>-4.4380000000000003E-2</v>
      </c>
      <c r="R259" s="8">
        <v>-1.8727000000000001E-2</v>
      </c>
      <c r="S259" s="8">
        <v>-2.7636000000000001E-2</v>
      </c>
      <c r="T259" s="8">
        <v>1.4746E-2</v>
      </c>
      <c r="U259" s="8">
        <v>2.3146999999999998E-3</v>
      </c>
      <c r="V259" s="8">
        <v>-6.7726000000000001E-3</v>
      </c>
      <c r="W259" s="8">
        <v>-4.0707E-3</v>
      </c>
      <c r="X259" s="8">
        <v>8.5590999999999998E-4</v>
      </c>
      <c r="Y259" s="8">
        <v>4.529E-3</v>
      </c>
    </row>
    <row r="260" spans="1:25" x14ac:dyDescent="0.25">
      <c r="A260" s="30" t="s">
        <v>112</v>
      </c>
      <c r="B260" s="12">
        <v>-1.6853</v>
      </c>
      <c r="C260" s="12">
        <v>1.6593</v>
      </c>
      <c r="D260" s="8">
        <v>0.81327000000000005</v>
      </c>
      <c r="E260" s="8">
        <v>-0.15539</v>
      </c>
      <c r="F260" s="8">
        <v>-0.49112</v>
      </c>
      <c r="G260" s="8">
        <v>-0.54681000000000002</v>
      </c>
      <c r="H260" s="8">
        <v>0.18618000000000001</v>
      </c>
      <c r="I260" s="8">
        <v>-0.21662999999999999</v>
      </c>
      <c r="J260" s="8">
        <v>0.10877000000000001</v>
      </c>
      <c r="K260" s="8">
        <v>0.22533</v>
      </c>
      <c r="L260" s="8">
        <v>7.5451000000000004E-2</v>
      </c>
      <c r="M260" s="8">
        <v>-1.6281E-2</v>
      </c>
      <c r="N260" s="8">
        <v>0.11076</v>
      </c>
      <c r="O260" s="8">
        <v>-7.1165000000000006E-2</v>
      </c>
      <c r="P260" s="8">
        <v>-5.7494999999999997E-2</v>
      </c>
      <c r="Q260" s="8">
        <v>-4.4119999999999999E-2</v>
      </c>
      <c r="R260" s="8">
        <v>-1.7867000000000001E-2</v>
      </c>
      <c r="S260" s="8">
        <v>-1.2109999999999999E-2</v>
      </c>
      <c r="T260" s="8">
        <v>1.2593999999999999E-2</v>
      </c>
      <c r="U260" s="8">
        <v>1.1640000000000001E-3</v>
      </c>
      <c r="V260" s="8">
        <v>-9.4453000000000002E-3</v>
      </c>
      <c r="W260" s="8">
        <v>-7.8790000000000006E-3</v>
      </c>
      <c r="X260" s="8">
        <v>5.3914000000000002E-3</v>
      </c>
      <c r="Y260" s="8">
        <v>4.0033000000000001E-4</v>
      </c>
    </row>
    <row r="261" spans="1:25" x14ac:dyDescent="0.25">
      <c r="A261" s="30" t="s">
        <v>82</v>
      </c>
      <c r="B261" s="12">
        <v>-1.7346999999999999</v>
      </c>
      <c r="C261" s="12">
        <v>0.88473999999999997</v>
      </c>
      <c r="D261" s="8">
        <v>0.10999</v>
      </c>
      <c r="E261" s="8">
        <v>-0.34728999999999999</v>
      </c>
      <c r="F261" s="8">
        <v>0.28508</v>
      </c>
      <c r="G261" s="8">
        <v>6.6090999999999997E-2</v>
      </c>
      <c r="H261" s="8">
        <v>-0.22819999999999999</v>
      </c>
      <c r="I261" s="8">
        <v>-0.42924000000000001</v>
      </c>
      <c r="J261" s="8">
        <v>-0.44133</v>
      </c>
      <c r="K261" s="8">
        <v>-0.10580000000000001</v>
      </c>
      <c r="L261" s="8">
        <v>0.14197000000000001</v>
      </c>
      <c r="M261" s="8">
        <v>-4.0811E-2</v>
      </c>
      <c r="N261" s="8">
        <v>-3.5462E-2</v>
      </c>
      <c r="O261" s="8">
        <v>0.17973</v>
      </c>
      <c r="P261" s="8">
        <v>1.9495999999999999E-2</v>
      </c>
      <c r="Q261" s="8">
        <v>-1.4468999999999999E-2</v>
      </c>
      <c r="R261" s="8">
        <v>-1.7068E-2</v>
      </c>
      <c r="S261" s="8">
        <v>-1.4730999999999999E-2</v>
      </c>
      <c r="T261" s="8">
        <v>-2.0766E-2</v>
      </c>
      <c r="U261" s="8">
        <v>7.9719999999999999E-3</v>
      </c>
      <c r="V261" s="8">
        <v>2.8073E-3</v>
      </c>
      <c r="W261" s="8">
        <v>1.0951000000000001E-2</v>
      </c>
      <c r="X261" s="8">
        <v>3.6847999999999998E-3</v>
      </c>
      <c r="Y261" s="8">
        <v>-2.6868999999999999E-3</v>
      </c>
    </row>
    <row r="262" spans="1:25" x14ac:dyDescent="0.25">
      <c r="A262" s="30" t="s">
        <v>81</v>
      </c>
      <c r="B262" s="12">
        <v>-1.5992999999999999</v>
      </c>
      <c r="C262" s="12">
        <v>0.84248000000000001</v>
      </c>
      <c r="D262" s="8">
        <v>0.14588999999999999</v>
      </c>
      <c r="E262" s="8">
        <v>-0.53327000000000002</v>
      </c>
      <c r="F262" s="8">
        <v>1.0441</v>
      </c>
      <c r="G262" s="8">
        <v>4.6834000000000001E-2</v>
      </c>
      <c r="H262" s="8">
        <v>0.37328</v>
      </c>
      <c r="I262" s="8">
        <v>0.11265</v>
      </c>
      <c r="J262" s="8">
        <v>-0.53986000000000001</v>
      </c>
      <c r="K262" s="8">
        <v>1.251E-2</v>
      </c>
      <c r="L262" s="8">
        <v>0.22581000000000001</v>
      </c>
      <c r="M262" s="8">
        <v>-0.1762</v>
      </c>
      <c r="N262" s="8">
        <v>3.3341000000000003E-2</v>
      </c>
      <c r="O262" s="8">
        <v>2.8150999999999999E-2</v>
      </c>
      <c r="P262" s="8">
        <v>-6.9371000000000002E-2</v>
      </c>
      <c r="Q262" s="8">
        <v>3.8747E-3</v>
      </c>
      <c r="R262" s="8">
        <v>2.1107000000000001E-2</v>
      </c>
      <c r="S262" s="8">
        <v>5.1679000000000003E-2</v>
      </c>
      <c r="T262" s="8">
        <v>-5.1281E-2</v>
      </c>
      <c r="U262" s="8">
        <v>2.1496000000000002E-3</v>
      </c>
      <c r="V262" s="8">
        <v>8.8068999999999995E-3</v>
      </c>
      <c r="W262" s="8">
        <v>-1.9331999999999999E-3</v>
      </c>
      <c r="X262" s="8">
        <v>5.0356999999999997E-3</v>
      </c>
      <c r="Y262" s="8">
        <v>2.8739E-3</v>
      </c>
    </row>
    <row r="263" spans="1:25" x14ac:dyDescent="0.25">
      <c r="A263" s="30" t="s">
        <v>80</v>
      </c>
      <c r="B263" s="12">
        <v>-1.7312000000000001</v>
      </c>
      <c r="C263" s="12">
        <v>0.99629000000000001</v>
      </c>
      <c r="D263" s="8">
        <v>4.6612000000000001E-2</v>
      </c>
      <c r="E263" s="8">
        <v>-0.22442999999999999</v>
      </c>
      <c r="F263" s="8">
        <v>0.24301</v>
      </c>
      <c r="G263" s="8">
        <v>0.40733999999999998</v>
      </c>
      <c r="H263" s="8">
        <v>-0.27656999999999998</v>
      </c>
      <c r="I263" s="8">
        <v>-0.14978</v>
      </c>
      <c r="J263" s="8">
        <v>-0.25817000000000001</v>
      </c>
      <c r="K263" s="8">
        <v>4.1197999999999999E-2</v>
      </c>
      <c r="L263" s="8">
        <v>0.11430999999999999</v>
      </c>
      <c r="M263" s="8">
        <v>0.19317999999999999</v>
      </c>
      <c r="N263" s="8">
        <v>5.9896999999999999E-2</v>
      </c>
      <c r="O263" s="8">
        <v>9.4322000000000003E-2</v>
      </c>
      <c r="P263" s="8">
        <v>-7.8677999999999998E-2</v>
      </c>
      <c r="Q263" s="8">
        <v>-4.8392999999999999E-2</v>
      </c>
      <c r="R263" s="8">
        <v>-7.5894999999999999E-3</v>
      </c>
      <c r="S263" s="8">
        <v>-5.0695999999999996E-3</v>
      </c>
      <c r="T263" s="8">
        <v>-3.5598999999999999E-2</v>
      </c>
      <c r="U263" s="8">
        <v>9.9261999999999996E-3</v>
      </c>
      <c r="V263" s="8">
        <v>-5.0711999999999997E-3</v>
      </c>
      <c r="W263" s="8">
        <v>3.8449999999999999E-3</v>
      </c>
      <c r="X263" s="8">
        <v>-3.1997000000000002E-3</v>
      </c>
      <c r="Y263" s="8">
        <v>-1.0139999999999999E-3</v>
      </c>
    </row>
    <row r="264" spans="1:25" x14ac:dyDescent="0.25">
      <c r="A264" s="30" t="s">
        <v>113</v>
      </c>
      <c r="B264" s="12">
        <v>-1.8396999999999999</v>
      </c>
      <c r="C264" s="12">
        <v>0.87248999999999999</v>
      </c>
      <c r="D264" s="8">
        <v>5.2676000000000001E-2</v>
      </c>
      <c r="E264" s="8">
        <v>-0.1351</v>
      </c>
      <c r="F264" s="8">
        <v>-0.27077000000000001</v>
      </c>
      <c r="G264" s="8">
        <v>-0.32776</v>
      </c>
      <c r="H264" s="8">
        <v>-0.47998000000000002</v>
      </c>
      <c r="I264" s="8">
        <v>-0.22700000000000001</v>
      </c>
      <c r="J264" s="8">
        <v>-0.43598999999999999</v>
      </c>
      <c r="K264" s="8">
        <v>0.1119</v>
      </c>
      <c r="L264" s="8">
        <v>0.21598000000000001</v>
      </c>
      <c r="M264" s="8">
        <v>-8.0262E-2</v>
      </c>
      <c r="N264" s="8">
        <v>-2.4948000000000001E-3</v>
      </c>
      <c r="O264" s="8">
        <v>7.8354999999999994E-2</v>
      </c>
      <c r="P264" s="8">
        <v>-0.12839</v>
      </c>
      <c r="Q264" s="8">
        <v>7.8229999999999994E-2</v>
      </c>
      <c r="R264" s="8">
        <v>-1.9945000000000001E-2</v>
      </c>
      <c r="S264" s="8">
        <v>-1.8595E-2</v>
      </c>
      <c r="T264" s="8">
        <v>-1.3221E-2</v>
      </c>
      <c r="U264" s="8">
        <v>-1.1294999999999999E-2</v>
      </c>
      <c r="V264" s="8">
        <v>4.2106000000000001E-3</v>
      </c>
      <c r="W264" s="8">
        <v>1.853E-3</v>
      </c>
      <c r="X264" s="8">
        <v>-9.4673999999999995E-4</v>
      </c>
      <c r="Y264" s="8">
        <v>-2.2455000000000001E-3</v>
      </c>
    </row>
    <row r="265" spans="1:25" x14ac:dyDescent="0.25">
      <c r="A265" s="30" t="s">
        <v>114</v>
      </c>
      <c r="B265" s="12">
        <v>-1.7702</v>
      </c>
      <c r="C265" s="12">
        <v>0.89825999999999995</v>
      </c>
      <c r="D265" s="8">
        <v>7.0591000000000001E-2</v>
      </c>
      <c r="E265" s="8">
        <v>-0.23991999999999999</v>
      </c>
      <c r="F265" s="8">
        <v>7.7715000000000006E-2</v>
      </c>
      <c r="G265" s="8">
        <v>-4.0344999999999999E-2</v>
      </c>
      <c r="H265" s="8">
        <v>-0.28866000000000003</v>
      </c>
      <c r="I265" s="8">
        <v>-0.23171</v>
      </c>
      <c r="J265" s="8">
        <v>-0.43903999999999999</v>
      </c>
      <c r="K265" s="8">
        <v>3.0793000000000001E-2</v>
      </c>
      <c r="L265" s="8">
        <v>0.1918</v>
      </c>
      <c r="M265" s="8">
        <v>-8.6624000000000007E-2</v>
      </c>
      <c r="N265" s="8">
        <v>0.12429</v>
      </c>
      <c r="O265" s="8">
        <v>4.2708000000000003E-2</v>
      </c>
      <c r="P265" s="8">
        <v>-6.13E-2</v>
      </c>
      <c r="Q265" s="8">
        <v>8.8813999999999994E-3</v>
      </c>
      <c r="R265" s="8">
        <v>5.5059000000000002E-3</v>
      </c>
      <c r="S265" s="8">
        <v>-4.7121000000000003E-3</v>
      </c>
      <c r="T265" s="8">
        <v>-3.3781000000000002E-3</v>
      </c>
      <c r="U265" s="8">
        <v>-1.1920999999999999E-2</v>
      </c>
      <c r="V265" s="8">
        <v>1.6624E-2</v>
      </c>
      <c r="W265" s="8">
        <v>6.1910000000000003E-3</v>
      </c>
      <c r="X265" s="8">
        <v>-7.9266000000000007E-3</v>
      </c>
      <c r="Y265" s="8">
        <v>-1.9764000000000001E-3</v>
      </c>
    </row>
    <row r="266" spans="1:25" x14ac:dyDescent="0.25">
      <c r="A266" s="30" t="s">
        <v>115</v>
      </c>
      <c r="B266" s="12">
        <v>-1.7235</v>
      </c>
      <c r="C266" s="12">
        <v>0.94171000000000005</v>
      </c>
      <c r="D266" s="8">
        <v>5.9915999999999997E-2</v>
      </c>
      <c r="E266" s="8">
        <v>-0.2621</v>
      </c>
      <c r="F266" s="8">
        <v>0.31997999999999999</v>
      </c>
      <c r="G266" s="8">
        <v>0.20393</v>
      </c>
      <c r="H266" s="8">
        <v>-0.18176999999999999</v>
      </c>
      <c r="I266" s="8">
        <v>-7.8747999999999999E-2</v>
      </c>
      <c r="J266" s="8">
        <v>-0.33323000000000003</v>
      </c>
      <c r="K266" s="8">
        <v>6.8684999999999996E-2</v>
      </c>
      <c r="L266" s="8">
        <v>0.23188</v>
      </c>
      <c r="M266" s="8">
        <v>-9.2945E-2</v>
      </c>
      <c r="N266" s="8">
        <v>-3.0175E-2</v>
      </c>
      <c r="O266" s="8">
        <v>9.8005999999999996E-2</v>
      </c>
      <c r="P266" s="8">
        <v>-1.7798000000000001E-2</v>
      </c>
      <c r="Q266" s="8">
        <v>1.7806E-3</v>
      </c>
      <c r="R266" s="8">
        <v>-1.6969000000000001E-2</v>
      </c>
      <c r="S266" s="8">
        <v>8.8006999999999998E-3</v>
      </c>
      <c r="T266" s="8">
        <v>-1.132E-2</v>
      </c>
      <c r="U266" s="8">
        <v>1.4559000000000001E-2</v>
      </c>
      <c r="V266" s="8">
        <v>-4.6895000000000001E-3</v>
      </c>
      <c r="W266" s="8">
        <v>1.3227E-3</v>
      </c>
      <c r="X266" s="8">
        <v>-4.0505999999999997E-3</v>
      </c>
      <c r="Y266" s="8">
        <v>-2.9661000000000002E-3</v>
      </c>
    </row>
    <row r="267" spans="1:25" x14ac:dyDescent="0.25">
      <c r="A267" s="30" t="s">
        <v>116</v>
      </c>
      <c r="B267" s="12">
        <v>-1.7849999999999999</v>
      </c>
      <c r="C267" s="12">
        <v>0.81235999999999997</v>
      </c>
      <c r="D267" s="8">
        <v>0.11416999999999999</v>
      </c>
      <c r="E267" s="8">
        <v>-0.30145</v>
      </c>
      <c r="F267" s="8">
        <v>5.2753000000000001E-2</v>
      </c>
      <c r="G267" s="8">
        <v>-0.42216999999999999</v>
      </c>
      <c r="H267" s="8">
        <v>-0.21720999999999999</v>
      </c>
      <c r="I267" s="8">
        <v>-0.26995000000000002</v>
      </c>
      <c r="J267" s="8">
        <v>-0.56372999999999995</v>
      </c>
      <c r="K267" s="8">
        <v>-6.8170000000000001E-3</v>
      </c>
      <c r="L267" s="8">
        <v>0.11187999999999999</v>
      </c>
      <c r="M267" s="8">
        <v>0.10120999999999999</v>
      </c>
      <c r="N267" s="8">
        <v>6.1203E-2</v>
      </c>
      <c r="O267" s="8">
        <v>-1.4973999999999999E-2</v>
      </c>
      <c r="P267" s="8">
        <v>6.2662999999999998E-3</v>
      </c>
      <c r="Q267" s="8">
        <v>-1.2586E-2</v>
      </c>
      <c r="R267" s="8">
        <v>-3.2561E-2</v>
      </c>
      <c r="S267" s="8">
        <v>3.0850000000000001E-3</v>
      </c>
      <c r="T267" s="8">
        <v>-1.8866000000000001E-2</v>
      </c>
      <c r="U267" s="8">
        <v>-2.4674000000000001E-2</v>
      </c>
      <c r="V267" s="8">
        <v>2.6556E-2</v>
      </c>
      <c r="W267" s="8">
        <v>4.0740000000000004E-3</v>
      </c>
      <c r="X267" s="8">
        <v>-3.4752999999999997E-4</v>
      </c>
      <c r="Y267" s="8">
        <v>-2.0317999999999998E-3</v>
      </c>
    </row>
    <row r="268" spans="1:25" x14ac:dyDescent="0.25">
      <c r="A268" s="30" t="s">
        <v>117</v>
      </c>
      <c r="B268" s="12">
        <v>-1.7232000000000001</v>
      </c>
      <c r="C268" s="12">
        <v>0.95342000000000005</v>
      </c>
      <c r="D268" s="8">
        <v>5.6474000000000003E-2</v>
      </c>
      <c r="E268" s="8">
        <v>-0.25811000000000001</v>
      </c>
      <c r="F268" s="8">
        <v>0.31367</v>
      </c>
      <c r="G268" s="8">
        <v>0.26173999999999997</v>
      </c>
      <c r="H268" s="8">
        <v>-0.19803999999999999</v>
      </c>
      <c r="I268" s="8">
        <v>-0.10249</v>
      </c>
      <c r="J268" s="8">
        <v>-0.31535999999999997</v>
      </c>
      <c r="K268" s="8">
        <v>5.7362000000000003E-2</v>
      </c>
      <c r="L268" s="8">
        <v>0.22867999999999999</v>
      </c>
      <c r="M268" s="8">
        <v>-7.9250000000000001E-2</v>
      </c>
      <c r="N268" s="8">
        <v>-3.3687000000000002E-2</v>
      </c>
      <c r="O268" s="8">
        <v>8.7845999999999994E-2</v>
      </c>
      <c r="P268" s="8">
        <v>-2.1426000000000001E-3</v>
      </c>
      <c r="Q268" s="8">
        <v>-7.7770000000000001E-3</v>
      </c>
      <c r="R268" s="8">
        <v>-1.5807999999999999E-2</v>
      </c>
      <c r="S268" s="8">
        <v>2.7099000000000002E-2</v>
      </c>
      <c r="T268" s="8">
        <v>-2.3027999999999998E-3</v>
      </c>
      <c r="U268" s="8">
        <v>2.6345E-2</v>
      </c>
      <c r="V268" s="8">
        <v>-2.1289999999999998E-3</v>
      </c>
      <c r="W268" s="8">
        <v>1.8466999999999999E-3</v>
      </c>
      <c r="X268" s="8">
        <v>2.6421000000000001E-3</v>
      </c>
      <c r="Y268" s="8">
        <v>1.3767E-3</v>
      </c>
    </row>
    <row r="269" spans="1:25" x14ac:dyDescent="0.25">
      <c r="A269" s="30" t="s">
        <v>118</v>
      </c>
      <c r="B269" s="12">
        <v>-1.6940999999999999</v>
      </c>
      <c r="C269" s="12">
        <v>0.93625999999999998</v>
      </c>
      <c r="D269" s="8">
        <v>7.7720999999999998E-2</v>
      </c>
      <c r="E269" s="8">
        <v>-0.34044999999999997</v>
      </c>
      <c r="F269" s="8">
        <v>0.46665000000000001</v>
      </c>
      <c r="G269" s="8">
        <v>0.30858999999999998</v>
      </c>
      <c r="H269" s="8">
        <v>-9.4045000000000004E-2</v>
      </c>
      <c r="I269" s="8">
        <v>-0.18557000000000001</v>
      </c>
      <c r="J269" s="8">
        <v>-0.37197000000000002</v>
      </c>
      <c r="K269" s="8">
        <v>-1.2393E-2</v>
      </c>
      <c r="L269" s="8">
        <v>0.23269999999999999</v>
      </c>
      <c r="M269" s="8">
        <v>-0.11587</v>
      </c>
      <c r="N269" s="8">
        <v>-7.0836999999999997E-2</v>
      </c>
      <c r="O269" s="8">
        <v>-7.7561000000000001E-3</v>
      </c>
      <c r="P269" s="8">
        <v>-0.12141</v>
      </c>
      <c r="Q269" s="8">
        <v>-1.1511E-2</v>
      </c>
      <c r="R269" s="8">
        <v>-3.9050000000000001E-3</v>
      </c>
      <c r="S269" s="8">
        <v>-1.2593E-2</v>
      </c>
      <c r="T269" s="8">
        <v>-3.2828000000000003E-2</v>
      </c>
      <c r="U269" s="8">
        <v>1.3559E-2</v>
      </c>
      <c r="V269" s="8">
        <v>-1.0138E-3</v>
      </c>
      <c r="W269" s="8">
        <v>9.4956999999999993E-3</v>
      </c>
      <c r="X269" s="8">
        <v>-8.4312999999999999E-4</v>
      </c>
      <c r="Y269" s="8">
        <v>-9.4817000000000002E-4</v>
      </c>
    </row>
    <row r="270" spans="1:25" x14ac:dyDescent="0.25">
      <c r="A270" s="30" t="s">
        <v>119</v>
      </c>
      <c r="B270" s="12">
        <v>-1.7795000000000001</v>
      </c>
      <c r="C270" s="12">
        <v>0.77793999999999996</v>
      </c>
      <c r="D270" s="8">
        <v>0.13266</v>
      </c>
      <c r="E270" s="8">
        <v>-0.34395999999999999</v>
      </c>
      <c r="F270" s="8">
        <v>9.7374000000000002E-2</v>
      </c>
      <c r="G270" s="8">
        <v>-0.53012999999999999</v>
      </c>
      <c r="H270" s="8">
        <v>-0.16263</v>
      </c>
      <c r="I270" s="8">
        <v>-0.30678</v>
      </c>
      <c r="J270" s="8">
        <v>-0.62475999999999998</v>
      </c>
      <c r="K270" s="8">
        <v>-2.5486000000000002E-2</v>
      </c>
      <c r="L270" s="8">
        <v>0.13491</v>
      </c>
      <c r="M270" s="8">
        <v>4.5911E-2</v>
      </c>
      <c r="N270" s="8">
        <v>4.9443000000000001E-2</v>
      </c>
      <c r="O270" s="8">
        <v>-4.7220999999999999E-2</v>
      </c>
      <c r="P270" s="8">
        <v>-4.3324000000000001E-2</v>
      </c>
      <c r="Q270" s="8">
        <v>-3.6461E-2</v>
      </c>
      <c r="R270" s="8">
        <v>1.5368E-2</v>
      </c>
      <c r="S270" s="8">
        <v>1.8393E-2</v>
      </c>
      <c r="T270" s="8">
        <v>-8.3444999999999995E-3</v>
      </c>
      <c r="U270" s="8">
        <v>-1.5826E-2</v>
      </c>
      <c r="V270" s="8">
        <v>-8.3742E-3</v>
      </c>
      <c r="W270" s="8">
        <v>1.8484E-3</v>
      </c>
      <c r="X270" s="8">
        <v>7.2990000000000001E-4</v>
      </c>
      <c r="Y270" s="8">
        <v>1.6242000000000001E-4</v>
      </c>
    </row>
    <row r="271" spans="1:25" x14ac:dyDescent="0.25">
      <c r="A271" s="30" t="s">
        <v>120</v>
      </c>
      <c r="B271" s="12">
        <v>-1.768</v>
      </c>
      <c r="C271" s="12">
        <v>0.81694</v>
      </c>
      <c r="D271" s="8">
        <v>0.11169999999999999</v>
      </c>
      <c r="E271" s="8">
        <v>-0.30804999999999999</v>
      </c>
      <c r="F271" s="8">
        <v>0.14180999999999999</v>
      </c>
      <c r="G271" s="8">
        <v>-0.41466999999999998</v>
      </c>
      <c r="H271" s="8">
        <v>-0.13249</v>
      </c>
      <c r="I271" s="8">
        <v>-0.13700000000000001</v>
      </c>
      <c r="J271" s="8">
        <v>-0.56200000000000006</v>
      </c>
      <c r="K271" s="8">
        <v>3.7376E-2</v>
      </c>
      <c r="L271" s="8">
        <v>0.11778</v>
      </c>
      <c r="M271" s="8">
        <v>0.14224999999999999</v>
      </c>
      <c r="N271" s="8">
        <v>0.11101999999999999</v>
      </c>
      <c r="O271" s="8">
        <v>-7.6717999999999995E-2</v>
      </c>
      <c r="P271" s="8">
        <v>-1.8041999999999999E-2</v>
      </c>
      <c r="Q271" s="8">
        <v>-3.1220000000000001E-2</v>
      </c>
      <c r="R271" s="8">
        <v>5.9283000000000002E-2</v>
      </c>
      <c r="S271" s="8">
        <v>-6.6369999999999997E-3</v>
      </c>
      <c r="T271" s="8">
        <v>-2.3883999999999999E-2</v>
      </c>
      <c r="U271" s="8">
        <v>-8.9114999999999995E-4</v>
      </c>
      <c r="V271" s="8">
        <v>-2.2343999999999999E-4</v>
      </c>
      <c r="W271" s="8">
        <v>-1.0926E-3</v>
      </c>
      <c r="X271" s="8">
        <v>-1.5169000000000001E-3</v>
      </c>
      <c r="Y271" s="8">
        <v>7.3129999999999999E-5</v>
      </c>
    </row>
    <row r="272" spans="1:25" x14ac:dyDescent="0.25">
      <c r="A272" s="30" t="s">
        <v>121</v>
      </c>
      <c r="B272" s="12">
        <v>-1.8293999999999999</v>
      </c>
      <c r="C272" s="12">
        <v>0.91888999999999998</v>
      </c>
      <c r="D272" s="8">
        <v>3.3044999999999998E-2</v>
      </c>
      <c r="E272" s="8">
        <v>-0.11551</v>
      </c>
      <c r="F272" s="8">
        <v>-0.24689</v>
      </c>
      <c r="G272" s="8">
        <v>-0.13636999999999999</v>
      </c>
      <c r="H272" s="8">
        <v>-0.44538</v>
      </c>
      <c r="I272" s="8">
        <v>-0.13879</v>
      </c>
      <c r="J272" s="8">
        <v>-0.35891000000000001</v>
      </c>
      <c r="K272" s="8">
        <v>0.11559999999999999</v>
      </c>
      <c r="L272" s="8">
        <v>0.1857</v>
      </c>
      <c r="M272" s="8">
        <v>0.13997000000000001</v>
      </c>
      <c r="N272" s="8">
        <v>5.8208000000000003E-2</v>
      </c>
      <c r="O272" s="8">
        <v>-8.8021000000000002E-2</v>
      </c>
      <c r="P272" s="8">
        <v>0.14091000000000001</v>
      </c>
      <c r="Q272" s="8">
        <v>-0.10821</v>
      </c>
      <c r="R272" s="8">
        <v>3.8740999999999998E-2</v>
      </c>
      <c r="S272" s="8">
        <v>-1.3091E-2</v>
      </c>
      <c r="T272" s="8">
        <v>-4.1288999999999996E-3</v>
      </c>
      <c r="U272" s="8">
        <v>1.1923999999999999E-3</v>
      </c>
      <c r="V272" s="8">
        <v>3.4283000000000001E-2</v>
      </c>
      <c r="W272" s="8">
        <v>-9.0717999999999997E-3</v>
      </c>
      <c r="X272" s="8">
        <v>3.0717000000000001E-3</v>
      </c>
      <c r="Y272" s="8">
        <v>3.1342000000000002E-3</v>
      </c>
    </row>
    <row r="273" spans="1:25" x14ac:dyDescent="0.25">
      <c r="A273" s="30" t="s">
        <v>122</v>
      </c>
      <c r="B273" s="12">
        <v>-1.7531000000000001</v>
      </c>
      <c r="C273" s="12">
        <v>0.87853999999999999</v>
      </c>
      <c r="D273" s="8">
        <v>9.3140000000000001E-2</v>
      </c>
      <c r="E273" s="8">
        <v>-0.29602000000000001</v>
      </c>
      <c r="F273" s="8">
        <v>0.18328</v>
      </c>
      <c r="G273" s="8">
        <v>-9.3082999999999999E-2</v>
      </c>
      <c r="H273" s="8">
        <v>-0.18606</v>
      </c>
      <c r="I273" s="8">
        <v>-0.21403</v>
      </c>
      <c r="J273" s="8">
        <v>-0.47854000000000002</v>
      </c>
      <c r="K273" s="8">
        <v>-1.4200000000000001E-2</v>
      </c>
      <c r="L273" s="8">
        <v>0.10921</v>
      </c>
      <c r="M273" s="8">
        <v>9.5028000000000001E-2</v>
      </c>
      <c r="N273" s="8">
        <v>0.12232</v>
      </c>
      <c r="O273" s="8">
        <v>-4.0296999999999999E-2</v>
      </c>
      <c r="P273" s="8">
        <v>4.4791999999999998E-2</v>
      </c>
      <c r="Q273" s="8">
        <v>1.4747E-2</v>
      </c>
      <c r="R273" s="8">
        <v>-3.6597999999999999E-2</v>
      </c>
      <c r="S273" s="8">
        <v>6.0365999999999996E-3</v>
      </c>
      <c r="T273" s="8">
        <v>1.1825E-2</v>
      </c>
      <c r="U273" s="8">
        <v>2.0854999999999999E-2</v>
      </c>
      <c r="V273" s="8">
        <v>1.3386E-2</v>
      </c>
      <c r="W273" s="8">
        <v>-6.4691999999999996E-3</v>
      </c>
      <c r="X273" s="8">
        <v>2.0598000000000001E-3</v>
      </c>
      <c r="Y273" s="8">
        <v>5.3461999999999997E-3</v>
      </c>
    </row>
    <row r="274" spans="1:25" x14ac:dyDescent="0.25">
      <c r="A274" s="30" t="s">
        <v>123</v>
      </c>
      <c r="B274" s="12">
        <v>-1.784</v>
      </c>
      <c r="C274" s="12">
        <v>0.91315999999999997</v>
      </c>
      <c r="D274" s="8">
        <v>5.3668E-2</v>
      </c>
      <c r="E274" s="8">
        <v>-0.18592</v>
      </c>
      <c r="F274" s="8">
        <v>1.2108000000000001E-2</v>
      </c>
      <c r="G274" s="8">
        <v>-8.2722000000000004E-2</v>
      </c>
      <c r="H274" s="8">
        <v>-0.30828</v>
      </c>
      <c r="I274" s="8">
        <v>-7.2081999999999993E-2</v>
      </c>
      <c r="J274" s="8">
        <v>-0.36235000000000001</v>
      </c>
      <c r="K274" s="8">
        <v>0.11564000000000001</v>
      </c>
      <c r="L274" s="8">
        <v>0.18032999999999999</v>
      </c>
      <c r="M274" s="8">
        <v>0.1109</v>
      </c>
      <c r="N274" s="8">
        <v>3.4562E-3</v>
      </c>
      <c r="O274" s="8">
        <v>1.4359E-2</v>
      </c>
      <c r="P274" s="8">
        <v>3.1272000000000001E-2</v>
      </c>
      <c r="Q274" s="8">
        <v>-4.0051000000000003E-2</v>
      </c>
      <c r="R274" s="8">
        <v>4.5225000000000001E-2</v>
      </c>
      <c r="S274" s="8">
        <v>-1.8305999999999999E-2</v>
      </c>
      <c r="T274" s="8">
        <v>1.5571E-2</v>
      </c>
      <c r="U274" s="8">
        <v>3.5200000000000002E-2</v>
      </c>
      <c r="V274" s="8">
        <v>-6.6790000000000003E-4</v>
      </c>
      <c r="W274" s="8">
        <v>2.062E-3</v>
      </c>
      <c r="X274" s="8">
        <v>5.1011000000000003E-4</v>
      </c>
      <c r="Y274" s="8">
        <v>7.3907E-3</v>
      </c>
    </row>
    <row r="275" spans="1:25" x14ac:dyDescent="0.25">
      <c r="A275" s="30" t="s">
        <v>124</v>
      </c>
      <c r="B275" s="12">
        <v>-1.8055000000000001</v>
      </c>
      <c r="C275" s="12">
        <v>0.84814000000000001</v>
      </c>
      <c r="D275" s="8">
        <v>0.10642</v>
      </c>
      <c r="E275" s="8">
        <v>-0.28349000000000002</v>
      </c>
      <c r="F275" s="8">
        <v>-9.708E-2</v>
      </c>
      <c r="G275" s="8">
        <v>-0.23486000000000001</v>
      </c>
      <c r="H275" s="8">
        <v>-0.36914000000000002</v>
      </c>
      <c r="I275" s="8">
        <v>-0.53366999999999998</v>
      </c>
      <c r="J275" s="8">
        <v>-0.54483999999999999</v>
      </c>
      <c r="K275" s="8">
        <v>-0.11809</v>
      </c>
      <c r="L275" s="8">
        <v>6.3018000000000005E-2</v>
      </c>
      <c r="M275" s="8">
        <v>0.14391999999999999</v>
      </c>
      <c r="N275" s="8">
        <v>9.9372000000000002E-2</v>
      </c>
      <c r="O275" s="8">
        <v>-8.6722999999999995E-2</v>
      </c>
      <c r="P275" s="8">
        <v>-7.2189000000000003E-2</v>
      </c>
      <c r="Q275" s="8">
        <v>2.5659000000000001E-2</v>
      </c>
      <c r="R275" s="8">
        <v>3.1379999999999998E-2</v>
      </c>
      <c r="S275" s="8">
        <v>-9.1500000000000001E-3</v>
      </c>
      <c r="T275" s="8">
        <v>3.7215999999999998E-3</v>
      </c>
      <c r="U275" s="8">
        <v>-6.4650000000000003E-3</v>
      </c>
      <c r="V275" s="8">
        <v>-1.1073E-2</v>
      </c>
      <c r="W275" s="8">
        <v>-1.5807E-3</v>
      </c>
      <c r="X275" s="8">
        <v>-1.1382E-3</v>
      </c>
      <c r="Y275" s="8">
        <v>1.0351E-3</v>
      </c>
    </row>
    <row r="276" spans="1:25" x14ac:dyDescent="0.25">
      <c r="A276" s="30" t="s">
        <v>125</v>
      </c>
      <c r="B276" s="12">
        <v>-0.97277000000000002</v>
      </c>
      <c r="C276" s="12">
        <v>-2.1857999999999999E-2</v>
      </c>
      <c r="D276" s="8">
        <v>-1.0936999999999999</v>
      </c>
      <c r="E276" s="8">
        <v>0.4677</v>
      </c>
      <c r="F276" s="8">
        <v>-0.73179000000000005</v>
      </c>
      <c r="G276" s="8">
        <v>0.74919999999999998</v>
      </c>
      <c r="H276" s="8">
        <v>0.11259</v>
      </c>
      <c r="I276" s="8">
        <v>-9.4931000000000001E-2</v>
      </c>
      <c r="J276" s="8">
        <v>-1.0394E-2</v>
      </c>
      <c r="K276" s="8">
        <v>0.29646</v>
      </c>
      <c r="L276" s="8">
        <v>0.21884999999999999</v>
      </c>
      <c r="M276" s="8">
        <v>2.5153999999999999E-2</v>
      </c>
      <c r="N276" s="8">
        <v>-1.6914999999999999E-2</v>
      </c>
      <c r="O276" s="8">
        <v>7.4422000000000002E-2</v>
      </c>
      <c r="P276" s="8">
        <v>4.4160999999999999E-2</v>
      </c>
      <c r="Q276" s="8">
        <v>-1.2715000000000001E-2</v>
      </c>
      <c r="R276" s="8">
        <v>2.8459999999999999E-2</v>
      </c>
      <c r="S276" s="8">
        <v>-8.5897000000000002E-4</v>
      </c>
      <c r="T276" s="8">
        <v>2.0381E-2</v>
      </c>
      <c r="U276" s="8">
        <v>-1.5831E-3</v>
      </c>
      <c r="V276" s="8">
        <v>-6.2424000000000004E-3</v>
      </c>
      <c r="W276" s="8">
        <v>2.4815000000000002E-3</v>
      </c>
      <c r="X276" s="8">
        <v>4.8989000000000003E-3</v>
      </c>
      <c r="Y276" s="8">
        <v>-8.1833000000000003E-4</v>
      </c>
    </row>
    <row r="277" spans="1:25" x14ac:dyDescent="0.25">
      <c r="A277" s="30" t="s">
        <v>126</v>
      </c>
      <c r="B277" s="12">
        <v>-0.94896000000000003</v>
      </c>
      <c r="C277" s="12">
        <v>-5.2041999999999998E-2</v>
      </c>
      <c r="D277" s="8">
        <v>-1.0768</v>
      </c>
      <c r="E277" s="8">
        <v>0.41070000000000001</v>
      </c>
      <c r="F277" s="8">
        <v>-0.58730000000000004</v>
      </c>
      <c r="G277" s="8">
        <v>0.66786999999999996</v>
      </c>
      <c r="H277" s="8">
        <v>0.23852000000000001</v>
      </c>
      <c r="I277" s="8">
        <v>-3.1057999999999999E-2</v>
      </c>
      <c r="J277" s="8">
        <v>-7.7743999999999994E-2</v>
      </c>
      <c r="K277" s="8">
        <v>0.28871999999999998</v>
      </c>
      <c r="L277" s="8">
        <v>0.2288</v>
      </c>
      <c r="M277" s="8">
        <v>-5.1288E-2</v>
      </c>
      <c r="N277" s="8">
        <v>-2.1912999999999998E-2</v>
      </c>
      <c r="O277" s="8">
        <v>3.0131999999999999E-2</v>
      </c>
      <c r="P277" s="8">
        <v>1.2796999999999999E-2</v>
      </c>
      <c r="Q277" s="8">
        <v>7.2394E-2</v>
      </c>
      <c r="R277" s="8">
        <v>1.9869000000000001E-2</v>
      </c>
      <c r="S277" s="8">
        <v>-6.9342000000000001E-2</v>
      </c>
      <c r="T277" s="8">
        <v>2.3401999999999999E-2</v>
      </c>
      <c r="U277" s="8">
        <v>-4.0404999999999998E-3</v>
      </c>
      <c r="V277" s="8">
        <v>1.6278999999999998E-2</v>
      </c>
      <c r="W277" s="8">
        <v>-5.6296000000000002E-3</v>
      </c>
      <c r="X277" s="8">
        <v>-2.6394999999999999E-3</v>
      </c>
      <c r="Y277" s="8">
        <v>-1.4037000000000001E-4</v>
      </c>
    </row>
    <row r="278" spans="1:25" x14ac:dyDescent="0.25">
      <c r="A278" s="30" t="s">
        <v>127</v>
      </c>
      <c r="B278" s="12">
        <v>-0.95293000000000005</v>
      </c>
      <c r="C278" s="12">
        <v>7.8882999999999995E-2</v>
      </c>
      <c r="D278" s="8">
        <v>-1.1171</v>
      </c>
      <c r="E278" s="8">
        <v>0.45313999999999999</v>
      </c>
      <c r="F278" s="8">
        <v>-0.71426000000000001</v>
      </c>
      <c r="G278" s="8">
        <v>1.3647</v>
      </c>
      <c r="H278" s="8">
        <v>-3.0060999999999998E-3</v>
      </c>
      <c r="I278" s="8">
        <v>-0.43474000000000002</v>
      </c>
      <c r="J278" s="8">
        <v>9.8905999999999994E-2</v>
      </c>
      <c r="K278" s="8">
        <v>0.11581</v>
      </c>
      <c r="L278" s="8">
        <v>0.20604</v>
      </c>
      <c r="M278" s="8">
        <v>8.4924000000000006E-3</v>
      </c>
      <c r="N278" s="8">
        <v>-1.0822E-2</v>
      </c>
      <c r="O278" s="8">
        <v>-4.367E-2</v>
      </c>
      <c r="P278" s="8">
        <v>6.9916000000000006E-2</v>
      </c>
      <c r="Q278" s="8">
        <v>-9.9179000000000003E-2</v>
      </c>
      <c r="R278" s="8">
        <v>-1.9084E-2</v>
      </c>
      <c r="S278" s="8">
        <v>-7.7242999999999999E-3</v>
      </c>
      <c r="T278" s="8">
        <v>-3.3306999999999998E-3</v>
      </c>
      <c r="U278" s="8">
        <v>-6.5357999999999996E-3</v>
      </c>
      <c r="V278" s="8">
        <v>1.5287E-2</v>
      </c>
      <c r="W278" s="8">
        <v>-1.5405E-2</v>
      </c>
      <c r="X278" s="8">
        <v>-1.6762000000000001E-3</v>
      </c>
      <c r="Y278" s="8">
        <v>-2.7989999999999997E-4</v>
      </c>
    </row>
    <row r="279" spans="1:25" x14ac:dyDescent="0.25">
      <c r="A279" s="30" t="s">
        <v>128</v>
      </c>
      <c r="B279" s="12">
        <v>-0.92157999999999995</v>
      </c>
      <c r="C279" s="12">
        <v>4.2379E-2</v>
      </c>
      <c r="D279" s="8">
        <v>-1.0736000000000001</v>
      </c>
      <c r="E279" s="8">
        <v>0.34175</v>
      </c>
      <c r="F279" s="8">
        <v>-0.53041000000000005</v>
      </c>
      <c r="G279" s="8">
        <v>1.3329</v>
      </c>
      <c r="H279" s="8">
        <v>0.11555</v>
      </c>
      <c r="I279" s="8">
        <v>-0.56272</v>
      </c>
      <c r="J279" s="8">
        <v>1.2359999999999999E-2</v>
      </c>
      <c r="K279" s="8">
        <v>8.8204000000000008E-3</v>
      </c>
      <c r="L279" s="8">
        <v>0.13083</v>
      </c>
      <c r="M279" s="8">
        <v>8.7381E-2</v>
      </c>
      <c r="N279" s="8">
        <v>-2.9697E-3</v>
      </c>
      <c r="O279" s="8">
        <v>-5.5768999999999999E-2</v>
      </c>
      <c r="P279" s="8">
        <v>4.6325999999999997E-3</v>
      </c>
      <c r="Q279" s="8">
        <v>-8.3636000000000002E-2</v>
      </c>
      <c r="R279" s="8">
        <v>-1.405E-2</v>
      </c>
      <c r="S279" s="8">
        <v>-1.1669000000000001E-2</v>
      </c>
      <c r="T279" s="8">
        <v>-1.4111E-2</v>
      </c>
      <c r="U279" s="8">
        <v>1.3257E-3</v>
      </c>
      <c r="V279" s="8">
        <v>1.4956000000000001E-2</v>
      </c>
      <c r="W279" s="8">
        <v>-3.4421999999999999E-3</v>
      </c>
      <c r="X279" s="8">
        <v>4.8834999999999998E-3</v>
      </c>
      <c r="Y279" s="8">
        <v>2.1924000000000002E-3</v>
      </c>
    </row>
    <row r="280" spans="1:25" x14ac:dyDescent="0.25">
      <c r="A280" s="30" t="s">
        <v>129</v>
      </c>
      <c r="B280" s="12">
        <v>-0.91722000000000004</v>
      </c>
      <c r="C280" s="12">
        <v>4.7194E-2</v>
      </c>
      <c r="D280" s="8">
        <v>-1.0837000000000001</v>
      </c>
      <c r="E280" s="8">
        <v>0.37763999999999998</v>
      </c>
      <c r="F280" s="8">
        <v>-0.49603000000000003</v>
      </c>
      <c r="G280" s="8">
        <v>1.2454000000000001</v>
      </c>
      <c r="H280" s="8">
        <v>0.17535999999999999</v>
      </c>
      <c r="I280" s="8">
        <v>-0.31289</v>
      </c>
      <c r="J280" s="8">
        <v>2.4084000000000001E-2</v>
      </c>
      <c r="K280" s="8">
        <v>0.11351</v>
      </c>
      <c r="L280" s="8">
        <v>9.5195000000000002E-2</v>
      </c>
      <c r="M280" s="8">
        <v>0.18123</v>
      </c>
      <c r="N280" s="8">
        <v>8.2966999999999999E-2</v>
      </c>
      <c r="O280" s="8">
        <v>-3.5320999999999998E-2</v>
      </c>
      <c r="P280" s="8">
        <v>-2.1649000000000002E-2</v>
      </c>
      <c r="Q280" s="8">
        <v>1.2296E-2</v>
      </c>
      <c r="R280" s="8">
        <v>1.5433000000000001E-3</v>
      </c>
      <c r="S280" s="8">
        <v>9.6726999999999994E-3</v>
      </c>
      <c r="T280" s="8">
        <v>-1.2017999999999999E-2</v>
      </c>
      <c r="U280" s="8">
        <v>-7.6290000000000004E-3</v>
      </c>
      <c r="V280" s="8">
        <v>9.1923999999999999E-3</v>
      </c>
      <c r="W280" s="8">
        <v>-3.4710000000000001E-3</v>
      </c>
      <c r="X280" s="8">
        <v>-2.7801000000000002E-3</v>
      </c>
      <c r="Y280" s="8">
        <v>1.9289000000000001E-3</v>
      </c>
    </row>
    <row r="281" spans="1:25" x14ac:dyDescent="0.25">
      <c r="A281" s="30" t="s">
        <v>130</v>
      </c>
      <c r="B281" s="12">
        <v>-0.91590000000000005</v>
      </c>
      <c r="C281" s="12">
        <v>0.19819999999999999</v>
      </c>
      <c r="D281" s="8">
        <v>-1.1506000000000001</v>
      </c>
      <c r="E281" s="8">
        <v>0.47369</v>
      </c>
      <c r="F281" s="8">
        <v>-0.59001999999999999</v>
      </c>
      <c r="G281" s="8">
        <v>1.9176</v>
      </c>
      <c r="H281" s="8">
        <v>-2.0139000000000001E-2</v>
      </c>
      <c r="I281" s="8">
        <v>-0.42525000000000002</v>
      </c>
      <c r="J281" s="8">
        <v>0.24456</v>
      </c>
      <c r="K281" s="8">
        <v>5.9438999999999999E-2</v>
      </c>
      <c r="L281" s="8">
        <v>9.9401000000000003E-2</v>
      </c>
      <c r="M281" s="8">
        <v>0.20769000000000001</v>
      </c>
      <c r="N281" s="8">
        <v>3.4930000000000003E-2</v>
      </c>
      <c r="O281" s="8">
        <v>-0.13739999999999999</v>
      </c>
      <c r="P281" s="8">
        <v>-1.6909E-2</v>
      </c>
      <c r="Q281" s="8">
        <v>6.4665E-2</v>
      </c>
      <c r="R281" s="8">
        <v>1.1833E-2</v>
      </c>
      <c r="S281" s="8">
        <v>-1.2203E-2</v>
      </c>
      <c r="T281" s="8">
        <v>-1.5096E-2</v>
      </c>
      <c r="U281" s="8">
        <v>8.3132999999999992E-3</v>
      </c>
      <c r="V281" s="8">
        <v>5.9697999999999999E-3</v>
      </c>
      <c r="W281" s="8">
        <v>7.1792999999999996E-3</v>
      </c>
      <c r="X281" s="8">
        <v>8.5917000000000007E-3</v>
      </c>
      <c r="Y281" s="8">
        <v>-1.2267999999999999E-3</v>
      </c>
    </row>
    <row r="282" spans="1:25" x14ac:dyDescent="0.25">
      <c r="A282" s="30" t="s">
        <v>131</v>
      </c>
      <c r="B282" s="12">
        <v>-0.94362999999999997</v>
      </c>
      <c r="C282" s="12">
        <v>3.9972000000000001E-2</v>
      </c>
      <c r="D282" s="8">
        <v>-1.1012999999999999</v>
      </c>
      <c r="E282" s="8">
        <v>0.44713999999999998</v>
      </c>
      <c r="F282" s="8">
        <v>-0.61753000000000002</v>
      </c>
      <c r="G282" s="8">
        <v>1.0714999999999999</v>
      </c>
      <c r="H282" s="8">
        <v>0.14843000000000001</v>
      </c>
      <c r="I282" s="8">
        <v>-0.11534</v>
      </c>
      <c r="J282" s="8">
        <v>6.5254999999999994E-2</v>
      </c>
      <c r="K282" s="8">
        <v>0.23691000000000001</v>
      </c>
      <c r="L282" s="8">
        <v>0.11293</v>
      </c>
      <c r="M282" s="8">
        <v>0.30049999999999999</v>
      </c>
      <c r="N282" s="8">
        <v>-2.4109999999999999E-2</v>
      </c>
      <c r="O282" s="8">
        <v>-5.1471999999999997E-2</v>
      </c>
      <c r="P282" s="8">
        <v>-1.295E-4</v>
      </c>
      <c r="Q282" s="8">
        <v>-1.5633999999999999E-2</v>
      </c>
      <c r="R282" s="8">
        <v>6.2443999999999999E-6</v>
      </c>
      <c r="S282" s="8">
        <v>2.4139000000000001E-2</v>
      </c>
      <c r="T282" s="8">
        <v>-4.8283E-2</v>
      </c>
      <c r="U282" s="8">
        <v>4.8447000000000004E-3</v>
      </c>
      <c r="V282" s="8">
        <v>2.7044E-3</v>
      </c>
      <c r="W282" s="8">
        <v>-2.4120999999999999E-3</v>
      </c>
      <c r="X282" s="8">
        <v>-8.4545000000000002E-3</v>
      </c>
      <c r="Y282" s="8">
        <v>3.8362000000000001E-3</v>
      </c>
    </row>
    <row r="283" spans="1:25" x14ac:dyDescent="0.25">
      <c r="A283" s="30" t="s">
        <v>132</v>
      </c>
      <c r="B283" s="12">
        <v>-0.92476000000000003</v>
      </c>
      <c r="C283" s="12">
        <v>-3.7031000000000001E-2</v>
      </c>
      <c r="D283" s="8">
        <v>-1.0693999999999999</v>
      </c>
      <c r="E283" s="8">
        <v>0.37564999999999998</v>
      </c>
      <c r="F283" s="8">
        <v>-0.46600999999999998</v>
      </c>
      <c r="G283" s="8">
        <v>0.78171999999999997</v>
      </c>
      <c r="H283" s="8">
        <v>0.30664999999999998</v>
      </c>
      <c r="I283" s="8">
        <v>-2.6324E-2</v>
      </c>
      <c r="J283" s="8">
        <v>-5.9524000000000001E-2</v>
      </c>
      <c r="K283" s="8">
        <v>0.25979999999999998</v>
      </c>
      <c r="L283" s="8">
        <v>0.19197</v>
      </c>
      <c r="M283" s="8">
        <v>4.7948999999999999E-2</v>
      </c>
      <c r="N283" s="8">
        <v>-6.0098E-3</v>
      </c>
      <c r="O283" s="8">
        <v>-1.6463000000000001E-3</v>
      </c>
      <c r="P283" s="8">
        <v>4.5231E-2</v>
      </c>
      <c r="Q283" s="8">
        <v>3.576E-2</v>
      </c>
      <c r="R283" s="8">
        <v>3.2514000000000001E-2</v>
      </c>
      <c r="S283" s="8">
        <v>5.8333999999999997E-2</v>
      </c>
      <c r="T283" s="8">
        <v>1.3728000000000001E-2</v>
      </c>
      <c r="U283" s="8">
        <v>-1.2111E-2</v>
      </c>
      <c r="V283" s="8">
        <v>3.4623000000000002E-3</v>
      </c>
      <c r="W283" s="8">
        <v>1.402E-3</v>
      </c>
      <c r="X283" s="8">
        <v>7.0083000000000003E-3</v>
      </c>
      <c r="Y283" s="8">
        <v>3.9034E-3</v>
      </c>
    </row>
    <row r="284" spans="1:25" x14ac:dyDescent="0.25">
      <c r="A284" s="30" t="s">
        <v>133</v>
      </c>
      <c r="B284" s="12">
        <v>0.20172000000000001</v>
      </c>
      <c r="C284" s="12">
        <v>-1.454</v>
      </c>
      <c r="D284" s="8">
        <v>0.22567000000000001</v>
      </c>
      <c r="E284" s="8">
        <v>-0.75046000000000002</v>
      </c>
      <c r="F284" s="8">
        <v>-8.3530999999999994E-2</v>
      </c>
      <c r="G284" s="8">
        <v>-0.81867999999999996</v>
      </c>
      <c r="H284" s="8">
        <v>-0.11650000000000001</v>
      </c>
      <c r="I284" s="8">
        <v>-0.40672000000000003</v>
      </c>
      <c r="J284" s="8">
        <v>-0.20533000000000001</v>
      </c>
      <c r="K284" s="8">
        <v>0.25796000000000002</v>
      </c>
      <c r="L284" s="8">
        <v>0.11075</v>
      </c>
      <c r="M284" s="8">
        <v>-6.2447000000000003E-2</v>
      </c>
      <c r="N284" s="8">
        <v>-0.16861999999999999</v>
      </c>
      <c r="O284" s="8">
        <v>-0.17541999999999999</v>
      </c>
      <c r="P284" s="8">
        <v>-4.6066999999999997E-2</v>
      </c>
      <c r="Q284" s="8">
        <v>2.0480000000000002E-2</v>
      </c>
      <c r="R284" s="8">
        <v>-1.9178000000000001E-2</v>
      </c>
      <c r="S284" s="8">
        <v>-7.6103000000000004E-2</v>
      </c>
      <c r="T284" s="8">
        <v>9.6040999999999997E-5</v>
      </c>
      <c r="U284" s="8">
        <v>-9.5066000000000005E-3</v>
      </c>
      <c r="V284" s="8">
        <v>-4.5430999999999999E-2</v>
      </c>
      <c r="W284" s="8">
        <v>4.5675999999999998E-3</v>
      </c>
      <c r="X284" s="8">
        <v>-6.7352000000000002E-3</v>
      </c>
      <c r="Y284" s="8">
        <v>4.6848000000000002E-3</v>
      </c>
    </row>
    <row r="285" spans="1:25" x14ac:dyDescent="0.25">
      <c r="A285" s="30" t="s">
        <v>134</v>
      </c>
      <c r="B285" s="12">
        <v>0.30057</v>
      </c>
      <c r="C285" s="12">
        <v>-1.4118999999999999</v>
      </c>
      <c r="D285" s="8">
        <v>0.25147000000000003</v>
      </c>
      <c r="E285" s="8">
        <v>-0.87597999999999998</v>
      </c>
      <c r="F285" s="8">
        <v>0.44291000000000003</v>
      </c>
      <c r="G285" s="8">
        <v>-0.48788999999999999</v>
      </c>
      <c r="H285" s="8">
        <v>0.17574000000000001</v>
      </c>
      <c r="I285" s="8">
        <v>-0.23144999999999999</v>
      </c>
      <c r="J285" s="8">
        <v>-0.12950999999999999</v>
      </c>
      <c r="K285" s="8">
        <v>0.21967</v>
      </c>
      <c r="L285" s="8">
        <v>-6.2110999999999998E-3</v>
      </c>
      <c r="M285" s="8">
        <v>0.23999000000000001</v>
      </c>
      <c r="N285" s="8">
        <v>-0.18775</v>
      </c>
      <c r="O285" s="8">
        <v>-0.13274</v>
      </c>
      <c r="P285" s="8">
        <v>8.3589999999999998E-2</v>
      </c>
      <c r="Q285" s="8">
        <v>-2.8004000000000001E-2</v>
      </c>
      <c r="R285" s="8">
        <v>4.9708E-3</v>
      </c>
      <c r="S285" s="8">
        <v>-2.3442000000000001E-2</v>
      </c>
      <c r="T285" s="8">
        <v>1.0426E-2</v>
      </c>
      <c r="U285" s="8">
        <v>-7.7197999999999998E-3</v>
      </c>
      <c r="V285" s="8">
        <v>-2.9415E-2</v>
      </c>
      <c r="W285" s="8">
        <v>1.5391000000000001E-3</v>
      </c>
      <c r="X285" s="8">
        <v>-7.0076000000000001E-3</v>
      </c>
      <c r="Y285" s="8">
        <v>4.7660999999999997E-3</v>
      </c>
    </row>
    <row r="286" spans="1:25" x14ac:dyDescent="0.25">
      <c r="A286" s="30" t="s">
        <v>135</v>
      </c>
      <c r="B286" s="12">
        <v>0.36171999999999999</v>
      </c>
      <c r="C286" s="12">
        <v>-1.2266999999999999</v>
      </c>
      <c r="D286" s="8">
        <v>0.19463</v>
      </c>
      <c r="E286" s="8">
        <v>-0.85816999999999999</v>
      </c>
      <c r="F286" s="8">
        <v>0.64383999999999997</v>
      </c>
      <c r="G286" s="8">
        <v>0.52336000000000005</v>
      </c>
      <c r="H286" s="8">
        <v>6.2648999999999996E-2</v>
      </c>
      <c r="I286" s="8">
        <v>-0.44925999999999999</v>
      </c>
      <c r="J286" s="8">
        <v>0.11090999999999999</v>
      </c>
      <c r="K286" s="8">
        <v>8.8731000000000004E-2</v>
      </c>
      <c r="L286" s="8">
        <v>4.5803000000000003E-2</v>
      </c>
      <c r="M286" s="8">
        <v>-1.9792999999999998E-3</v>
      </c>
      <c r="N286" s="8">
        <v>-0.14187</v>
      </c>
      <c r="O286" s="8">
        <v>-5.6186E-2</v>
      </c>
      <c r="P286" s="8">
        <v>1.9442000000000001E-2</v>
      </c>
      <c r="Q286" s="8">
        <v>2.6554999999999999E-2</v>
      </c>
      <c r="R286" s="8">
        <v>1.6666000000000001E-3</v>
      </c>
      <c r="S286" s="8">
        <v>-1.1696E-2</v>
      </c>
      <c r="T286" s="8">
        <v>-8.6058000000000003E-3</v>
      </c>
      <c r="U286" s="8">
        <v>-1.7757999999999999E-2</v>
      </c>
      <c r="V286" s="8">
        <v>-4.3771000000000001E-3</v>
      </c>
      <c r="W286" s="8">
        <v>-9.9668999999999997E-5</v>
      </c>
      <c r="X286" s="8">
        <v>1.1651999999999999E-3</v>
      </c>
      <c r="Y286" s="8">
        <v>-4.5491000000000004E-3</v>
      </c>
    </row>
    <row r="287" spans="1:25" x14ac:dyDescent="0.25">
      <c r="A287" s="30" t="s">
        <v>136</v>
      </c>
      <c r="B287" s="12">
        <v>0.36807000000000001</v>
      </c>
      <c r="C287" s="12">
        <v>-1.2827</v>
      </c>
      <c r="D287" s="8">
        <v>0.20633000000000001</v>
      </c>
      <c r="E287" s="8">
        <v>-0.86629999999999996</v>
      </c>
      <c r="F287" s="8">
        <v>0.72011999999999998</v>
      </c>
      <c r="G287" s="8">
        <v>0.20905000000000001</v>
      </c>
      <c r="H287" s="8">
        <v>0.21443000000000001</v>
      </c>
      <c r="I287" s="8">
        <v>-0.17735999999999999</v>
      </c>
      <c r="J287" s="8">
        <v>3.2620000000000003E-2</v>
      </c>
      <c r="K287" s="8">
        <v>0.21103</v>
      </c>
      <c r="L287" s="8">
        <v>8.0314999999999998E-2</v>
      </c>
      <c r="M287" s="8">
        <v>-3.5015999999999999E-2</v>
      </c>
      <c r="N287" s="8">
        <v>-9.2893000000000003E-3</v>
      </c>
      <c r="O287" s="8">
        <v>-4.5006999999999998E-2</v>
      </c>
      <c r="P287" s="8">
        <v>0.11454</v>
      </c>
      <c r="Q287" s="8">
        <v>-4.7572000000000003E-2</v>
      </c>
      <c r="R287" s="8">
        <v>-1.8506000000000002E-2</v>
      </c>
      <c r="S287" s="8">
        <v>4.8349999999999999E-3</v>
      </c>
      <c r="T287" s="8">
        <v>1.0364999999999999E-2</v>
      </c>
      <c r="U287" s="8">
        <v>-1.4995E-2</v>
      </c>
      <c r="V287" s="8">
        <v>7.3603000000000002E-3</v>
      </c>
      <c r="W287" s="8">
        <v>-5.6410000000000002E-3</v>
      </c>
      <c r="X287" s="8">
        <v>3.1816000000000001E-3</v>
      </c>
      <c r="Y287" s="8">
        <v>-2.2921999999999999E-3</v>
      </c>
    </row>
    <row r="288" spans="1:25" x14ac:dyDescent="0.25">
      <c r="A288" s="30" t="s">
        <v>137</v>
      </c>
      <c r="B288" s="12">
        <v>0.36429</v>
      </c>
      <c r="C288" s="12">
        <v>-1.2777000000000001</v>
      </c>
      <c r="D288" s="8">
        <v>0.21998000000000001</v>
      </c>
      <c r="E288" s="8">
        <v>-0.90225</v>
      </c>
      <c r="F288" s="8">
        <v>0.69106000000000001</v>
      </c>
      <c r="G288" s="8">
        <v>0.30429</v>
      </c>
      <c r="H288" s="8">
        <v>0.14729999999999999</v>
      </c>
      <c r="I288" s="8">
        <v>-0.41548000000000002</v>
      </c>
      <c r="J288" s="8">
        <v>3.7262000000000003E-2</v>
      </c>
      <c r="K288" s="8">
        <v>9.4252000000000002E-2</v>
      </c>
      <c r="L288" s="8">
        <v>3.3179E-2</v>
      </c>
      <c r="M288" s="8">
        <v>4.6866999999999999E-2</v>
      </c>
      <c r="N288" s="8">
        <v>-0.16650999999999999</v>
      </c>
      <c r="O288" s="8">
        <v>-8.5251999999999994E-2</v>
      </c>
      <c r="P288" s="8">
        <v>3.0646E-2</v>
      </c>
      <c r="Q288" s="8">
        <v>1.1809999999999999E-2</v>
      </c>
      <c r="R288" s="8">
        <v>3.6511000000000002E-2</v>
      </c>
      <c r="S288" s="8">
        <v>3.6514999999999998E-3</v>
      </c>
      <c r="T288" s="8">
        <v>1.9105E-2</v>
      </c>
      <c r="U288" s="8">
        <v>-3.3709999999999999E-3</v>
      </c>
      <c r="V288" s="8">
        <v>7.5119000000000002E-3</v>
      </c>
      <c r="W288" s="8">
        <v>7.4460000000000004E-3</v>
      </c>
      <c r="X288" s="8">
        <v>-3.0825000000000002E-3</v>
      </c>
      <c r="Y288" s="8">
        <v>1.7382999999999999E-3</v>
      </c>
    </row>
    <row r="289" spans="1:25" x14ac:dyDescent="0.25">
      <c r="A289" s="30" t="s">
        <v>138</v>
      </c>
      <c r="B289" s="12">
        <v>0.40437000000000001</v>
      </c>
      <c r="C289" s="12">
        <v>-1.2762</v>
      </c>
      <c r="D289" s="8">
        <v>0.22026999999999999</v>
      </c>
      <c r="E289" s="8">
        <v>-0.92969999999999997</v>
      </c>
      <c r="F289" s="8">
        <v>0.91335</v>
      </c>
      <c r="G289" s="8">
        <v>0.31423000000000001</v>
      </c>
      <c r="H289" s="8">
        <v>0.32950000000000002</v>
      </c>
      <c r="I289" s="8">
        <v>-0.15476999999999999</v>
      </c>
      <c r="J289" s="8">
        <v>3.8685999999999998E-2</v>
      </c>
      <c r="K289" s="8">
        <v>0.18143000000000001</v>
      </c>
      <c r="L289" s="8">
        <v>3.8610999999999999E-2</v>
      </c>
      <c r="M289" s="8">
        <v>7.6714000000000004E-2</v>
      </c>
      <c r="N289" s="8">
        <v>-7.6522000000000007E-2</v>
      </c>
      <c r="O289" s="8">
        <v>-8.7411000000000003E-2</v>
      </c>
      <c r="P289" s="8">
        <v>5.2475000000000001E-2</v>
      </c>
      <c r="Q289" s="8">
        <v>-3.9919999999999997E-2</v>
      </c>
      <c r="R289" s="8">
        <v>-4.0308999999999998E-2</v>
      </c>
      <c r="S289" s="8">
        <v>-2.4199999999999999E-2</v>
      </c>
      <c r="T289" s="8">
        <v>1.5879999999999998E-2</v>
      </c>
      <c r="U289" s="8">
        <v>-1.3021E-2</v>
      </c>
      <c r="V289" s="8">
        <v>2.4552000000000001E-2</v>
      </c>
      <c r="W289" s="8">
        <v>-3.1235999999999998E-3</v>
      </c>
      <c r="X289" s="8">
        <v>-3.5664E-3</v>
      </c>
      <c r="Y289" s="8">
        <v>8.1424999999999998E-4</v>
      </c>
    </row>
    <row r="290" spans="1:25" x14ac:dyDescent="0.25">
      <c r="A290" s="30" t="s">
        <v>139</v>
      </c>
      <c r="B290" s="12">
        <v>0.33778000000000002</v>
      </c>
      <c r="C290" s="12">
        <v>-1.2609999999999999</v>
      </c>
      <c r="D290" s="8">
        <v>0.19528999999999999</v>
      </c>
      <c r="E290" s="8">
        <v>-0.82479999999999998</v>
      </c>
      <c r="F290" s="8">
        <v>0.53466000000000002</v>
      </c>
      <c r="G290" s="8">
        <v>0.27198</v>
      </c>
      <c r="H290" s="8">
        <v>6.6185999999999995E-2</v>
      </c>
      <c r="I290" s="8">
        <v>-0.33795999999999998</v>
      </c>
      <c r="J290" s="8">
        <v>5.5099000000000002E-2</v>
      </c>
      <c r="K290" s="8">
        <v>0.17505000000000001</v>
      </c>
      <c r="L290" s="8">
        <v>4.4340999999999998E-2</v>
      </c>
      <c r="M290" s="8">
        <v>3.8671999999999998E-2</v>
      </c>
      <c r="N290" s="8">
        <v>-1.4226000000000001E-2</v>
      </c>
      <c r="O290" s="8">
        <v>-8.4000000000000005E-2</v>
      </c>
      <c r="P290" s="8">
        <v>-1.1176E-2</v>
      </c>
      <c r="Q290" s="8">
        <v>-2.3828999999999999E-2</v>
      </c>
      <c r="R290" s="8">
        <v>-1.4430999999999999E-2</v>
      </c>
      <c r="S290" s="8">
        <v>-2.9361000000000001E-3</v>
      </c>
      <c r="T290" s="8">
        <v>4.6025999999999997E-2</v>
      </c>
      <c r="U290" s="8">
        <v>2.8365999999999999E-3</v>
      </c>
      <c r="V290" s="8">
        <v>5.4663999999999997E-3</v>
      </c>
      <c r="W290" s="8">
        <v>-1.0678E-2</v>
      </c>
      <c r="X290" s="8">
        <v>4.4085000000000001E-4</v>
      </c>
      <c r="Y290" s="8">
        <v>-2.4618999999999999E-3</v>
      </c>
    </row>
    <row r="291" spans="1:25" x14ac:dyDescent="0.25">
      <c r="A291" s="30" t="s">
        <v>140</v>
      </c>
      <c r="B291" s="12">
        <v>0.36953999999999998</v>
      </c>
      <c r="C291" s="12">
        <v>-1.2514000000000001</v>
      </c>
      <c r="D291" s="8">
        <v>0.19925999999999999</v>
      </c>
      <c r="E291" s="8">
        <v>-0.86212999999999995</v>
      </c>
      <c r="F291" s="8">
        <v>0.70274999999999999</v>
      </c>
      <c r="G291" s="8">
        <v>0.37907999999999997</v>
      </c>
      <c r="H291" s="8">
        <v>0.15198999999999999</v>
      </c>
      <c r="I291" s="8">
        <v>-0.29021999999999998</v>
      </c>
      <c r="J291" s="8">
        <v>6.5772999999999998E-2</v>
      </c>
      <c r="K291" s="8">
        <v>0.16250000000000001</v>
      </c>
      <c r="L291" s="8">
        <v>6.4730999999999997E-2</v>
      </c>
      <c r="M291" s="8">
        <v>-4.0550000000000003E-2</v>
      </c>
      <c r="N291" s="8">
        <v>-3.1014E-2</v>
      </c>
      <c r="O291" s="8">
        <v>-5.1507999999999998E-2</v>
      </c>
      <c r="P291" s="8">
        <v>7.7346000000000003E-3</v>
      </c>
      <c r="Q291" s="8">
        <v>1.1050000000000001E-2</v>
      </c>
      <c r="R291" s="8">
        <v>-8.5082999999999999E-3</v>
      </c>
      <c r="S291" s="8">
        <v>-1.1566999999999999E-2</v>
      </c>
      <c r="T291" s="8">
        <v>7.4812999999999998E-3</v>
      </c>
      <c r="U291" s="8">
        <v>8.8433000000000001E-3</v>
      </c>
      <c r="V291" s="8">
        <v>1.9065E-3</v>
      </c>
      <c r="W291" s="8">
        <v>-4.8564000000000002E-4</v>
      </c>
      <c r="X291" s="8">
        <v>-1.415E-4</v>
      </c>
      <c r="Y291" s="8">
        <v>-2.846E-3</v>
      </c>
    </row>
    <row r="292" spans="1:25" x14ac:dyDescent="0.25">
      <c r="A292" s="30" t="s">
        <v>141</v>
      </c>
      <c r="B292" s="12">
        <v>0.30819000000000002</v>
      </c>
      <c r="C292" s="12">
        <v>-1.4125000000000001</v>
      </c>
      <c r="D292" s="8">
        <v>0.24784999999999999</v>
      </c>
      <c r="E292" s="8">
        <v>-0.87394000000000005</v>
      </c>
      <c r="F292" s="8">
        <v>0.47731000000000001</v>
      </c>
      <c r="G292" s="8">
        <v>-0.49064999999999998</v>
      </c>
      <c r="H292" s="8">
        <v>0.21235999999999999</v>
      </c>
      <c r="I292" s="8">
        <v>-0.17272000000000001</v>
      </c>
      <c r="J292" s="8">
        <v>-0.1542</v>
      </c>
      <c r="K292" s="8">
        <v>0.26446999999999998</v>
      </c>
      <c r="L292" s="8">
        <v>2.0643999999999999E-2</v>
      </c>
      <c r="M292" s="8">
        <v>0.14529</v>
      </c>
      <c r="N292" s="8">
        <v>-5.3651999999999998E-2</v>
      </c>
      <c r="O292" s="8">
        <v>-0.12382</v>
      </c>
      <c r="P292" s="8">
        <v>-1.3838E-2</v>
      </c>
      <c r="Q292" s="8">
        <v>-4.7456999999999999E-2</v>
      </c>
      <c r="R292" s="8">
        <v>-7.8162999999999996E-2</v>
      </c>
      <c r="S292" s="8">
        <v>3.5042999999999998E-2</v>
      </c>
      <c r="T292" s="8">
        <v>2.3557999999999999E-2</v>
      </c>
      <c r="U292" s="8">
        <v>-1.7475999999999998E-2</v>
      </c>
      <c r="V292" s="8">
        <v>3.508E-2</v>
      </c>
      <c r="W292" s="8">
        <v>-9.6325000000000002E-4</v>
      </c>
      <c r="X292" s="8">
        <v>3.1200999999999998E-3</v>
      </c>
      <c r="Y292" s="8">
        <v>-1.4425E-3</v>
      </c>
    </row>
    <row r="293" spans="1:25" x14ac:dyDescent="0.25">
      <c r="A293" s="30" t="s">
        <v>142</v>
      </c>
      <c r="B293" s="12">
        <v>-1.9815</v>
      </c>
      <c r="C293" s="12">
        <v>-0.25807000000000002</v>
      </c>
      <c r="D293" s="8">
        <v>-0.51788999999999996</v>
      </c>
      <c r="E293" s="8">
        <v>-0.21937999999999999</v>
      </c>
      <c r="F293" s="8">
        <v>-3.9389000000000004E-3</v>
      </c>
      <c r="G293" s="8">
        <v>-0.26506999999999997</v>
      </c>
      <c r="H293" s="8">
        <v>-6.2686E-3</v>
      </c>
      <c r="I293" s="8">
        <v>-0.44912000000000002</v>
      </c>
      <c r="J293" s="8">
        <v>-0.29244999999999999</v>
      </c>
      <c r="K293" s="8">
        <v>-0.2021</v>
      </c>
      <c r="L293" s="8">
        <v>-0.38478000000000001</v>
      </c>
      <c r="M293" s="8">
        <v>-6.9309999999999997E-2</v>
      </c>
      <c r="N293" s="8">
        <v>0.11411</v>
      </c>
      <c r="O293" s="8">
        <v>-2.0292000000000001E-2</v>
      </c>
      <c r="P293" s="8">
        <v>0.11736000000000001</v>
      </c>
      <c r="Q293" s="8">
        <v>3.0941E-2</v>
      </c>
      <c r="R293" s="8">
        <v>-9.3615999999999994E-3</v>
      </c>
      <c r="S293" s="8">
        <v>3.0448999999999998E-4</v>
      </c>
      <c r="T293" s="8">
        <v>3.7649999999999999E-4</v>
      </c>
      <c r="U293" s="8">
        <v>-8.9930999999999995E-4</v>
      </c>
      <c r="V293" s="8">
        <v>-6.8760000000000002E-3</v>
      </c>
      <c r="W293" s="8">
        <v>9.0129000000000008E-3</v>
      </c>
      <c r="X293" s="8">
        <v>-4.2544000000000002E-4</v>
      </c>
      <c r="Y293" s="8">
        <v>-4.7594999999999998E-3</v>
      </c>
    </row>
    <row r="294" spans="1:25" x14ac:dyDescent="0.25">
      <c r="A294" s="30" t="s">
        <v>143</v>
      </c>
      <c r="B294" s="12">
        <v>-2.0350999999999999</v>
      </c>
      <c r="C294" s="12">
        <v>-0.2024</v>
      </c>
      <c r="D294" s="8">
        <v>-0.60441</v>
      </c>
      <c r="E294" s="8">
        <v>1.4596E-2</v>
      </c>
      <c r="F294" s="8">
        <v>-0.28939999999999999</v>
      </c>
      <c r="G294" s="8">
        <v>-0.37109999999999999</v>
      </c>
      <c r="H294" s="8">
        <v>-0.15509999999999999</v>
      </c>
      <c r="I294" s="8">
        <v>7.0141999999999996E-2</v>
      </c>
      <c r="J294" s="8">
        <v>-9.7937999999999997E-2</v>
      </c>
      <c r="K294" s="8">
        <v>0.15307000000000001</v>
      </c>
      <c r="L294" s="8">
        <v>-0.23208999999999999</v>
      </c>
      <c r="M294" s="8">
        <v>-0.10237</v>
      </c>
      <c r="N294" s="8">
        <v>-6.1017000000000002E-2</v>
      </c>
      <c r="O294" s="8">
        <v>4.9632000000000003E-2</v>
      </c>
      <c r="P294" s="8">
        <v>1.1254E-2</v>
      </c>
      <c r="Q294" s="8">
        <v>7.7311000000000005E-2</v>
      </c>
      <c r="R294" s="8">
        <v>2.9781999999999999E-2</v>
      </c>
      <c r="S294" s="8">
        <v>-3.1032000000000001E-2</v>
      </c>
      <c r="T294" s="8">
        <v>8.8763000000000002E-3</v>
      </c>
      <c r="U294" s="8">
        <v>5.6280000000000002E-3</v>
      </c>
      <c r="V294" s="8">
        <v>-6.4441000000000003E-3</v>
      </c>
      <c r="W294" s="8">
        <v>-1.243E-2</v>
      </c>
      <c r="X294" s="8">
        <v>1.1326000000000001E-3</v>
      </c>
      <c r="Y294" s="8">
        <v>1.8309999999999999E-3</v>
      </c>
    </row>
    <row r="295" spans="1:25" x14ac:dyDescent="0.25">
      <c r="A295" s="30" t="s">
        <v>144</v>
      </c>
      <c r="B295" s="12">
        <v>-2.0139999999999998</v>
      </c>
      <c r="C295" s="12">
        <v>-0.19744999999999999</v>
      </c>
      <c r="D295" s="8">
        <v>-0.57555000000000001</v>
      </c>
      <c r="E295" s="8">
        <v>-7.5340000000000004E-2</v>
      </c>
      <c r="F295" s="8">
        <v>-0.20596</v>
      </c>
      <c r="G295" s="8">
        <v>-0.19103000000000001</v>
      </c>
      <c r="H295" s="8">
        <v>-0.13794999999999999</v>
      </c>
      <c r="I295" s="8">
        <v>-0.23022000000000001</v>
      </c>
      <c r="J295" s="8">
        <v>-0.17404</v>
      </c>
      <c r="K295" s="8">
        <v>-5.0966999999999998E-2</v>
      </c>
      <c r="L295" s="8">
        <v>-0.34450999999999998</v>
      </c>
      <c r="M295" s="8">
        <v>-4.8558999999999998E-2</v>
      </c>
      <c r="N295" s="8">
        <v>9.6997E-2</v>
      </c>
      <c r="O295" s="8">
        <v>-4.8251000000000002E-2</v>
      </c>
      <c r="P295" s="8">
        <v>1.1938000000000001E-2</v>
      </c>
      <c r="Q295" s="8">
        <v>0.13270999999999999</v>
      </c>
      <c r="R295" s="8">
        <v>4.8675999999999997E-2</v>
      </c>
      <c r="S295" s="8">
        <v>-3.3721000000000001E-2</v>
      </c>
      <c r="T295" s="8">
        <v>-1.1415E-2</v>
      </c>
      <c r="U295" s="8">
        <v>-3.4748000000000001E-3</v>
      </c>
      <c r="V295" s="8">
        <v>5.6201999999999997E-3</v>
      </c>
      <c r="W295" s="8">
        <v>1.6613000000000001E-3</v>
      </c>
      <c r="X295" s="8">
        <v>7.2526999999999997E-4</v>
      </c>
      <c r="Y295" s="8">
        <v>-4.4413999999999999E-3</v>
      </c>
    </row>
    <row r="296" spans="1:25" x14ac:dyDescent="0.25">
      <c r="A296" s="30" t="s">
        <v>145</v>
      </c>
      <c r="B296" s="12">
        <v>-2.0074999999999998</v>
      </c>
      <c r="C296" s="12">
        <v>-0.1062</v>
      </c>
      <c r="D296" s="8">
        <v>-0.6179</v>
      </c>
      <c r="E296" s="8">
        <v>-1.5553000000000001E-2</v>
      </c>
      <c r="F296" s="8">
        <v>-0.23141</v>
      </c>
      <c r="G296" s="8">
        <v>0.25919999999999999</v>
      </c>
      <c r="H296" s="8">
        <v>-0.27356999999999998</v>
      </c>
      <c r="I296" s="8">
        <v>-0.33012000000000002</v>
      </c>
      <c r="J296" s="8">
        <v>-1.3268E-2</v>
      </c>
      <c r="K296" s="8">
        <v>-4.283E-2</v>
      </c>
      <c r="L296" s="8">
        <v>-0.23497000000000001</v>
      </c>
      <c r="M296" s="8">
        <v>-0.22953999999999999</v>
      </c>
      <c r="N296" s="8">
        <v>9.1324000000000002E-2</v>
      </c>
      <c r="O296" s="8">
        <v>5.4843000000000003E-2</v>
      </c>
      <c r="P296" s="8">
        <v>6.1678000000000002E-3</v>
      </c>
      <c r="Q296" s="8">
        <v>-4.1988999999999999E-2</v>
      </c>
      <c r="R296" s="8">
        <v>2.5999999999999999E-2</v>
      </c>
      <c r="S296" s="8">
        <v>-1.1362E-3</v>
      </c>
      <c r="T296" s="8">
        <v>1.2704999999999999E-2</v>
      </c>
      <c r="U296" s="8">
        <v>1.8436000000000001E-2</v>
      </c>
      <c r="V296" s="8">
        <v>-8.7956000000000004E-4</v>
      </c>
      <c r="W296" s="8">
        <v>-3.6784000000000001E-3</v>
      </c>
      <c r="X296" s="8">
        <v>3.5320999999999998E-3</v>
      </c>
      <c r="Y296" s="8">
        <v>1.5901000000000001E-3</v>
      </c>
    </row>
    <row r="297" spans="1:25" x14ac:dyDescent="0.25">
      <c r="A297" s="30" t="s">
        <v>146</v>
      </c>
      <c r="B297" s="12">
        <v>-1.8905000000000001</v>
      </c>
      <c r="C297" s="12">
        <v>-0.18049000000000001</v>
      </c>
      <c r="D297" s="8">
        <v>-0.54930000000000001</v>
      </c>
      <c r="E297" s="8">
        <v>-0.22120000000000001</v>
      </c>
      <c r="F297" s="8">
        <v>0.47683999999999999</v>
      </c>
      <c r="G297" s="8">
        <v>2.8634E-2</v>
      </c>
      <c r="H297" s="8">
        <v>0.30184</v>
      </c>
      <c r="I297" s="8">
        <v>0.17957999999999999</v>
      </c>
      <c r="J297" s="8">
        <v>-0.10405</v>
      </c>
      <c r="K297" s="8">
        <v>4.5428999999999997E-2</v>
      </c>
      <c r="L297" s="8">
        <v>-0.37023</v>
      </c>
      <c r="M297" s="8">
        <v>0.17743999999999999</v>
      </c>
      <c r="N297" s="8">
        <v>-1.0557E-2</v>
      </c>
      <c r="O297" s="8">
        <v>1.8880999999999998E-2</v>
      </c>
      <c r="P297" s="8">
        <v>-3.3008999999999997E-2</v>
      </c>
      <c r="Q297" s="8">
        <v>-2.5183000000000001E-2</v>
      </c>
      <c r="R297" s="8">
        <v>-4.9114999999999999E-2</v>
      </c>
      <c r="S297" s="8">
        <v>-7.1204000000000003E-2</v>
      </c>
      <c r="T297" s="8">
        <v>-1.1098E-2</v>
      </c>
      <c r="U297" s="8">
        <v>-9.3560999999999991E-3</v>
      </c>
      <c r="V297" s="8">
        <v>-1.0991E-3</v>
      </c>
      <c r="W297" s="8">
        <v>3.9141999999999996E-3</v>
      </c>
      <c r="X297" s="8">
        <v>-5.3382000000000004E-3</v>
      </c>
      <c r="Y297" s="8">
        <v>-2.7196E-3</v>
      </c>
    </row>
    <row r="298" spans="1:25" x14ac:dyDescent="0.25">
      <c r="A298" s="30" t="s">
        <v>147</v>
      </c>
      <c r="B298" s="12">
        <v>-1.8777999999999999</v>
      </c>
      <c r="C298" s="12">
        <v>-0.16707</v>
      </c>
      <c r="D298" s="8">
        <v>-0.53012000000000004</v>
      </c>
      <c r="E298" s="8">
        <v>-0.28788000000000002</v>
      </c>
      <c r="F298" s="8">
        <v>0.50632999999999995</v>
      </c>
      <c r="G298" s="8">
        <v>0.25686999999999999</v>
      </c>
      <c r="H298" s="8">
        <v>0.25086000000000003</v>
      </c>
      <c r="I298" s="8">
        <v>-0.18684000000000001</v>
      </c>
      <c r="J298" s="8">
        <v>-0.16283</v>
      </c>
      <c r="K298" s="8">
        <v>-0.14774000000000001</v>
      </c>
      <c r="L298" s="8">
        <v>-0.40101999999999999</v>
      </c>
      <c r="M298" s="8">
        <v>3.3678E-2</v>
      </c>
      <c r="N298" s="8">
        <v>0.17127999999999999</v>
      </c>
      <c r="O298" s="8">
        <v>-1.7778E-4</v>
      </c>
      <c r="P298" s="8">
        <v>-6.6784999999999997E-2</v>
      </c>
      <c r="Q298" s="8">
        <v>-1.4940999999999999E-2</v>
      </c>
      <c r="R298" s="8">
        <v>2.1194999999999999E-3</v>
      </c>
      <c r="S298" s="8">
        <v>-2.0847999999999998E-2</v>
      </c>
      <c r="T298" s="8">
        <v>9.5905999999999995E-3</v>
      </c>
      <c r="U298" s="8">
        <v>-2.0077000000000001E-2</v>
      </c>
      <c r="V298" s="8">
        <v>-2.5950999999999998E-2</v>
      </c>
      <c r="W298" s="8">
        <v>-5.3001999999999997E-4</v>
      </c>
      <c r="X298" s="8">
        <v>2.0160999999999998E-3</v>
      </c>
      <c r="Y298" s="8">
        <v>4.7972999999999999E-4</v>
      </c>
    </row>
    <row r="299" spans="1:25" x14ac:dyDescent="0.25">
      <c r="A299" s="30" t="s">
        <v>148</v>
      </c>
      <c r="B299" s="12">
        <v>-1.9186000000000001</v>
      </c>
      <c r="C299" s="12">
        <v>-0.14610999999999999</v>
      </c>
      <c r="D299" s="8">
        <v>-0.57082999999999995</v>
      </c>
      <c r="E299" s="8">
        <v>-0.15254000000000001</v>
      </c>
      <c r="F299" s="8">
        <v>0.29626999999999998</v>
      </c>
      <c r="G299" s="8">
        <v>0.11828</v>
      </c>
      <c r="H299" s="8">
        <v>0.15515000000000001</v>
      </c>
      <c r="I299" s="8">
        <v>9.5963000000000007E-2</v>
      </c>
      <c r="J299" s="8">
        <v>-7.6256000000000004E-2</v>
      </c>
      <c r="K299" s="8">
        <v>3.4008999999999998E-2</v>
      </c>
      <c r="L299" s="8">
        <v>-0.38888</v>
      </c>
      <c r="M299" s="8">
        <v>0.15115000000000001</v>
      </c>
      <c r="N299" s="8">
        <v>0.15207000000000001</v>
      </c>
      <c r="O299" s="8">
        <v>3.9508000000000001E-2</v>
      </c>
      <c r="P299" s="8">
        <v>-2.8354000000000001E-2</v>
      </c>
      <c r="Q299" s="8">
        <v>7.8379000000000001E-3</v>
      </c>
      <c r="R299" s="8">
        <v>-4.6565E-3</v>
      </c>
      <c r="S299" s="8">
        <v>-1.3028E-2</v>
      </c>
      <c r="T299" s="8">
        <v>4.8197000000000002E-4</v>
      </c>
      <c r="U299" s="8">
        <v>-1.8249000000000001E-2</v>
      </c>
      <c r="V299" s="8">
        <v>-4.5069000000000003E-3</v>
      </c>
      <c r="W299" s="8">
        <v>-1.0644000000000001E-2</v>
      </c>
      <c r="X299" s="8">
        <v>-3.6054000000000001E-4</v>
      </c>
      <c r="Y299" s="8">
        <v>4.2449999999999996E-3</v>
      </c>
    </row>
    <row r="300" spans="1:25" x14ac:dyDescent="0.25">
      <c r="A300" s="30" t="s">
        <v>149</v>
      </c>
      <c r="B300" s="12">
        <v>-1.8803000000000001</v>
      </c>
      <c r="C300" s="12">
        <v>-0.13472999999999999</v>
      </c>
      <c r="D300" s="8">
        <v>-0.55891999999999997</v>
      </c>
      <c r="E300" s="8">
        <v>-0.23588000000000001</v>
      </c>
      <c r="F300" s="8">
        <v>0.49408999999999997</v>
      </c>
      <c r="G300" s="8">
        <v>0.36359999999999998</v>
      </c>
      <c r="H300" s="8">
        <v>0.19975999999999999</v>
      </c>
      <c r="I300" s="8">
        <v>-8.7159E-2</v>
      </c>
      <c r="J300" s="8">
        <v>-6.1670999999999997E-2</v>
      </c>
      <c r="K300" s="8">
        <v>-0.10542</v>
      </c>
      <c r="L300" s="8">
        <v>-0.30789</v>
      </c>
      <c r="M300" s="8">
        <v>-0.14579</v>
      </c>
      <c r="N300" s="8">
        <v>-4.3055000000000003E-2</v>
      </c>
      <c r="O300" s="8">
        <v>7.6366000000000003E-2</v>
      </c>
      <c r="P300" s="8">
        <v>0.12731000000000001</v>
      </c>
      <c r="Q300" s="8">
        <v>0.10773000000000001</v>
      </c>
      <c r="R300" s="8">
        <v>-2.8906000000000001E-2</v>
      </c>
      <c r="S300" s="8">
        <v>1.0623E-2</v>
      </c>
      <c r="T300" s="8">
        <v>2.3413E-2</v>
      </c>
      <c r="U300" s="8">
        <v>-1.0403000000000001E-2</v>
      </c>
      <c r="V300" s="8">
        <v>-4.0660999999999996E-3</v>
      </c>
      <c r="W300" s="8">
        <v>-1.4878999999999999E-3</v>
      </c>
      <c r="X300" s="8">
        <v>1.0909E-2</v>
      </c>
      <c r="Y300" s="8">
        <v>-7.4925999999999997E-4</v>
      </c>
    </row>
    <row r="301" spans="1:25" x14ac:dyDescent="0.25">
      <c r="A301" s="30" t="s">
        <v>150</v>
      </c>
      <c r="B301" s="12">
        <v>-1.9839</v>
      </c>
      <c r="C301" s="12">
        <v>-9.3696000000000002E-2</v>
      </c>
      <c r="D301" s="8">
        <v>-0.64493999999999996</v>
      </c>
      <c r="E301" s="8">
        <v>4.657E-2</v>
      </c>
      <c r="F301" s="8">
        <v>-8.3656999999999995E-2</v>
      </c>
      <c r="G301" s="8">
        <v>0.13644999999999999</v>
      </c>
      <c r="H301" s="8">
        <v>-8.3864999999999995E-2</v>
      </c>
      <c r="I301" s="8">
        <v>0.25656000000000001</v>
      </c>
      <c r="J301" s="8">
        <v>4.9535000000000003E-2</v>
      </c>
      <c r="K301" s="8">
        <v>0.21668999999999999</v>
      </c>
      <c r="L301" s="8">
        <v>-0.23108999999999999</v>
      </c>
      <c r="M301" s="8">
        <v>-5.3831999999999998E-2</v>
      </c>
      <c r="N301" s="8">
        <v>0.21314</v>
      </c>
      <c r="O301" s="8">
        <v>7.6967999999999995E-2</v>
      </c>
      <c r="P301" s="8">
        <v>0.1013</v>
      </c>
      <c r="Q301" s="8">
        <v>-0.12683</v>
      </c>
      <c r="R301" s="8">
        <v>-6.6571000000000005E-2</v>
      </c>
      <c r="S301" s="8">
        <v>-4.1424000000000002E-2</v>
      </c>
      <c r="T301" s="8">
        <v>4.4702000000000001E-4</v>
      </c>
      <c r="U301" s="8">
        <v>1.3406E-2</v>
      </c>
      <c r="V301" s="8">
        <v>2.2880000000000001E-2</v>
      </c>
      <c r="W301" s="8">
        <v>1.3823E-2</v>
      </c>
      <c r="X301" s="8">
        <v>3.7055E-3</v>
      </c>
      <c r="Y301" s="8">
        <v>1.5494E-3</v>
      </c>
    </row>
    <row r="302" spans="1:25" x14ac:dyDescent="0.25">
      <c r="A302" s="30" t="s">
        <v>79</v>
      </c>
      <c r="B302" s="12">
        <v>-0.67145999999999995</v>
      </c>
      <c r="C302" s="12">
        <v>-1.3816999999999999</v>
      </c>
      <c r="D302" s="8">
        <v>0.89398</v>
      </c>
      <c r="E302" s="8">
        <v>0.41731000000000001</v>
      </c>
      <c r="F302" s="8">
        <v>5.2541999999999998E-2</v>
      </c>
      <c r="G302" s="8">
        <v>0.43661</v>
      </c>
      <c r="H302" s="8">
        <v>-0.21054</v>
      </c>
      <c r="I302" s="8">
        <v>0.38708999999999999</v>
      </c>
      <c r="J302" s="8">
        <v>-0.14069999999999999</v>
      </c>
      <c r="K302" s="8">
        <v>-2.5061E-2</v>
      </c>
      <c r="L302" s="8">
        <v>3.9168999999999999E-4</v>
      </c>
      <c r="M302" s="8">
        <v>-4.3354999999999999E-3</v>
      </c>
      <c r="N302" s="8">
        <v>-0.16564999999999999</v>
      </c>
      <c r="O302" s="8">
        <v>3.4124000000000002E-2</v>
      </c>
      <c r="P302" s="8">
        <v>-0.15548999999999999</v>
      </c>
      <c r="Q302" s="8">
        <v>7.7119999999999994E-2</v>
      </c>
      <c r="R302" s="8">
        <v>-4.8022000000000004E-3</v>
      </c>
      <c r="S302" s="8">
        <v>1.7181999999999999E-2</v>
      </c>
      <c r="T302" s="8">
        <v>-3.0644000000000001E-2</v>
      </c>
      <c r="U302" s="8">
        <v>-3.5999999999999999E-3</v>
      </c>
      <c r="V302" s="8">
        <v>6.6167000000000005E-4</v>
      </c>
      <c r="W302" s="8">
        <v>6.6768000000000001E-3</v>
      </c>
      <c r="X302" s="8">
        <v>4.6360000000000004E-3</v>
      </c>
      <c r="Y302" s="8">
        <v>-5.8217999999999996E-4</v>
      </c>
    </row>
    <row r="303" spans="1:25" x14ac:dyDescent="0.25">
      <c r="A303" s="30" t="s">
        <v>78</v>
      </c>
      <c r="B303" s="12">
        <v>-0.66820999999999997</v>
      </c>
      <c r="C303" s="12">
        <v>-1.3875999999999999</v>
      </c>
      <c r="D303" s="8">
        <v>0.90559000000000001</v>
      </c>
      <c r="E303" s="8">
        <v>0.40672999999999998</v>
      </c>
      <c r="F303" s="8">
        <v>7.8049999999999994E-2</v>
      </c>
      <c r="G303" s="8">
        <v>0.42513000000000001</v>
      </c>
      <c r="H303" s="8">
        <v>-0.21923999999999999</v>
      </c>
      <c r="I303" s="8">
        <v>0.34666000000000002</v>
      </c>
      <c r="J303" s="8">
        <v>-0.15104000000000001</v>
      </c>
      <c r="K303" s="8">
        <v>-4.1888000000000002E-2</v>
      </c>
      <c r="L303" s="8">
        <v>-3.7784999999999999E-2</v>
      </c>
      <c r="M303" s="8">
        <v>4.1015000000000001E-3</v>
      </c>
      <c r="N303" s="8">
        <v>-4.0467999999999997E-2</v>
      </c>
      <c r="O303" s="8">
        <v>0.19220999999999999</v>
      </c>
      <c r="P303" s="8">
        <v>-7.4371999999999994E-2</v>
      </c>
      <c r="Q303" s="8">
        <v>1.5740000000000001E-2</v>
      </c>
      <c r="R303" s="8">
        <v>-5.8668999999999999E-2</v>
      </c>
      <c r="S303" s="8">
        <v>1.2194999999999999E-2</v>
      </c>
      <c r="T303" s="8">
        <v>-2.1255E-2</v>
      </c>
      <c r="U303" s="8">
        <v>-1.7203E-2</v>
      </c>
      <c r="V303" s="8">
        <v>9.0950000000000007E-3</v>
      </c>
      <c r="W303" s="8">
        <v>-3.0896999999999999E-3</v>
      </c>
      <c r="X303" s="8">
        <v>9.1873000000000007E-3</v>
      </c>
      <c r="Y303" s="8">
        <v>-3.3059000000000002E-4</v>
      </c>
    </row>
    <row r="304" spans="1:25" x14ac:dyDescent="0.25">
      <c r="A304" s="30" t="s">
        <v>77</v>
      </c>
      <c r="B304" s="12">
        <v>-0.61453999999999998</v>
      </c>
      <c r="C304" s="12">
        <v>-1.3945000000000001</v>
      </c>
      <c r="D304" s="8">
        <v>0.93057000000000001</v>
      </c>
      <c r="E304" s="8">
        <v>0.30632999999999999</v>
      </c>
      <c r="F304" s="8">
        <v>0.35553000000000001</v>
      </c>
      <c r="G304" s="8">
        <v>0.53778999999999999</v>
      </c>
      <c r="H304" s="8">
        <v>-4.4731E-2</v>
      </c>
      <c r="I304" s="8">
        <v>0.33187</v>
      </c>
      <c r="J304" s="8">
        <v>-0.21892</v>
      </c>
      <c r="K304" s="8">
        <v>-9.2492000000000005E-2</v>
      </c>
      <c r="L304" s="8">
        <v>-4.8238000000000003E-2</v>
      </c>
      <c r="M304" s="8">
        <v>-6.9725999999999996E-2</v>
      </c>
      <c r="N304" s="8">
        <v>0.11383</v>
      </c>
      <c r="O304" s="8">
        <v>0.15886</v>
      </c>
      <c r="P304" s="8">
        <v>-0.21149000000000001</v>
      </c>
      <c r="Q304" s="8">
        <v>2.8665000000000001E-3</v>
      </c>
      <c r="R304" s="8">
        <v>-5.5326E-2</v>
      </c>
      <c r="S304" s="8">
        <v>-2.9758E-2</v>
      </c>
      <c r="T304" s="8">
        <v>4.2109000000000001E-3</v>
      </c>
      <c r="U304" s="8">
        <v>1.2175E-2</v>
      </c>
      <c r="V304" s="8">
        <v>9.1602999999999997E-3</v>
      </c>
      <c r="W304" s="8">
        <v>-3.7691000000000001E-3</v>
      </c>
      <c r="X304" s="8">
        <v>2.568E-3</v>
      </c>
      <c r="Y304" s="8">
        <v>8.8920000000000006E-3</v>
      </c>
    </row>
    <row r="305" spans="1:25" x14ac:dyDescent="0.25">
      <c r="A305" s="30" t="s">
        <v>151</v>
      </c>
      <c r="B305" s="12">
        <v>-0.72158</v>
      </c>
      <c r="C305" s="12">
        <v>-1.5205</v>
      </c>
      <c r="D305" s="8">
        <v>0.93708000000000002</v>
      </c>
      <c r="E305" s="8">
        <v>0.41336000000000001</v>
      </c>
      <c r="F305" s="8">
        <v>-0.12253</v>
      </c>
      <c r="G305" s="8">
        <v>-0.30076000000000003</v>
      </c>
      <c r="H305" s="8">
        <v>-0.18332999999999999</v>
      </c>
      <c r="I305" s="8">
        <v>0.46977999999999998</v>
      </c>
      <c r="J305" s="8">
        <v>-0.32867000000000002</v>
      </c>
      <c r="K305" s="8">
        <v>5.8446999999999999E-2</v>
      </c>
      <c r="L305" s="8">
        <v>1.3632E-3</v>
      </c>
      <c r="M305" s="8">
        <v>-1.2248E-2</v>
      </c>
      <c r="N305" s="8">
        <v>-7.5519000000000003E-2</v>
      </c>
      <c r="O305" s="8">
        <v>0.13982</v>
      </c>
      <c r="P305" s="8">
        <v>-4.8697999999999998E-2</v>
      </c>
      <c r="Q305" s="8">
        <v>1.0567999999999999E-2</v>
      </c>
      <c r="R305" s="8">
        <v>3.5672000000000002E-2</v>
      </c>
      <c r="S305" s="8">
        <v>3.2419000000000003E-2</v>
      </c>
      <c r="T305" s="8">
        <v>1.3261999999999999E-2</v>
      </c>
      <c r="U305" s="8">
        <v>-2.0726999999999999E-2</v>
      </c>
      <c r="V305" s="8">
        <v>1.6381E-2</v>
      </c>
      <c r="W305" s="8">
        <v>-3.8468E-3</v>
      </c>
      <c r="X305" s="8">
        <v>3.2972000000000001E-3</v>
      </c>
      <c r="Y305" s="8">
        <v>-5.0049999999999999E-3</v>
      </c>
    </row>
    <row r="306" spans="1:25" x14ac:dyDescent="0.25">
      <c r="A306" s="30" t="s">
        <v>152</v>
      </c>
      <c r="B306" s="12">
        <v>-0.66910999999999998</v>
      </c>
      <c r="C306" s="12">
        <v>-1.4472</v>
      </c>
      <c r="D306" s="8">
        <v>0.94460999999999995</v>
      </c>
      <c r="E306" s="8">
        <v>0.32030999999999998</v>
      </c>
      <c r="F306" s="8">
        <v>9.8503999999999994E-2</v>
      </c>
      <c r="G306" s="8">
        <v>0.26128000000000001</v>
      </c>
      <c r="H306" s="8">
        <v>-0.1762</v>
      </c>
      <c r="I306" s="8">
        <v>0.14813000000000001</v>
      </c>
      <c r="J306" s="8">
        <v>-0.25774999999999998</v>
      </c>
      <c r="K306" s="8">
        <v>-0.15826999999999999</v>
      </c>
      <c r="L306" s="8">
        <v>-5.1165000000000002E-2</v>
      </c>
      <c r="M306" s="8">
        <v>-1.4104E-3</v>
      </c>
      <c r="N306" s="8">
        <v>-0.15407999999999999</v>
      </c>
      <c r="O306" s="8">
        <v>8.8822999999999999E-2</v>
      </c>
      <c r="P306" s="8">
        <v>-6.8590999999999999E-2</v>
      </c>
      <c r="Q306" s="8">
        <v>3.6303000000000002E-2</v>
      </c>
      <c r="R306" s="8">
        <v>2.266E-2</v>
      </c>
      <c r="S306" s="8">
        <v>4.7327000000000001E-2</v>
      </c>
      <c r="T306" s="8">
        <v>-1.7834999999999999E-3</v>
      </c>
      <c r="U306" s="8">
        <v>-1.66E-2</v>
      </c>
      <c r="V306" s="8">
        <v>-1.6358E-3</v>
      </c>
      <c r="W306" s="8">
        <v>-1.0215999999999999E-3</v>
      </c>
      <c r="X306" s="8">
        <v>-1.7958999999999999E-5</v>
      </c>
      <c r="Y306" s="8">
        <v>3.8057E-4</v>
      </c>
    </row>
    <row r="307" spans="1:25" x14ac:dyDescent="0.25">
      <c r="A307" s="30" t="s">
        <v>153</v>
      </c>
      <c r="B307" s="12">
        <v>-0.67362</v>
      </c>
      <c r="C307" s="12">
        <v>-1.5446</v>
      </c>
      <c r="D307" s="8">
        <v>0.96175999999999995</v>
      </c>
      <c r="E307" s="8">
        <v>0.32467000000000001</v>
      </c>
      <c r="F307" s="8">
        <v>0.13994000000000001</v>
      </c>
      <c r="G307" s="8">
        <v>-0.3266</v>
      </c>
      <c r="H307" s="8">
        <v>4.9972999999999997E-2</v>
      </c>
      <c r="I307" s="8">
        <v>0.60116999999999998</v>
      </c>
      <c r="J307" s="8">
        <v>-0.40629999999999999</v>
      </c>
      <c r="K307" s="8">
        <v>5.8652999999999997E-2</v>
      </c>
      <c r="L307" s="8">
        <v>-2.6544999999999999E-2</v>
      </c>
      <c r="M307" s="8">
        <v>5.4604E-2</v>
      </c>
      <c r="N307" s="8">
        <v>6.6934999999999995E-2</v>
      </c>
      <c r="O307" s="8">
        <v>9.2788999999999996E-3</v>
      </c>
      <c r="P307" s="8">
        <v>-7.3162000000000005E-2</v>
      </c>
      <c r="Q307" s="8">
        <v>-5.8146000000000003E-2</v>
      </c>
      <c r="R307" s="8">
        <v>3.9514000000000001E-2</v>
      </c>
      <c r="S307" s="8">
        <v>5.5853E-2</v>
      </c>
      <c r="T307" s="8">
        <v>-2.3588000000000001E-2</v>
      </c>
      <c r="U307" s="8">
        <v>2.5933000000000002E-3</v>
      </c>
      <c r="V307" s="8">
        <v>-1.6076E-4</v>
      </c>
      <c r="W307" s="8">
        <v>6.7457000000000003E-3</v>
      </c>
      <c r="X307" s="8">
        <v>3.6273999999999998E-3</v>
      </c>
      <c r="Y307" s="8">
        <v>-1.82E-3</v>
      </c>
    </row>
    <row r="308" spans="1:25" x14ac:dyDescent="0.25">
      <c r="A308" s="30" t="s">
        <v>154</v>
      </c>
      <c r="B308" s="12">
        <v>-0.63875999999999999</v>
      </c>
      <c r="C308" s="12">
        <v>-1.4189000000000001</v>
      </c>
      <c r="D308" s="8">
        <v>0.93703999999999998</v>
      </c>
      <c r="E308" s="8">
        <v>0.32089000000000001</v>
      </c>
      <c r="F308" s="8">
        <v>0.25364999999999999</v>
      </c>
      <c r="G308" s="8">
        <v>0.36048000000000002</v>
      </c>
      <c r="H308" s="8">
        <v>-5.7466999999999997E-2</v>
      </c>
      <c r="I308" s="8">
        <v>0.37212000000000001</v>
      </c>
      <c r="J308" s="8">
        <v>-0.20838999999999999</v>
      </c>
      <c r="K308" s="8">
        <v>-9.1119000000000006E-2</v>
      </c>
      <c r="L308" s="8">
        <v>-0.10551000000000001</v>
      </c>
      <c r="M308" s="8">
        <v>0.19284999999999999</v>
      </c>
      <c r="N308" s="8">
        <v>-1.7058E-2</v>
      </c>
      <c r="O308" s="8">
        <v>9.5504000000000006E-2</v>
      </c>
      <c r="P308" s="8">
        <v>5.3341E-2</v>
      </c>
      <c r="Q308" s="8">
        <v>-8.8001999999999997E-2</v>
      </c>
      <c r="R308" s="8">
        <v>-2.8958999999999999E-2</v>
      </c>
      <c r="S308" s="8">
        <v>-4.7121999999999997E-3</v>
      </c>
      <c r="T308" s="8">
        <v>-2.5028000000000002E-2</v>
      </c>
      <c r="U308" s="8">
        <v>-2.0889999999999999E-2</v>
      </c>
      <c r="V308" s="8">
        <v>6.6588999999999997E-3</v>
      </c>
      <c r="W308" s="8">
        <v>7.9098999999999992E-3</v>
      </c>
      <c r="X308" s="8">
        <v>-3.0913E-3</v>
      </c>
      <c r="Y308" s="8">
        <v>-2.9986000000000001E-3</v>
      </c>
    </row>
    <row r="309" spans="1:25" x14ac:dyDescent="0.25">
      <c r="A309" s="30" t="s">
        <v>155</v>
      </c>
      <c r="B309" s="12">
        <v>-0.75587000000000004</v>
      </c>
      <c r="C309" s="12">
        <v>-1.3571</v>
      </c>
      <c r="D309" s="8">
        <v>0.84914000000000001</v>
      </c>
      <c r="E309" s="8">
        <v>0.57279999999999998</v>
      </c>
      <c r="F309" s="8">
        <v>-0.43367</v>
      </c>
      <c r="G309" s="8">
        <v>0.35499000000000003</v>
      </c>
      <c r="H309" s="8">
        <v>-0.48465999999999998</v>
      </c>
      <c r="I309" s="8">
        <v>0.31586999999999998</v>
      </c>
      <c r="J309" s="8">
        <v>-0.11637</v>
      </c>
      <c r="K309" s="8">
        <v>2.3979E-2</v>
      </c>
      <c r="L309" s="8">
        <v>1.0074999999999999E-3</v>
      </c>
      <c r="M309" s="8">
        <v>5.3580999999999997E-2</v>
      </c>
      <c r="N309" s="8">
        <v>8.5234000000000004E-4</v>
      </c>
      <c r="O309" s="8">
        <v>-9.4694E-2</v>
      </c>
      <c r="P309" s="8">
        <v>-0.10557999999999999</v>
      </c>
      <c r="Q309" s="8">
        <v>-4.3435000000000001E-3</v>
      </c>
      <c r="R309" s="8">
        <v>-1.8384999999999999E-2</v>
      </c>
      <c r="S309" s="8">
        <v>1.7202999999999999E-4</v>
      </c>
      <c r="T309" s="8">
        <v>-1.8532E-2</v>
      </c>
      <c r="U309" s="8">
        <v>9.3118000000000003E-3</v>
      </c>
      <c r="V309" s="8">
        <v>1.3436999999999999E-2</v>
      </c>
      <c r="W309" s="8">
        <v>3.8319999999999999E-3</v>
      </c>
      <c r="X309" s="8">
        <v>-5.2298E-5</v>
      </c>
      <c r="Y309" s="8">
        <v>-3.054E-4</v>
      </c>
    </row>
    <row r="310" spans="1:25" x14ac:dyDescent="0.25">
      <c r="A310" s="30" t="s">
        <v>156</v>
      </c>
      <c r="B310" s="12">
        <v>-0.72626999999999997</v>
      </c>
      <c r="C310" s="12">
        <v>-1.4207000000000001</v>
      </c>
      <c r="D310" s="8">
        <v>0.87807999999999997</v>
      </c>
      <c r="E310" s="8">
        <v>0.49495</v>
      </c>
      <c r="F310" s="8">
        <v>-0.22719</v>
      </c>
      <c r="G310" s="8">
        <v>0.11541999999999999</v>
      </c>
      <c r="H310" s="8">
        <v>-0.27961999999999998</v>
      </c>
      <c r="I310" s="8">
        <v>0.48155999999999999</v>
      </c>
      <c r="J310" s="8">
        <v>-0.20684</v>
      </c>
      <c r="K310" s="8">
        <v>5.5530999999999997E-2</v>
      </c>
      <c r="L310" s="8">
        <v>4.1418000000000003E-2</v>
      </c>
      <c r="M310" s="8">
        <v>-3.0674E-2</v>
      </c>
      <c r="N310" s="8">
        <v>-7.9619999999999996E-2</v>
      </c>
      <c r="O310" s="8">
        <v>-0.12873000000000001</v>
      </c>
      <c r="P310" s="8">
        <v>-6.0858000000000002E-2</v>
      </c>
      <c r="Q310" s="8">
        <v>5.62E-2</v>
      </c>
      <c r="R310" s="8">
        <v>1.6517E-2</v>
      </c>
      <c r="S310" s="8">
        <v>-5.6927999999999996E-3</v>
      </c>
      <c r="T310" s="8">
        <v>1.4806999999999999E-3</v>
      </c>
      <c r="U310" s="8">
        <v>2.8479999999999998E-3</v>
      </c>
      <c r="V310" s="8">
        <v>5.3318999999999997E-3</v>
      </c>
      <c r="W310" s="8">
        <v>-1.4982999999999999E-3</v>
      </c>
      <c r="X310" s="8">
        <v>4.9535999999999998E-3</v>
      </c>
      <c r="Y310" s="8">
        <v>-1.9272E-3</v>
      </c>
    </row>
    <row r="311" spans="1:25" x14ac:dyDescent="0.25">
      <c r="A311" s="30" t="s">
        <v>157</v>
      </c>
      <c r="B311" s="12">
        <v>-0.68827000000000005</v>
      </c>
      <c r="C311" s="12">
        <v>-1.3301000000000001</v>
      </c>
      <c r="D311" s="8">
        <v>0.86267000000000005</v>
      </c>
      <c r="E311" s="8">
        <v>0.48052</v>
      </c>
      <c r="F311" s="8">
        <v>-8.8521000000000002E-2</v>
      </c>
      <c r="G311" s="8">
        <v>0.63043000000000005</v>
      </c>
      <c r="H311" s="8">
        <v>-0.31136000000000003</v>
      </c>
      <c r="I311" s="8">
        <v>0.33806999999999998</v>
      </c>
      <c r="J311" s="8">
        <v>-0.10247000000000001</v>
      </c>
      <c r="K311" s="8">
        <v>-3.5518000000000001E-2</v>
      </c>
      <c r="L311" s="8">
        <v>1.3909E-3</v>
      </c>
      <c r="M311" s="8">
        <v>-1.6230000000000001E-2</v>
      </c>
      <c r="N311" s="8">
        <v>5.5196000000000002E-2</v>
      </c>
      <c r="O311" s="8">
        <v>-7.2633000000000003E-2</v>
      </c>
      <c r="P311" s="8">
        <v>-8.3745E-2</v>
      </c>
      <c r="Q311" s="8">
        <v>-2.3296999999999999E-4</v>
      </c>
      <c r="R311" s="8">
        <v>2.0563999999999999E-2</v>
      </c>
      <c r="S311" s="8">
        <v>-1.0387E-2</v>
      </c>
      <c r="T311" s="8">
        <v>3.0515999999999998E-3</v>
      </c>
      <c r="U311" s="8">
        <v>6.3010000000000002E-3</v>
      </c>
      <c r="V311" s="8">
        <v>8.5574000000000002E-4</v>
      </c>
      <c r="W311" s="8">
        <v>4.0048999999999996E-3</v>
      </c>
      <c r="X311" s="8">
        <v>3.2230000000000002E-3</v>
      </c>
      <c r="Y311" s="8">
        <v>-3.4769000000000002E-3</v>
      </c>
    </row>
    <row r="312" spans="1:25" x14ac:dyDescent="0.25">
      <c r="A312" s="30" t="s">
        <v>158</v>
      </c>
      <c r="B312" s="12">
        <v>-0.67101999999999995</v>
      </c>
      <c r="C312" s="12">
        <v>-1.4288000000000001</v>
      </c>
      <c r="D312" s="8">
        <v>0.88239999999999996</v>
      </c>
      <c r="E312" s="8">
        <v>0.45054</v>
      </c>
      <c r="F312" s="8">
        <v>8.1175999999999998E-2</v>
      </c>
      <c r="G312" s="8">
        <v>0.10938000000000001</v>
      </c>
      <c r="H312" s="8">
        <v>-4.5206000000000003E-2</v>
      </c>
      <c r="I312" s="8">
        <v>0.78788999999999998</v>
      </c>
      <c r="J312" s="8">
        <v>-0.22863</v>
      </c>
      <c r="K312" s="8">
        <v>0.16699</v>
      </c>
      <c r="L312" s="8">
        <v>0.10777</v>
      </c>
      <c r="M312" s="8">
        <v>-0.17058999999999999</v>
      </c>
      <c r="N312" s="8">
        <v>4.7795999999999998E-2</v>
      </c>
      <c r="O312" s="8">
        <v>-8.6945999999999996E-2</v>
      </c>
      <c r="P312" s="8">
        <v>-0.11322</v>
      </c>
      <c r="Q312" s="8">
        <v>3.6395999999999998E-2</v>
      </c>
      <c r="R312" s="8">
        <v>1.7049000000000002E-2</v>
      </c>
      <c r="S312" s="8">
        <v>-2.1378999999999999E-3</v>
      </c>
      <c r="T312" s="8">
        <v>-5.1622999999999999E-3</v>
      </c>
      <c r="U312" s="8">
        <v>3.2476999999999999E-2</v>
      </c>
      <c r="V312" s="8">
        <v>2.9864000000000002E-3</v>
      </c>
      <c r="W312" s="8">
        <v>-5.0745E-3</v>
      </c>
      <c r="X312" s="8">
        <v>2.9878000000000001E-4</v>
      </c>
      <c r="Y312" s="8">
        <v>1.5656999999999999E-3</v>
      </c>
    </row>
    <row r="313" spans="1:25" x14ac:dyDescent="0.25">
      <c r="A313" s="30" t="s">
        <v>159</v>
      </c>
      <c r="B313" s="12">
        <v>-0.69877</v>
      </c>
      <c r="C313" s="12">
        <v>-1.41</v>
      </c>
      <c r="D313" s="8">
        <v>0.89378999999999997</v>
      </c>
      <c r="E313" s="8">
        <v>0.44409999999999999</v>
      </c>
      <c r="F313" s="8">
        <v>-9.4411999999999996E-2</v>
      </c>
      <c r="G313" s="8">
        <v>0.26049</v>
      </c>
      <c r="H313" s="8">
        <v>-0.24227000000000001</v>
      </c>
      <c r="I313" s="8">
        <v>0.37525999999999998</v>
      </c>
      <c r="J313" s="8">
        <v>-0.22269</v>
      </c>
      <c r="K313" s="8">
        <v>-4.2396999999999999E-3</v>
      </c>
      <c r="L313" s="8">
        <v>1.0002E-2</v>
      </c>
      <c r="M313" s="8">
        <v>-6.0725000000000001E-2</v>
      </c>
      <c r="N313" s="8">
        <v>7.1217000000000003E-2</v>
      </c>
      <c r="O313" s="8">
        <v>-3.7539000000000003E-2</v>
      </c>
      <c r="P313" s="8">
        <v>-0.12528</v>
      </c>
      <c r="Q313" s="8">
        <v>-2.8479999999999998E-3</v>
      </c>
      <c r="R313" s="8">
        <v>-2.8254E-3</v>
      </c>
      <c r="S313" s="8">
        <v>-3.3498999999999998E-3</v>
      </c>
      <c r="T313" s="8">
        <v>7.7060000000000002E-3</v>
      </c>
      <c r="U313" s="8">
        <v>2.104E-2</v>
      </c>
      <c r="V313" s="8">
        <v>2.1792999999999999E-3</v>
      </c>
      <c r="W313" s="8">
        <v>4.0940999999999998E-3</v>
      </c>
      <c r="X313" s="8">
        <v>1.6875E-3</v>
      </c>
      <c r="Y313" s="8">
        <v>5.3127999999999997E-4</v>
      </c>
    </row>
    <row r="314" spans="1:25" x14ac:dyDescent="0.25">
      <c r="A314" s="30" t="s">
        <v>76</v>
      </c>
      <c r="B314" s="12">
        <v>1.5422</v>
      </c>
      <c r="C314" s="12">
        <v>0.87158000000000002</v>
      </c>
      <c r="D314" s="8">
        <v>1.3221000000000001</v>
      </c>
      <c r="E314" s="8">
        <v>-0.44375999999999999</v>
      </c>
      <c r="F314" s="8">
        <v>-0.12783</v>
      </c>
      <c r="G314" s="8">
        <v>0.35208</v>
      </c>
      <c r="H314" s="8">
        <v>0.31684000000000001</v>
      </c>
      <c r="I314" s="8">
        <v>0.29998999999999998</v>
      </c>
      <c r="J314" s="8">
        <v>0.26024999999999998</v>
      </c>
      <c r="K314" s="8">
        <v>-0.24357000000000001</v>
      </c>
      <c r="L314" s="8">
        <v>0.10709</v>
      </c>
      <c r="M314" s="8">
        <v>-3.2024999999999998E-2</v>
      </c>
      <c r="N314" s="8">
        <v>-0.14233000000000001</v>
      </c>
      <c r="O314" s="8">
        <v>-5.7756000000000002E-2</v>
      </c>
      <c r="P314" s="8">
        <v>-0.13957</v>
      </c>
      <c r="Q314" s="8">
        <v>8.6846000000000007E-3</v>
      </c>
      <c r="R314" s="8">
        <v>-1.9813999999999998E-2</v>
      </c>
      <c r="S314" s="8">
        <v>1.1996999999999999E-3</v>
      </c>
      <c r="T314" s="8">
        <v>-2.8478E-2</v>
      </c>
      <c r="U314" s="8">
        <v>7.2018000000000004E-3</v>
      </c>
      <c r="V314" s="8">
        <v>2.4653999999999999E-2</v>
      </c>
      <c r="W314" s="8">
        <v>-4.9123999999999999E-3</v>
      </c>
      <c r="X314" s="8">
        <v>-7.6455000000000004E-3</v>
      </c>
      <c r="Y314" s="8">
        <v>7.3600999999999996E-3</v>
      </c>
    </row>
    <row r="315" spans="1:25" x14ac:dyDescent="0.25">
      <c r="A315" s="30" t="s">
        <v>75</v>
      </c>
      <c r="B315" s="12">
        <v>1.4269000000000001</v>
      </c>
      <c r="C315" s="12">
        <v>0.79337000000000002</v>
      </c>
      <c r="D315" s="8">
        <v>1.3290999999999999</v>
      </c>
      <c r="E315" s="8">
        <v>-0.28793999999999997</v>
      </c>
      <c r="F315" s="8">
        <v>-0.66356999999999999</v>
      </c>
      <c r="G315" s="8">
        <v>-0.42083999999999999</v>
      </c>
      <c r="H315" s="8">
        <v>0.11545999999999999</v>
      </c>
      <c r="I315" s="8">
        <v>0.50780000000000003</v>
      </c>
      <c r="J315" s="8">
        <v>0.21723999999999999</v>
      </c>
      <c r="K315" s="8">
        <v>-6.2797000000000006E-2</v>
      </c>
      <c r="L315" s="8">
        <v>-0.13261999999999999</v>
      </c>
      <c r="M315" s="8">
        <v>0.65852999999999995</v>
      </c>
      <c r="N315" s="8">
        <v>-9.8778000000000005E-2</v>
      </c>
      <c r="O315" s="8">
        <v>3.3529000000000003E-2</v>
      </c>
      <c r="P315" s="8">
        <v>-0.12109</v>
      </c>
      <c r="Q315" s="8">
        <v>2.9672E-2</v>
      </c>
      <c r="R315" s="8">
        <v>-1.0326999999999999E-2</v>
      </c>
      <c r="S315" s="8">
        <v>-2.5601E-3</v>
      </c>
      <c r="T315" s="8">
        <v>-2.6484999999999998E-3</v>
      </c>
      <c r="U315" s="8">
        <v>8.4557999999999994E-3</v>
      </c>
      <c r="V315" s="8">
        <v>-6.5185E-3</v>
      </c>
      <c r="W315" s="8">
        <v>-2.3855E-3</v>
      </c>
      <c r="X315" s="8">
        <v>-4.0971000000000002E-3</v>
      </c>
      <c r="Y315" s="8">
        <v>-8.3237999999999997E-4</v>
      </c>
    </row>
    <row r="316" spans="1:25" x14ac:dyDescent="0.25">
      <c r="A316" s="30" t="s">
        <v>74</v>
      </c>
      <c r="B316" s="12">
        <v>1.5426</v>
      </c>
      <c r="C316" s="12">
        <v>0.77708999999999995</v>
      </c>
      <c r="D316" s="8">
        <v>1.3754</v>
      </c>
      <c r="E316" s="8">
        <v>-0.50449999999999995</v>
      </c>
      <c r="F316" s="8">
        <v>-4.8404000000000003E-2</v>
      </c>
      <c r="G316" s="8">
        <v>-0.10675</v>
      </c>
      <c r="H316" s="8">
        <v>0.44844000000000001</v>
      </c>
      <c r="I316" s="8">
        <v>0.40794999999999998</v>
      </c>
      <c r="J316" s="8">
        <v>0.13916999999999999</v>
      </c>
      <c r="K316" s="8">
        <v>-0.20930000000000001</v>
      </c>
      <c r="L316" s="8">
        <v>-7.1628000000000002E-4</v>
      </c>
      <c r="M316" s="8">
        <v>0.18695999999999999</v>
      </c>
      <c r="N316" s="8">
        <v>-1.3845E-2</v>
      </c>
      <c r="O316" s="8">
        <v>0.12021999999999999</v>
      </c>
      <c r="P316" s="8">
        <v>1.1724999999999999E-2</v>
      </c>
      <c r="Q316" s="8">
        <v>-0.10426000000000001</v>
      </c>
      <c r="R316" s="8">
        <v>-3.4236000000000003E-2</v>
      </c>
      <c r="S316" s="8">
        <v>-2.2117999999999999E-2</v>
      </c>
      <c r="T316" s="8">
        <v>7.4330999999999998E-3</v>
      </c>
      <c r="U316" s="8">
        <v>-1.2829E-2</v>
      </c>
      <c r="V316" s="8">
        <v>-4.5665000000000002E-3</v>
      </c>
      <c r="W316" s="8">
        <v>-3.3138E-3</v>
      </c>
      <c r="X316" s="8">
        <v>-1.3566000000000001E-4</v>
      </c>
      <c r="Y316" s="8">
        <v>-5.0359999999999997E-3</v>
      </c>
    </row>
    <row r="317" spans="1:25" x14ac:dyDescent="0.25">
      <c r="A317" s="30" t="s">
        <v>90</v>
      </c>
      <c r="B317" s="12">
        <v>1.4543999999999999</v>
      </c>
      <c r="C317" s="12">
        <v>0.77986</v>
      </c>
      <c r="D317" s="8">
        <v>1.3452999999999999</v>
      </c>
      <c r="E317" s="8">
        <v>-0.41337000000000002</v>
      </c>
      <c r="F317" s="8">
        <v>-0.56088000000000005</v>
      </c>
      <c r="G317" s="8">
        <v>-0.13725000000000001</v>
      </c>
      <c r="H317" s="8">
        <v>0.12748999999999999</v>
      </c>
      <c r="I317" s="8">
        <v>2.5104999999999999E-2</v>
      </c>
      <c r="J317" s="8">
        <v>8.4273000000000001E-2</v>
      </c>
      <c r="K317" s="8">
        <v>-0.35579</v>
      </c>
      <c r="L317" s="8">
        <v>5.0151000000000001E-2</v>
      </c>
      <c r="M317" s="8">
        <v>-5.7412999999999999E-2</v>
      </c>
      <c r="N317" s="8">
        <v>-6.5456E-2</v>
      </c>
      <c r="O317" s="8">
        <v>-0.16084000000000001</v>
      </c>
      <c r="P317" s="8">
        <v>8.1587000000000007E-2</v>
      </c>
      <c r="Q317" s="8">
        <v>0.10915</v>
      </c>
      <c r="R317" s="8">
        <v>-1.4827E-2</v>
      </c>
      <c r="S317" s="8">
        <v>-3.0248000000000001E-2</v>
      </c>
      <c r="T317" s="8">
        <v>-1.5372E-2</v>
      </c>
      <c r="U317" s="8">
        <v>-8.7554999999999994E-3</v>
      </c>
      <c r="V317" s="8">
        <v>2.5850000000000001E-3</v>
      </c>
      <c r="W317" s="8">
        <v>4.0161E-4</v>
      </c>
      <c r="X317" s="8">
        <v>-3.6944E-3</v>
      </c>
      <c r="Y317" s="8">
        <v>9.7236000000000002E-4</v>
      </c>
    </row>
    <row r="318" spans="1:25" x14ac:dyDescent="0.25">
      <c r="A318" s="30" t="s">
        <v>160</v>
      </c>
      <c r="B318" s="12">
        <v>1.4958</v>
      </c>
      <c r="C318" s="12">
        <v>0.81455</v>
      </c>
      <c r="D318" s="8">
        <v>1.3415999999999999</v>
      </c>
      <c r="E318" s="8">
        <v>-0.42498999999999998</v>
      </c>
      <c r="F318" s="8">
        <v>-0.32882</v>
      </c>
      <c r="G318" s="8">
        <v>5.1917999999999999E-2</v>
      </c>
      <c r="H318" s="8">
        <v>0.18203</v>
      </c>
      <c r="I318" s="8">
        <v>0.15096999999999999</v>
      </c>
      <c r="J318" s="8">
        <v>0.22339000000000001</v>
      </c>
      <c r="K318" s="8">
        <v>-0.25757000000000002</v>
      </c>
      <c r="L318" s="8">
        <v>0.11945</v>
      </c>
      <c r="M318" s="8">
        <v>-7.4952000000000005E-2</v>
      </c>
      <c r="N318" s="8">
        <v>-0.25048999999999999</v>
      </c>
      <c r="O318" s="8">
        <v>0.13780000000000001</v>
      </c>
      <c r="P318" s="8">
        <v>-2.0079E-2</v>
      </c>
      <c r="Q318" s="8">
        <v>-3.0519999999999999E-2</v>
      </c>
      <c r="R318" s="8">
        <v>2.9088E-3</v>
      </c>
      <c r="S318" s="8">
        <v>-5.0914000000000003E-3</v>
      </c>
      <c r="T318" s="8">
        <v>4.8252999999999997E-2</v>
      </c>
      <c r="U318" s="8">
        <v>-4.8943000000000001E-4</v>
      </c>
      <c r="V318" s="8">
        <v>7.1161000000000002E-3</v>
      </c>
      <c r="W318" s="8">
        <v>-9.8907999999999999E-3</v>
      </c>
      <c r="X318" s="8">
        <v>-9.9187000000000008E-3</v>
      </c>
      <c r="Y318" s="8">
        <v>-6.3407000000000003E-4</v>
      </c>
    </row>
    <row r="319" spans="1:25" x14ac:dyDescent="0.25">
      <c r="A319" s="30" t="s">
        <v>161</v>
      </c>
      <c r="B319" s="12">
        <v>1.3967000000000001</v>
      </c>
      <c r="C319" s="12">
        <v>0.89529000000000003</v>
      </c>
      <c r="D319" s="8">
        <v>1.2697000000000001</v>
      </c>
      <c r="E319" s="8">
        <v>-0.22628999999999999</v>
      </c>
      <c r="F319" s="8">
        <v>-0.94303999999999999</v>
      </c>
      <c r="G319" s="8">
        <v>0.22639000000000001</v>
      </c>
      <c r="H319" s="8">
        <v>-0.22184999999999999</v>
      </c>
      <c r="I319" s="8">
        <v>-6.5740000000000007E-2</v>
      </c>
      <c r="J319" s="8">
        <v>0.30259999999999998</v>
      </c>
      <c r="K319" s="8">
        <v>-0.27953</v>
      </c>
      <c r="L319" s="8">
        <v>0.10481</v>
      </c>
      <c r="M319" s="8">
        <v>-2.8927999999999999E-2</v>
      </c>
      <c r="N319" s="8">
        <v>-9.8696000000000006E-2</v>
      </c>
      <c r="O319" s="8">
        <v>-0.10885</v>
      </c>
      <c r="P319" s="8">
        <v>-3.0029E-2</v>
      </c>
      <c r="Q319" s="8">
        <v>-1.7909000000000001E-2</v>
      </c>
      <c r="R319" s="8">
        <v>-4.3795000000000001E-2</v>
      </c>
      <c r="S319" s="8">
        <v>-1.8695E-2</v>
      </c>
      <c r="T319" s="8">
        <v>-1.3252E-2</v>
      </c>
      <c r="U319" s="8">
        <v>8.2682999999999993E-3</v>
      </c>
      <c r="V319" s="8">
        <v>-7.5173999999999996E-3</v>
      </c>
      <c r="W319" s="8">
        <v>6.9037999999999999E-3</v>
      </c>
      <c r="X319" s="8">
        <v>-5.6852999999999999E-3</v>
      </c>
      <c r="Y319" s="8">
        <v>-3.6451000000000001E-3</v>
      </c>
    </row>
    <row r="320" spans="1:25" x14ac:dyDescent="0.25">
      <c r="A320" s="30" t="s">
        <v>162</v>
      </c>
      <c r="B320" s="12">
        <v>1.3409</v>
      </c>
      <c r="C320" s="12">
        <v>0.78188000000000002</v>
      </c>
      <c r="D320" s="8">
        <v>1.2766999999999999</v>
      </c>
      <c r="E320" s="8">
        <v>-0.16131999999999999</v>
      </c>
      <c r="F320" s="8">
        <v>-1.1624000000000001</v>
      </c>
      <c r="G320" s="8">
        <v>-0.48076999999999998</v>
      </c>
      <c r="H320" s="8">
        <v>-0.20133999999999999</v>
      </c>
      <c r="I320" s="8">
        <v>0.21687999999999999</v>
      </c>
      <c r="J320" s="8">
        <v>0.15901000000000001</v>
      </c>
      <c r="K320" s="8">
        <v>-8.6706000000000005E-2</v>
      </c>
      <c r="L320" s="8">
        <v>0.20165</v>
      </c>
      <c r="M320" s="8">
        <v>-0.19758999999999999</v>
      </c>
      <c r="N320" s="8">
        <v>-2.462E-2</v>
      </c>
      <c r="O320" s="8">
        <v>-6.3309000000000004E-2</v>
      </c>
      <c r="P320" s="8">
        <v>2.6338E-2</v>
      </c>
      <c r="Q320" s="8">
        <v>-7.6007999999999996E-3</v>
      </c>
      <c r="R320" s="8">
        <v>-1.1311999999999999E-2</v>
      </c>
      <c r="S320" s="8">
        <v>-1.4947E-2</v>
      </c>
      <c r="T320" s="8">
        <v>-1.2085E-2</v>
      </c>
      <c r="U320" s="8">
        <v>-2.9488000000000001E-3</v>
      </c>
      <c r="V320" s="8">
        <v>3.0428999999999999E-3</v>
      </c>
      <c r="W320" s="8">
        <v>-7.8210999999999992E-3</v>
      </c>
      <c r="X320" s="8">
        <v>6.2872999999999998E-4</v>
      </c>
      <c r="Y320" s="8">
        <v>3.478E-4</v>
      </c>
    </row>
    <row r="321" spans="1:25" x14ac:dyDescent="0.25">
      <c r="A321" s="30" t="s">
        <v>163</v>
      </c>
      <c r="B321" s="12">
        <v>1.4491000000000001</v>
      </c>
      <c r="C321" s="12">
        <v>0.78320000000000001</v>
      </c>
      <c r="D321" s="8">
        <v>1.3239000000000001</v>
      </c>
      <c r="E321" s="8">
        <v>-0.36498999999999998</v>
      </c>
      <c r="F321" s="8">
        <v>-0.58286000000000004</v>
      </c>
      <c r="G321" s="8">
        <v>-0.17981</v>
      </c>
      <c r="H321" s="8">
        <v>0.13086999999999999</v>
      </c>
      <c r="I321" s="8">
        <v>0.19117000000000001</v>
      </c>
      <c r="J321" s="8">
        <v>0.14649000000000001</v>
      </c>
      <c r="K321" s="8">
        <v>-0.21185999999999999</v>
      </c>
      <c r="L321" s="8">
        <v>0.18139</v>
      </c>
      <c r="M321" s="8">
        <v>-0.15354999999999999</v>
      </c>
      <c r="N321" s="8">
        <v>-0.14934</v>
      </c>
      <c r="O321" s="8">
        <v>-0.11272</v>
      </c>
      <c r="P321" s="8">
        <v>4.0320000000000002E-2</v>
      </c>
      <c r="Q321" s="8">
        <v>-8.9812000000000003E-2</v>
      </c>
      <c r="R321" s="8">
        <v>-1.6624E-2</v>
      </c>
      <c r="S321" s="8">
        <v>-6.8748000000000004E-3</v>
      </c>
      <c r="T321" s="8">
        <v>9.0276000000000002E-3</v>
      </c>
      <c r="U321" s="8">
        <v>1.0334999999999999E-3</v>
      </c>
      <c r="V321" s="8">
        <v>3.6305999999999999E-3</v>
      </c>
      <c r="W321" s="8">
        <v>-5.4175999999999998E-3</v>
      </c>
      <c r="X321" s="8">
        <v>-2.4789E-3</v>
      </c>
      <c r="Y321" s="8">
        <v>1.9567999999999999E-3</v>
      </c>
    </row>
    <row r="322" spans="1:25" x14ac:dyDescent="0.25">
      <c r="A322" s="30" t="s">
        <v>164</v>
      </c>
      <c r="B322" s="12">
        <v>1.4160999999999999</v>
      </c>
      <c r="C322" s="12">
        <v>0.73816999999999999</v>
      </c>
      <c r="D322" s="8">
        <v>1.3403</v>
      </c>
      <c r="E322" s="8">
        <v>-0.35414000000000001</v>
      </c>
      <c r="F322" s="8">
        <v>-0.74043000000000003</v>
      </c>
      <c r="G322" s="8">
        <v>-0.44409999999999999</v>
      </c>
      <c r="H322" s="8">
        <v>7.9396999999999995E-2</v>
      </c>
      <c r="I322" s="8">
        <v>0.128</v>
      </c>
      <c r="J322" s="8">
        <v>4.8757000000000002E-2</v>
      </c>
      <c r="K322" s="8">
        <v>-0.22223000000000001</v>
      </c>
      <c r="L322" s="8">
        <v>0.11459999999999999</v>
      </c>
      <c r="M322" s="8">
        <v>-8.3746000000000001E-2</v>
      </c>
      <c r="N322" s="8">
        <v>-1.2488000000000001E-2</v>
      </c>
      <c r="O322" s="8">
        <v>-0.12239999999999999</v>
      </c>
      <c r="P322" s="8">
        <v>-3.7419000000000001E-2</v>
      </c>
      <c r="Q322" s="8">
        <v>-3.6048999999999998E-2</v>
      </c>
      <c r="R322" s="8">
        <v>8.7279999999999996E-3</v>
      </c>
      <c r="S322" s="8">
        <v>2.4285000000000001E-2</v>
      </c>
      <c r="T322" s="8">
        <v>-4.6280999999999996E-3</v>
      </c>
      <c r="U322" s="8">
        <v>-1.7139000000000001E-2</v>
      </c>
      <c r="V322" s="8">
        <v>9.7471999999999993E-3</v>
      </c>
      <c r="W322" s="8">
        <v>-2.6434000000000002E-3</v>
      </c>
      <c r="X322" s="8">
        <v>-1.9570999999999998E-3</v>
      </c>
      <c r="Y322" s="8">
        <v>-2.2215999999999998E-3</v>
      </c>
    </row>
    <row r="323" spans="1:25" x14ac:dyDescent="0.25">
      <c r="A323" s="30" t="s">
        <v>89</v>
      </c>
      <c r="B323" s="12">
        <v>1.3619000000000001</v>
      </c>
      <c r="C323" s="12">
        <v>1.2142999999999999</v>
      </c>
      <c r="D323" s="8">
        <v>0.38474999999999998</v>
      </c>
      <c r="E323" s="8">
        <v>-0.70465999999999995</v>
      </c>
      <c r="F323" s="8">
        <v>-0.64041000000000003</v>
      </c>
      <c r="G323" s="8">
        <v>0.20468</v>
      </c>
      <c r="H323" s="8">
        <v>-0.46573999999999999</v>
      </c>
      <c r="I323" s="8">
        <v>5.6444000000000001E-2</v>
      </c>
      <c r="J323" s="8">
        <v>-0.44358999999999998</v>
      </c>
      <c r="K323" s="8">
        <v>0.10068000000000001</v>
      </c>
      <c r="L323" s="8">
        <v>-0.24812999999999999</v>
      </c>
      <c r="M323" s="8">
        <v>-7.2650000000000006E-2</v>
      </c>
      <c r="N323" s="8">
        <v>-1.2559000000000001E-2</v>
      </c>
      <c r="O323" s="8">
        <v>-8.9352000000000001E-2</v>
      </c>
      <c r="P323" s="8">
        <v>1.0878000000000001E-2</v>
      </c>
      <c r="Q323" s="8">
        <v>-9.4596999999999997E-3</v>
      </c>
      <c r="R323" s="8">
        <v>3.2486000000000001E-2</v>
      </c>
      <c r="S323" s="8">
        <v>5.0282E-2</v>
      </c>
      <c r="T323" s="8">
        <v>4.0791000000000001E-2</v>
      </c>
      <c r="U323" s="8">
        <v>7.3150999999999997E-3</v>
      </c>
      <c r="V323" s="8">
        <v>2.3230999999999998E-3</v>
      </c>
      <c r="W323" s="8">
        <v>-4.4193999999999999E-4</v>
      </c>
      <c r="X323" s="8">
        <v>-6.9233999999999995E-4</v>
      </c>
      <c r="Y323" s="8">
        <v>-2.0458E-3</v>
      </c>
    </row>
    <row r="324" spans="1:25" x14ac:dyDescent="0.25">
      <c r="A324" s="30" t="s">
        <v>88</v>
      </c>
      <c r="B324" s="12">
        <v>1.3764000000000001</v>
      </c>
      <c r="C324" s="12">
        <v>1.3391</v>
      </c>
      <c r="D324" s="8">
        <v>0.33234000000000002</v>
      </c>
      <c r="E324" s="8">
        <v>-0.62260000000000004</v>
      </c>
      <c r="F324" s="8">
        <v>-0.62505999999999995</v>
      </c>
      <c r="G324" s="8">
        <v>0.75460000000000005</v>
      </c>
      <c r="H324" s="8">
        <v>-0.59806000000000004</v>
      </c>
      <c r="I324" s="8">
        <v>6.3641000000000003E-2</v>
      </c>
      <c r="J324" s="8">
        <v>-0.21487000000000001</v>
      </c>
      <c r="K324" s="8">
        <v>0.10727</v>
      </c>
      <c r="L324" s="8">
        <v>-0.22517999999999999</v>
      </c>
      <c r="M324" s="8">
        <v>-7.2283E-2</v>
      </c>
      <c r="N324" s="8">
        <v>-5.6885999999999999E-2</v>
      </c>
      <c r="O324" s="8">
        <v>5.0675999999999999E-2</v>
      </c>
      <c r="P324" s="8">
        <v>0.16139000000000001</v>
      </c>
      <c r="Q324" s="8">
        <v>-6.7412E-2</v>
      </c>
      <c r="R324" s="8">
        <v>2.2985000000000002E-3</v>
      </c>
      <c r="S324" s="8">
        <v>3.0988000000000002E-2</v>
      </c>
      <c r="T324" s="8">
        <v>4.4508999999999998E-3</v>
      </c>
      <c r="U324" s="8">
        <v>2.4088999999999999E-2</v>
      </c>
      <c r="V324" s="8">
        <v>5.4479000000000003E-3</v>
      </c>
      <c r="W324" s="8">
        <v>-5.8735999999999997E-3</v>
      </c>
      <c r="X324" s="8">
        <v>-4.9255000000000002E-3</v>
      </c>
      <c r="Y324" s="8">
        <v>-2.2093E-3</v>
      </c>
    </row>
    <row r="325" spans="1:25" x14ac:dyDescent="0.25">
      <c r="A325" s="30" t="s">
        <v>166</v>
      </c>
      <c r="B325" s="12">
        <v>1.3607</v>
      </c>
      <c r="C325" s="12">
        <v>1.2229000000000001</v>
      </c>
      <c r="D325" s="8">
        <v>0.38589000000000001</v>
      </c>
      <c r="E325" s="8">
        <v>-0.70184000000000002</v>
      </c>
      <c r="F325" s="8">
        <v>-0.64566999999999997</v>
      </c>
      <c r="G325" s="8">
        <v>0.23985000000000001</v>
      </c>
      <c r="H325" s="8">
        <v>-0.49498999999999999</v>
      </c>
      <c r="I325" s="8">
        <v>2.7220999999999999E-2</v>
      </c>
      <c r="J325" s="8">
        <v>-0.41132000000000002</v>
      </c>
      <c r="K325" s="8">
        <v>0.10011</v>
      </c>
      <c r="L325" s="8">
        <v>-0.27594999999999997</v>
      </c>
      <c r="M325" s="8">
        <v>1.8301000000000001E-2</v>
      </c>
      <c r="N325" s="8">
        <v>-7.5435000000000002E-2</v>
      </c>
      <c r="O325" s="8">
        <v>-3.1050999999999999E-2</v>
      </c>
      <c r="P325" s="8">
        <v>-4.5656000000000002E-2</v>
      </c>
      <c r="Q325" s="8">
        <v>-3.5911999999999999E-2</v>
      </c>
      <c r="R325" s="8">
        <v>3.9205999999999998E-3</v>
      </c>
      <c r="S325" s="8">
        <v>1.6669E-2</v>
      </c>
      <c r="T325" s="8">
        <v>3.2691999999999999E-2</v>
      </c>
      <c r="U325" s="8">
        <v>1.1155999999999999E-2</v>
      </c>
      <c r="V325" s="8">
        <v>-2.3573000000000001E-3</v>
      </c>
      <c r="W325" s="8">
        <v>6.2309000000000002E-3</v>
      </c>
      <c r="X325" s="8">
        <v>1.3427000000000001E-3</v>
      </c>
      <c r="Y325" s="8">
        <v>1.0817999999999999E-3</v>
      </c>
    </row>
    <row r="326" spans="1:25" x14ac:dyDescent="0.25">
      <c r="A326" s="30" t="s">
        <v>167</v>
      </c>
      <c r="B326" s="12">
        <v>1.4881</v>
      </c>
      <c r="C326" s="12">
        <v>1.2596000000000001</v>
      </c>
      <c r="D326" s="8">
        <v>0.41281000000000001</v>
      </c>
      <c r="E326" s="8">
        <v>-0.86412</v>
      </c>
      <c r="F326" s="8">
        <v>3.7682E-2</v>
      </c>
      <c r="G326" s="8">
        <v>0.61167000000000005</v>
      </c>
      <c r="H326" s="8">
        <v>-0.10903</v>
      </c>
      <c r="I326" s="8">
        <v>0.27257999999999999</v>
      </c>
      <c r="J326" s="8">
        <v>-0.34831000000000001</v>
      </c>
      <c r="K326" s="8">
        <v>8.0185000000000006E-2</v>
      </c>
      <c r="L326" s="8">
        <v>-0.32311000000000001</v>
      </c>
      <c r="M326" s="8">
        <v>0.13353999999999999</v>
      </c>
      <c r="N326" s="8">
        <v>-0.17321</v>
      </c>
      <c r="O326" s="8">
        <v>3.2050000000000002E-2</v>
      </c>
      <c r="P326" s="8">
        <v>-4.6955999999999998E-2</v>
      </c>
      <c r="Q326" s="8">
        <v>-1.5395000000000001E-2</v>
      </c>
      <c r="R326" s="8">
        <v>-1.4095E-2</v>
      </c>
      <c r="S326" s="8">
        <v>-2.8464E-2</v>
      </c>
      <c r="T326" s="8">
        <v>5.6837999999999995E-4</v>
      </c>
      <c r="U326" s="8">
        <v>-2.5353000000000001E-2</v>
      </c>
      <c r="V326" s="8">
        <v>-1.0114E-2</v>
      </c>
      <c r="W326" s="8">
        <v>1.3741E-2</v>
      </c>
      <c r="X326" s="8">
        <v>3.0742E-3</v>
      </c>
      <c r="Y326" s="8">
        <v>-1.3845999999999999E-3</v>
      </c>
    </row>
    <row r="327" spans="1:25" x14ac:dyDescent="0.25">
      <c r="A327" s="30" t="s">
        <v>168</v>
      </c>
      <c r="B327" s="12">
        <v>1.5353000000000001</v>
      </c>
      <c r="C327" s="12">
        <v>1.3454999999999999</v>
      </c>
      <c r="D327" s="8">
        <v>0.35846</v>
      </c>
      <c r="E327" s="8">
        <v>-0.80713000000000001</v>
      </c>
      <c r="F327" s="8">
        <v>0.24152999999999999</v>
      </c>
      <c r="G327" s="8">
        <v>0.94421999999999995</v>
      </c>
      <c r="H327" s="8">
        <v>3.2127000000000003E-2</v>
      </c>
      <c r="I327" s="8">
        <v>0.68208000000000002</v>
      </c>
      <c r="J327" s="8">
        <v>-0.22275</v>
      </c>
      <c r="K327" s="8">
        <v>0.24346000000000001</v>
      </c>
      <c r="L327" s="8">
        <v>-0.21709000000000001</v>
      </c>
      <c r="M327" s="8">
        <v>2.7827999999999999E-2</v>
      </c>
      <c r="N327" s="8">
        <v>-3.6645999999999998E-2</v>
      </c>
      <c r="O327" s="8">
        <v>-8.1618999999999997E-2</v>
      </c>
      <c r="P327" s="8">
        <v>-1.9945000000000001E-2</v>
      </c>
      <c r="Q327" s="8">
        <v>-5.5292000000000001E-2</v>
      </c>
      <c r="R327" s="8">
        <v>2.7133000000000001E-2</v>
      </c>
      <c r="S327" s="8">
        <v>5.6458999999999997E-3</v>
      </c>
      <c r="T327" s="8">
        <v>-9.5362999999999993E-3</v>
      </c>
      <c r="U327" s="8">
        <v>-9.4876000000000005E-3</v>
      </c>
      <c r="V327" s="8">
        <v>-2.2242000000000001E-2</v>
      </c>
      <c r="W327" s="8">
        <v>-1.2729000000000001E-2</v>
      </c>
      <c r="X327" s="8">
        <v>-7.9755E-3</v>
      </c>
      <c r="Y327" s="8">
        <v>-6.6637E-4</v>
      </c>
    </row>
    <row r="328" spans="1:25" x14ac:dyDescent="0.25">
      <c r="A328" s="30" t="s">
        <v>169</v>
      </c>
      <c r="B328" s="12">
        <v>1.4784999999999999</v>
      </c>
      <c r="C328" s="12">
        <v>1.3796999999999999</v>
      </c>
      <c r="D328" s="8">
        <v>0.33938000000000001</v>
      </c>
      <c r="E328" s="8">
        <v>-0.74307999999999996</v>
      </c>
      <c r="F328" s="8">
        <v>-9.9192000000000002E-2</v>
      </c>
      <c r="G328" s="8">
        <v>1.1091</v>
      </c>
      <c r="H328" s="8">
        <v>-0.27999000000000002</v>
      </c>
      <c r="I328" s="8">
        <v>0.27224999999999999</v>
      </c>
      <c r="J328" s="8">
        <v>-0.17949999999999999</v>
      </c>
      <c r="K328" s="8">
        <v>9.6981999999999999E-2</v>
      </c>
      <c r="L328" s="8">
        <v>-0.21157000000000001</v>
      </c>
      <c r="M328" s="8">
        <v>-9.5833000000000002E-2</v>
      </c>
      <c r="N328" s="8">
        <v>-0.11268</v>
      </c>
      <c r="O328" s="8">
        <v>-5.6999000000000001E-2</v>
      </c>
      <c r="P328" s="8">
        <v>6.9500999999999993E-2</v>
      </c>
      <c r="Q328" s="8">
        <v>4.8868000000000002E-3</v>
      </c>
      <c r="R328" s="8">
        <v>-1.2752E-3</v>
      </c>
      <c r="S328" s="8">
        <v>5.7726000000000001E-3</v>
      </c>
      <c r="T328" s="8">
        <v>4.1491999999999999E-4</v>
      </c>
      <c r="U328" s="8">
        <v>-1.0555999999999999E-2</v>
      </c>
      <c r="V328" s="8">
        <v>-1.9312000000000001E-3</v>
      </c>
      <c r="W328" s="8">
        <v>3.4204000000000001E-3</v>
      </c>
      <c r="X328" s="8">
        <v>-1.3328000000000001E-3</v>
      </c>
      <c r="Y328" s="8">
        <v>-1.7152000000000001E-3</v>
      </c>
    </row>
    <row r="329" spans="1:25" x14ac:dyDescent="0.25">
      <c r="A329" s="30" t="s">
        <v>170</v>
      </c>
      <c r="B329" s="12">
        <v>1.4993000000000001</v>
      </c>
      <c r="C329" s="12">
        <v>1.2148000000000001</v>
      </c>
      <c r="D329" s="8">
        <v>0.44257000000000002</v>
      </c>
      <c r="E329" s="8">
        <v>-0.92898000000000003</v>
      </c>
      <c r="F329" s="8">
        <v>0.11834</v>
      </c>
      <c r="G329" s="8">
        <v>0.50666999999999995</v>
      </c>
      <c r="H329" s="8">
        <v>-6.5767000000000006E-2</v>
      </c>
      <c r="I329" s="8">
        <v>0.15131</v>
      </c>
      <c r="J329" s="8">
        <v>-0.45107999999999998</v>
      </c>
      <c r="K329" s="8">
        <v>6.5021999999999996E-3</v>
      </c>
      <c r="L329" s="8">
        <v>-0.30481000000000003</v>
      </c>
      <c r="M329" s="8">
        <v>-9.1173000000000004E-2</v>
      </c>
      <c r="N329" s="8">
        <v>-7.7243000000000006E-2</v>
      </c>
      <c r="O329" s="8">
        <v>0.13352</v>
      </c>
      <c r="P329" s="8">
        <v>-1.1422E-2</v>
      </c>
      <c r="Q329" s="8">
        <v>5.3168E-2</v>
      </c>
      <c r="R329" s="8">
        <v>-1.3424E-2</v>
      </c>
      <c r="S329" s="8">
        <v>-4.3187000000000003E-2</v>
      </c>
      <c r="T329" s="8">
        <v>3.1150000000000001E-2</v>
      </c>
      <c r="U329" s="8">
        <v>-1.9352000000000001E-2</v>
      </c>
      <c r="V329" s="8">
        <v>8.8625000000000006E-3</v>
      </c>
      <c r="W329" s="8">
        <v>-3.4194E-3</v>
      </c>
      <c r="X329" s="8">
        <v>-2.7022000000000001E-3</v>
      </c>
      <c r="Y329" s="8">
        <v>1.5689E-3</v>
      </c>
    </row>
    <row r="330" spans="1:25" x14ac:dyDescent="0.25">
      <c r="A330" s="30" t="s">
        <v>171</v>
      </c>
      <c r="B330" s="12">
        <v>1.3918999999999999</v>
      </c>
      <c r="C330" s="12">
        <v>1.2020999999999999</v>
      </c>
      <c r="D330" s="8">
        <v>0.37431999999999999</v>
      </c>
      <c r="E330" s="8">
        <v>-0.68647999999999998</v>
      </c>
      <c r="F330" s="8">
        <v>-0.43930000000000002</v>
      </c>
      <c r="G330" s="8">
        <v>6.0654E-2</v>
      </c>
      <c r="H330" s="8">
        <v>-0.28904000000000002</v>
      </c>
      <c r="I330" s="8">
        <v>0.50544</v>
      </c>
      <c r="J330" s="8">
        <v>-0.3962</v>
      </c>
      <c r="K330" s="8">
        <v>0.31152999999999997</v>
      </c>
      <c r="L330" s="8">
        <v>-0.16599</v>
      </c>
      <c r="M330" s="8">
        <v>-0.10829</v>
      </c>
      <c r="N330" s="8">
        <v>-8.7647000000000003E-2</v>
      </c>
      <c r="O330" s="8">
        <v>4.3832000000000003E-2</v>
      </c>
      <c r="P330" s="8">
        <v>1.9956000000000002E-2</v>
      </c>
      <c r="Q330" s="8">
        <v>-4.2539E-2</v>
      </c>
      <c r="R330" s="8">
        <v>1.3206000000000001E-2</v>
      </c>
      <c r="S330" s="8">
        <v>9.4433E-3</v>
      </c>
      <c r="T330" s="8">
        <v>2.9215999999999999E-2</v>
      </c>
      <c r="U330" s="8">
        <v>-4.0815000000000001E-3</v>
      </c>
      <c r="V330" s="8">
        <v>-5.6287999999999998E-3</v>
      </c>
      <c r="W330" s="8">
        <v>3.5025999999999998E-3</v>
      </c>
      <c r="X330" s="8">
        <v>4.0610000000000004E-3</v>
      </c>
      <c r="Y330" s="8">
        <v>-7.4162000000000002E-4</v>
      </c>
    </row>
    <row r="331" spans="1:25" x14ac:dyDescent="0.25">
      <c r="A331" s="30" t="s">
        <v>172</v>
      </c>
      <c r="B331" s="12">
        <v>1.468</v>
      </c>
      <c r="C331" s="12">
        <v>1.4085000000000001</v>
      </c>
      <c r="D331" s="8">
        <v>0.35156999999999999</v>
      </c>
      <c r="E331" s="8">
        <v>-0.76971999999999996</v>
      </c>
      <c r="F331" s="8">
        <v>-0.18504999999999999</v>
      </c>
      <c r="G331" s="8">
        <v>1.3568</v>
      </c>
      <c r="H331" s="8">
        <v>-0.45461000000000001</v>
      </c>
      <c r="I331" s="8">
        <v>-0.15451000000000001</v>
      </c>
      <c r="J331" s="8">
        <v>-0.14648</v>
      </c>
      <c r="K331" s="8">
        <v>-8.5237999999999994E-2</v>
      </c>
      <c r="L331" s="8">
        <v>-0.27134000000000003</v>
      </c>
      <c r="M331" s="8">
        <v>-6.3835000000000003E-2</v>
      </c>
      <c r="N331" s="8">
        <v>-0.1638</v>
      </c>
      <c r="O331" s="8">
        <v>4.4326999999999998E-2</v>
      </c>
      <c r="P331" s="8">
        <v>3.3376000000000003E-2</v>
      </c>
      <c r="Q331" s="8">
        <v>-4.1362000000000003E-2</v>
      </c>
      <c r="R331" s="8">
        <v>1.4263E-2</v>
      </c>
      <c r="S331" s="8">
        <v>-5.3382000000000004E-3</v>
      </c>
      <c r="T331" s="8">
        <v>-1.1901999999999999E-2</v>
      </c>
      <c r="U331" s="8">
        <v>-1.8624999999999999E-2</v>
      </c>
      <c r="V331" s="8">
        <v>-1.3297E-2</v>
      </c>
      <c r="W331" s="8">
        <v>8.2379000000000003E-4</v>
      </c>
      <c r="X331" s="8">
        <v>-2.9236000000000002E-3</v>
      </c>
      <c r="Y331" s="8">
        <v>-1.5179E-3</v>
      </c>
    </row>
    <row r="332" spans="1:25" x14ac:dyDescent="0.25">
      <c r="A332" s="30" t="s">
        <v>173</v>
      </c>
      <c r="B332" s="12">
        <v>1.4710000000000001</v>
      </c>
      <c r="C332" s="12">
        <v>1.3338000000000001</v>
      </c>
      <c r="D332" s="8">
        <v>0.35476000000000002</v>
      </c>
      <c r="E332" s="8">
        <v>-0.74236999999999997</v>
      </c>
      <c r="F332" s="8">
        <v>-9.7187999999999997E-2</v>
      </c>
      <c r="G332" s="8">
        <v>0.82064000000000004</v>
      </c>
      <c r="H332" s="8">
        <v>-0.21698000000000001</v>
      </c>
      <c r="I332" s="8">
        <v>0.43181000000000003</v>
      </c>
      <c r="J332" s="8">
        <v>-0.23655999999999999</v>
      </c>
      <c r="K332" s="8">
        <v>0.16261999999999999</v>
      </c>
      <c r="L332" s="8">
        <v>-0.25248999999999999</v>
      </c>
      <c r="M332" s="8">
        <v>-1.1279000000000001E-2</v>
      </c>
      <c r="N332" s="8">
        <v>-9.2808000000000002E-2</v>
      </c>
      <c r="O332" s="8">
        <v>-1.5044999999999999E-2</v>
      </c>
      <c r="P332" s="8">
        <v>8.8977000000000001E-2</v>
      </c>
      <c r="Q332" s="8">
        <v>9.0653999999999998E-2</v>
      </c>
      <c r="R332" s="8">
        <v>7.6778999999999997E-3</v>
      </c>
      <c r="S332" s="8">
        <v>2.4857000000000001E-2</v>
      </c>
      <c r="T332" s="8">
        <v>5.1390000000000003E-3</v>
      </c>
      <c r="U332" s="8">
        <v>1.0466E-2</v>
      </c>
      <c r="V332" s="8">
        <v>-1.1932999999999999E-2</v>
      </c>
      <c r="W332" s="8">
        <v>-7.2608999999999998E-3</v>
      </c>
      <c r="X332" s="8">
        <v>3.9538999999999998E-3</v>
      </c>
      <c r="Y332" s="8">
        <v>3.8338999999999999E-3</v>
      </c>
    </row>
    <row r="333" spans="1:25" x14ac:dyDescent="0.25">
      <c r="A333" s="30" t="s">
        <v>73</v>
      </c>
      <c r="B333" s="12">
        <v>1.2941</v>
      </c>
      <c r="C333" s="12">
        <v>0.69323999999999997</v>
      </c>
      <c r="D333" s="8">
        <v>-0.36385000000000001</v>
      </c>
      <c r="E333" s="8">
        <v>-0.72536</v>
      </c>
      <c r="F333" s="8">
        <v>0.92752000000000001</v>
      </c>
      <c r="G333" s="8">
        <v>-0.12490999999999999</v>
      </c>
      <c r="H333" s="8">
        <v>0.26491999999999999</v>
      </c>
      <c r="I333" s="8">
        <v>8.0180000000000001E-2</v>
      </c>
      <c r="J333" s="8">
        <v>-0.34478999999999999</v>
      </c>
      <c r="K333" s="8">
        <v>-0.61485000000000001</v>
      </c>
      <c r="L333" s="8">
        <v>6.7985000000000004E-2</v>
      </c>
      <c r="M333" s="8">
        <v>-6.8920999999999996E-2</v>
      </c>
      <c r="N333" s="8">
        <v>8.8167999999999996E-2</v>
      </c>
      <c r="O333" s="8">
        <v>-4.0758000000000003E-2</v>
      </c>
      <c r="P333" s="8">
        <v>5.8064999999999999E-2</v>
      </c>
      <c r="Q333" s="8">
        <v>-4.9412999999999996E-4</v>
      </c>
      <c r="R333" s="8">
        <v>2.7751999999999999E-2</v>
      </c>
      <c r="S333" s="8">
        <v>-1.174E-2</v>
      </c>
      <c r="T333" s="8">
        <v>6.3848999999999998E-3</v>
      </c>
      <c r="U333" s="8">
        <v>2.4729000000000001E-2</v>
      </c>
      <c r="V333" s="8">
        <v>9.2797999999999995E-3</v>
      </c>
      <c r="W333" s="8">
        <v>7.0242999999999998E-4</v>
      </c>
      <c r="X333" s="8">
        <v>-4.8831999999999999E-3</v>
      </c>
      <c r="Y333" s="8">
        <v>-9.3402000000000003E-4</v>
      </c>
    </row>
    <row r="334" spans="1:25" x14ac:dyDescent="0.25">
      <c r="A334" s="30" t="s">
        <v>72</v>
      </c>
      <c r="B334" s="12">
        <v>1.2859</v>
      </c>
      <c r="C334" s="12">
        <v>0.71233999999999997</v>
      </c>
      <c r="D334" s="8">
        <v>-0.36714000000000002</v>
      </c>
      <c r="E334" s="8">
        <v>-0.71160999999999996</v>
      </c>
      <c r="F334" s="8">
        <v>0.87638000000000005</v>
      </c>
      <c r="G334" s="8">
        <v>-5.3774000000000002E-2</v>
      </c>
      <c r="H334" s="8">
        <v>0.20280000000000001</v>
      </c>
      <c r="I334" s="8">
        <v>1.7034000000000001E-2</v>
      </c>
      <c r="J334" s="8">
        <v>-0.30896000000000001</v>
      </c>
      <c r="K334" s="8">
        <v>-0.65493000000000001</v>
      </c>
      <c r="L334" s="8">
        <v>6.8877000000000001E-3</v>
      </c>
      <c r="M334" s="8">
        <v>4.7315999999999997E-2</v>
      </c>
      <c r="N334" s="8">
        <v>3.3126999999999997E-2</v>
      </c>
      <c r="O334" s="8">
        <v>-2.7949999999999999E-2</v>
      </c>
      <c r="P334" s="8">
        <v>9.8460000000000006E-2</v>
      </c>
      <c r="Q334" s="8">
        <v>5.8693000000000002E-2</v>
      </c>
      <c r="R334" s="8">
        <v>-1.3686E-2</v>
      </c>
      <c r="S334" s="8">
        <v>-1.4156E-2</v>
      </c>
      <c r="T334" s="8">
        <v>-9.3092000000000001E-3</v>
      </c>
      <c r="U334" s="8">
        <v>2.1253000000000001E-2</v>
      </c>
      <c r="V334" s="8">
        <v>1.0311000000000001E-2</v>
      </c>
      <c r="W334" s="8">
        <v>-4.8858E-3</v>
      </c>
      <c r="X334" s="8">
        <v>4.9378E-3</v>
      </c>
      <c r="Y334" s="8">
        <v>6.2725000000000003E-3</v>
      </c>
    </row>
    <row r="335" spans="1:25" x14ac:dyDescent="0.25">
      <c r="A335" s="30" t="s">
        <v>87</v>
      </c>
      <c r="B335" s="12">
        <v>1.2870999999999999</v>
      </c>
      <c r="C335" s="12">
        <v>0.87344999999999995</v>
      </c>
      <c r="D335" s="8">
        <v>-0.48859000000000002</v>
      </c>
      <c r="E335" s="8">
        <v>-0.47043000000000001</v>
      </c>
      <c r="F335" s="8">
        <v>0.81115999999999999</v>
      </c>
      <c r="G335" s="8">
        <v>0.38407000000000002</v>
      </c>
      <c r="H335" s="8">
        <v>0.11694</v>
      </c>
      <c r="I335" s="8">
        <v>0.62287999999999999</v>
      </c>
      <c r="J335" s="8">
        <v>2.8136999999999999E-2</v>
      </c>
      <c r="K335" s="8">
        <v>-0.25763000000000003</v>
      </c>
      <c r="L335" s="8">
        <v>0.19602</v>
      </c>
      <c r="M335" s="8">
        <v>1.2307E-2</v>
      </c>
      <c r="N335" s="8">
        <v>7.4701999999999998E-3</v>
      </c>
      <c r="O335" s="8">
        <v>2.7295E-2</v>
      </c>
      <c r="P335" s="8">
        <v>-0.15654999999999999</v>
      </c>
      <c r="Q335" s="8">
        <v>-8.3266999999999994E-2</v>
      </c>
      <c r="R335" s="8">
        <v>-3.5290000000000002E-2</v>
      </c>
      <c r="S335" s="8">
        <v>6.7437E-3</v>
      </c>
      <c r="T335" s="8">
        <v>-2.8371000000000001E-4</v>
      </c>
      <c r="U335" s="8">
        <v>2.9198000000000002E-2</v>
      </c>
      <c r="V335" s="8">
        <v>-1.8200999999999998E-2</v>
      </c>
      <c r="W335" s="8">
        <v>-2.3502000000000002E-3</v>
      </c>
      <c r="X335" s="8">
        <v>5.7881E-3</v>
      </c>
      <c r="Y335" s="8">
        <v>4.0143000000000002E-3</v>
      </c>
    </row>
    <row r="336" spans="1:25" x14ac:dyDescent="0.25">
      <c r="A336" s="30" t="s">
        <v>86</v>
      </c>
      <c r="B336" s="12">
        <v>1.1634</v>
      </c>
      <c r="C336" s="12">
        <v>0.76578999999999997</v>
      </c>
      <c r="D336" s="8">
        <v>-0.4612</v>
      </c>
      <c r="E336" s="8">
        <v>-0.39477000000000001</v>
      </c>
      <c r="F336" s="8">
        <v>0.19897999999999999</v>
      </c>
      <c r="G336" s="8">
        <v>-0.28911999999999999</v>
      </c>
      <c r="H336" s="8">
        <v>-0.16511000000000001</v>
      </c>
      <c r="I336" s="8">
        <v>0.33611000000000002</v>
      </c>
      <c r="J336" s="8">
        <v>-0.17871999999999999</v>
      </c>
      <c r="K336" s="8">
        <v>-0.36057</v>
      </c>
      <c r="L336" s="8">
        <v>3.3902000000000002E-2</v>
      </c>
      <c r="M336" s="8">
        <v>0.16954</v>
      </c>
      <c r="N336" s="8">
        <v>0.19431999999999999</v>
      </c>
      <c r="O336" s="8">
        <v>-3.1634000000000002E-2</v>
      </c>
      <c r="P336" s="8">
        <v>6.8124000000000004E-2</v>
      </c>
      <c r="Q336" s="8">
        <v>9.1924000000000006E-2</v>
      </c>
      <c r="R336" s="8">
        <v>-1.6951999999999998E-2</v>
      </c>
      <c r="S336" s="8">
        <v>-1.1029000000000001E-2</v>
      </c>
      <c r="T336" s="8">
        <v>-5.7835999999999999E-3</v>
      </c>
      <c r="U336" s="8">
        <v>2.7512000000000002E-2</v>
      </c>
      <c r="V336" s="8">
        <v>-3.6905000000000002E-3</v>
      </c>
      <c r="W336" s="8">
        <v>-8.2819E-3</v>
      </c>
      <c r="X336" s="8">
        <v>-9.4874E-3</v>
      </c>
      <c r="Y336" s="8">
        <v>-2.0761E-3</v>
      </c>
    </row>
    <row r="337" spans="1:25" x14ac:dyDescent="0.25">
      <c r="A337" s="30" t="s">
        <v>174</v>
      </c>
      <c r="B337" s="12">
        <v>1.0873999999999999</v>
      </c>
      <c r="C337" s="12">
        <v>0.90766000000000002</v>
      </c>
      <c r="D337" s="8">
        <v>-0.57965999999999995</v>
      </c>
      <c r="E337" s="8">
        <v>-0.1166</v>
      </c>
      <c r="F337" s="8">
        <v>-0.29622999999999999</v>
      </c>
      <c r="G337" s="8">
        <v>9.3284000000000006E-2</v>
      </c>
      <c r="H337" s="8">
        <v>-0.57335999999999998</v>
      </c>
      <c r="I337" s="8">
        <v>0.41042000000000001</v>
      </c>
      <c r="J337" s="8">
        <v>0.10248</v>
      </c>
      <c r="K337" s="8">
        <v>-0.15084</v>
      </c>
      <c r="L337" s="8">
        <v>0.23193</v>
      </c>
      <c r="M337" s="8">
        <v>-1.6175999999999999E-2</v>
      </c>
      <c r="N337" s="8">
        <v>0.16388</v>
      </c>
      <c r="O337" s="8">
        <v>1.0514000000000001E-2</v>
      </c>
      <c r="P337" s="8">
        <v>-7.6735999999999999E-2</v>
      </c>
      <c r="Q337" s="8">
        <v>-7.1095000000000005E-2</v>
      </c>
      <c r="R337" s="8">
        <v>4.0062E-2</v>
      </c>
      <c r="S337" s="8">
        <v>2.4674000000000001E-2</v>
      </c>
      <c r="T337" s="8">
        <v>5.5749E-2</v>
      </c>
      <c r="U337" s="8">
        <v>-5.4654000000000001E-2</v>
      </c>
      <c r="V337" s="8">
        <v>2.4107E-3</v>
      </c>
      <c r="W337" s="8">
        <v>5.3502999999999997E-3</v>
      </c>
      <c r="X337" s="8">
        <v>-9.0242000000000002E-4</v>
      </c>
      <c r="Y337" s="8">
        <v>-8.4772999999999999E-4</v>
      </c>
    </row>
    <row r="338" spans="1:25" x14ac:dyDescent="0.25">
      <c r="A338" s="30" t="s">
        <v>175</v>
      </c>
      <c r="B338" s="12">
        <v>1.1246</v>
      </c>
      <c r="C338" s="12">
        <v>0.85219999999999996</v>
      </c>
      <c r="D338" s="8">
        <v>-0.54200000000000004</v>
      </c>
      <c r="E338" s="8">
        <v>-0.22517999999999999</v>
      </c>
      <c r="F338" s="8">
        <v>-6.5571000000000004E-2</v>
      </c>
      <c r="G338" s="8">
        <v>-1.9207999999999999E-2</v>
      </c>
      <c r="H338" s="8">
        <v>-0.40103</v>
      </c>
      <c r="I338" s="8">
        <v>0.39804</v>
      </c>
      <c r="J338" s="8">
        <v>-6.7812999999999997E-3</v>
      </c>
      <c r="K338" s="8">
        <v>-0.21238000000000001</v>
      </c>
      <c r="L338" s="8">
        <v>0.26674999999999999</v>
      </c>
      <c r="M338" s="8">
        <v>-0.20401</v>
      </c>
      <c r="N338" s="8">
        <v>0.15865000000000001</v>
      </c>
      <c r="O338" s="8">
        <v>1.7047E-2</v>
      </c>
      <c r="P338" s="8">
        <v>-5.0547999999999999E-4</v>
      </c>
      <c r="Q338" s="8">
        <v>-1.738E-2</v>
      </c>
      <c r="R338" s="8">
        <v>4.1574E-2</v>
      </c>
      <c r="S338" s="8">
        <v>-2.6353000000000001E-2</v>
      </c>
      <c r="T338" s="8">
        <v>5.9436000000000003E-2</v>
      </c>
      <c r="U338" s="8">
        <v>-5.5721000000000004E-4</v>
      </c>
      <c r="V338" s="8">
        <v>1.8248E-2</v>
      </c>
      <c r="W338" s="8">
        <v>9.0040999999999993E-3</v>
      </c>
      <c r="X338" s="8">
        <v>9.2493999999999996E-4</v>
      </c>
      <c r="Y338" s="8">
        <v>-4.7329E-3</v>
      </c>
    </row>
    <row r="339" spans="1:25" x14ac:dyDescent="0.25">
      <c r="A339" s="30" t="s">
        <v>176</v>
      </c>
      <c r="B339" s="12">
        <v>1.1074999999999999</v>
      </c>
      <c r="C339" s="12">
        <v>0.90088000000000001</v>
      </c>
      <c r="D339" s="8">
        <v>-0.56957999999999998</v>
      </c>
      <c r="E339" s="8">
        <v>-0.15204000000000001</v>
      </c>
      <c r="F339" s="8">
        <v>-0.16561999999999999</v>
      </c>
      <c r="G339" s="8">
        <v>6.9691000000000003E-2</v>
      </c>
      <c r="H339" s="8">
        <v>-0.47191</v>
      </c>
      <c r="I339" s="8">
        <v>0.52725</v>
      </c>
      <c r="J339" s="8">
        <v>0.11597</v>
      </c>
      <c r="K339" s="8">
        <v>-0.16794000000000001</v>
      </c>
      <c r="L339" s="8">
        <v>0.17909</v>
      </c>
      <c r="M339" s="8">
        <v>0.11602</v>
      </c>
      <c r="N339" s="8">
        <v>-2.4721E-2</v>
      </c>
      <c r="O339" s="8">
        <v>-4.5828000000000001E-2</v>
      </c>
      <c r="P339" s="8">
        <v>0.10153</v>
      </c>
      <c r="Q339" s="8">
        <v>7.8244999999999995E-2</v>
      </c>
      <c r="R339" s="8">
        <v>-3.1820000000000001E-2</v>
      </c>
      <c r="S339" s="8">
        <v>-2.9462999999999998E-3</v>
      </c>
      <c r="T339" s="8">
        <v>3.7691000000000002E-2</v>
      </c>
      <c r="U339" s="8">
        <v>2.6842000000000001E-2</v>
      </c>
      <c r="V339" s="8">
        <v>1.3802999999999999E-2</v>
      </c>
      <c r="W339" s="8">
        <v>2.5953999999999999E-3</v>
      </c>
      <c r="X339" s="8">
        <v>-2.4635E-3</v>
      </c>
      <c r="Y339" s="8">
        <v>4.2699000000000001E-3</v>
      </c>
    </row>
    <row r="340" spans="1:25" x14ac:dyDescent="0.25">
      <c r="A340" s="30" t="s">
        <v>177</v>
      </c>
      <c r="B340" s="12">
        <v>1.1641999999999999</v>
      </c>
      <c r="C340" s="12">
        <v>0.88843000000000005</v>
      </c>
      <c r="D340" s="8">
        <v>-0.50541000000000003</v>
      </c>
      <c r="E340" s="8">
        <v>-0.32268000000000002</v>
      </c>
      <c r="F340" s="8">
        <v>0.12731999999999999</v>
      </c>
      <c r="G340" s="8">
        <v>0.26063999999999998</v>
      </c>
      <c r="H340" s="8">
        <v>-0.34636</v>
      </c>
      <c r="I340" s="8">
        <v>0.19397</v>
      </c>
      <c r="J340" s="8">
        <v>2.7334000000000001E-2</v>
      </c>
      <c r="K340" s="8">
        <v>-0.39889999999999998</v>
      </c>
      <c r="L340" s="8">
        <v>4.2265999999999996E-3</v>
      </c>
      <c r="M340" s="8">
        <v>0.32768999999999998</v>
      </c>
      <c r="N340" s="8">
        <v>0.18226999999999999</v>
      </c>
      <c r="O340" s="8">
        <v>9.0667000000000005E-3</v>
      </c>
      <c r="P340" s="8">
        <v>5.8123000000000001E-2</v>
      </c>
      <c r="Q340" s="8">
        <v>-4.1369999999999997E-2</v>
      </c>
      <c r="R340" s="8">
        <v>3.8613000000000001E-2</v>
      </c>
      <c r="S340" s="8">
        <v>1.2867E-2</v>
      </c>
      <c r="T340" s="8">
        <v>5.1941000000000001E-3</v>
      </c>
      <c r="U340" s="8">
        <v>1.9464E-3</v>
      </c>
      <c r="V340" s="8">
        <v>-6.3719999999999998E-4</v>
      </c>
      <c r="W340" s="8">
        <v>-6.3814000000000004E-4</v>
      </c>
      <c r="X340" s="8">
        <v>-5.7936000000000003E-3</v>
      </c>
      <c r="Y340" s="8">
        <v>-1.3136000000000001E-3</v>
      </c>
    </row>
    <row r="341" spans="1:25" x14ac:dyDescent="0.25">
      <c r="A341" s="30" t="s">
        <v>178</v>
      </c>
      <c r="B341" s="12">
        <v>1.2287999999999999</v>
      </c>
      <c r="C341" s="12">
        <v>0.82796000000000003</v>
      </c>
      <c r="D341" s="8">
        <v>-0.46523999999999999</v>
      </c>
      <c r="E341" s="8">
        <v>-0.46703</v>
      </c>
      <c r="F341" s="8">
        <v>0.51329999999999998</v>
      </c>
      <c r="G341" s="8">
        <v>0.17634</v>
      </c>
      <c r="H341" s="8">
        <v>-6.6535999999999998E-2</v>
      </c>
      <c r="I341" s="8">
        <v>0.27466000000000002</v>
      </c>
      <c r="J341" s="8">
        <v>-7.1191000000000004E-2</v>
      </c>
      <c r="K341" s="8">
        <v>-0.42988999999999999</v>
      </c>
      <c r="L341" s="8">
        <v>0.10688</v>
      </c>
      <c r="M341" s="8">
        <v>4.7836999999999998E-2</v>
      </c>
      <c r="N341" s="8">
        <v>7.1830000000000005E-2</v>
      </c>
      <c r="O341" s="8">
        <v>4.4466000000000002E-3</v>
      </c>
      <c r="P341" s="8">
        <v>0.12300999999999999</v>
      </c>
      <c r="Q341" s="8">
        <v>-1.3561E-2</v>
      </c>
      <c r="R341" s="8">
        <v>4.5885000000000002E-2</v>
      </c>
      <c r="S341" s="8">
        <v>2.0402E-2</v>
      </c>
      <c r="T341" s="8">
        <v>2.6796E-2</v>
      </c>
      <c r="U341" s="8">
        <v>1.884E-3</v>
      </c>
      <c r="V341" s="8">
        <v>-9.3928999999999996E-4</v>
      </c>
      <c r="W341" s="8">
        <v>1.5295E-3</v>
      </c>
      <c r="X341" s="8">
        <v>-2.3695999999999999E-3</v>
      </c>
      <c r="Y341" s="8">
        <v>-1.2015000000000001E-3</v>
      </c>
    </row>
    <row r="342" spans="1:25" x14ac:dyDescent="0.25">
      <c r="A342" s="30" t="s">
        <v>179</v>
      </c>
      <c r="B342" s="12">
        <v>1.2354000000000001</v>
      </c>
      <c r="C342" s="12">
        <v>0.83872000000000002</v>
      </c>
      <c r="D342" s="8">
        <v>-0.49034</v>
      </c>
      <c r="E342" s="8">
        <v>-0.42707000000000001</v>
      </c>
      <c r="F342" s="8">
        <v>0.55191000000000001</v>
      </c>
      <c r="G342" s="8">
        <v>0.15955</v>
      </c>
      <c r="H342" s="8">
        <v>-1.223E-2</v>
      </c>
      <c r="I342" s="8">
        <v>0.51819999999999999</v>
      </c>
      <c r="J342" s="8">
        <v>-2.4150000000000001E-2</v>
      </c>
      <c r="K342" s="8">
        <v>-0.29315000000000002</v>
      </c>
      <c r="L342" s="8">
        <v>0.20343</v>
      </c>
      <c r="M342" s="8">
        <v>-4.6128000000000002E-2</v>
      </c>
      <c r="N342" s="8">
        <v>-3.3522999999999997E-2</v>
      </c>
      <c r="O342" s="8">
        <v>-2.7125E-2</v>
      </c>
      <c r="P342" s="8">
        <v>1.6223000000000001E-2</v>
      </c>
      <c r="Q342" s="8">
        <v>1.9067999999999999E-3</v>
      </c>
      <c r="R342" s="8">
        <v>5.7489000000000004E-3</v>
      </c>
      <c r="S342" s="8">
        <v>-1.3629E-2</v>
      </c>
      <c r="T342" s="8">
        <v>2.8154999999999999E-2</v>
      </c>
      <c r="U342" s="8">
        <v>3.8159999999999999E-3</v>
      </c>
      <c r="V342" s="8">
        <v>4.9227000000000003E-3</v>
      </c>
      <c r="W342" s="8">
        <v>6.1336999999999997E-3</v>
      </c>
      <c r="X342" s="8">
        <v>4.4149000000000002E-3</v>
      </c>
      <c r="Y342" s="8">
        <v>7.3561999999999998E-4</v>
      </c>
    </row>
    <row r="343" spans="1:25" x14ac:dyDescent="0.25">
      <c r="A343" s="30" t="s">
        <v>180</v>
      </c>
      <c r="B343" s="12">
        <v>-1.0763</v>
      </c>
      <c r="C343" s="12">
        <v>-0.2636</v>
      </c>
      <c r="D343" s="8">
        <v>-0.78771000000000002</v>
      </c>
      <c r="E343" s="8">
        <v>-1.3950000000000001E-2</v>
      </c>
      <c r="F343" s="8">
        <v>-0.34422999999999998</v>
      </c>
      <c r="G343" s="8">
        <v>-0.54</v>
      </c>
      <c r="H343" s="8">
        <v>-0.16027</v>
      </c>
      <c r="I343" s="8">
        <v>0.23633999999999999</v>
      </c>
      <c r="J343" s="8">
        <v>-9.9010999999999995E-3</v>
      </c>
      <c r="K343" s="8">
        <v>6.1913000000000003E-2</v>
      </c>
      <c r="L343" s="8">
        <v>-0.19</v>
      </c>
      <c r="M343" s="8">
        <v>-0.13738</v>
      </c>
      <c r="N343" s="8">
        <v>-0.10718</v>
      </c>
      <c r="O343" s="8">
        <v>3.3584999999999997E-2</v>
      </c>
      <c r="P343" s="8">
        <v>5.3020999999999999E-2</v>
      </c>
      <c r="Q343" s="8">
        <v>-3.3503999999999999E-2</v>
      </c>
      <c r="R343" s="8">
        <v>2.4077000000000001E-2</v>
      </c>
      <c r="S343" s="8">
        <v>1.3733E-2</v>
      </c>
      <c r="T343" s="8">
        <v>-1.9608E-2</v>
      </c>
      <c r="U343" s="8">
        <v>9.1616000000000006E-3</v>
      </c>
      <c r="V343" s="8">
        <v>1.1791E-3</v>
      </c>
      <c r="W343" s="8">
        <v>2.1004000000000001E-3</v>
      </c>
      <c r="X343" s="8">
        <v>2.0788E-3</v>
      </c>
      <c r="Y343" s="8">
        <v>-2.3227999999999999E-4</v>
      </c>
    </row>
    <row r="344" spans="1:25" x14ac:dyDescent="0.25">
      <c r="A344" s="30" t="s">
        <v>181</v>
      </c>
      <c r="B344" s="12">
        <v>-1.0422</v>
      </c>
      <c r="C344" s="12">
        <v>-0.37262000000000001</v>
      </c>
      <c r="D344" s="8">
        <v>-0.72650000000000003</v>
      </c>
      <c r="E344" s="8">
        <v>-0.15012</v>
      </c>
      <c r="F344" s="8">
        <v>-9.0645000000000003E-2</v>
      </c>
      <c r="G344" s="8">
        <v>-0.99150000000000005</v>
      </c>
      <c r="H344" s="8">
        <v>0.17013</v>
      </c>
      <c r="I344" s="8">
        <v>0.44557999999999998</v>
      </c>
      <c r="J344" s="8">
        <v>-0.20518</v>
      </c>
      <c r="K344" s="8">
        <v>5.4530000000000002E-2</v>
      </c>
      <c r="L344" s="8">
        <v>-0.30297000000000002</v>
      </c>
      <c r="M344" s="8">
        <v>0.10599</v>
      </c>
      <c r="N344" s="8">
        <v>-7.7048000000000005E-2</v>
      </c>
      <c r="O344" s="8">
        <v>-0.17127999999999999</v>
      </c>
      <c r="P344" s="8">
        <v>0.15978999999999999</v>
      </c>
      <c r="Q344" s="8">
        <v>3.5650000000000001E-2</v>
      </c>
      <c r="R344" s="8">
        <v>4.4900000000000002E-4</v>
      </c>
      <c r="S344" s="8">
        <v>1.4933999999999999E-2</v>
      </c>
      <c r="T344" s="8">
        <v>5.1638999999999999E-3</v>
      </c>
      <c r="U344" s="8">
        <v>-3.8677E-3</v>
      </c>
      <c r="V344" s="8">
        <v>6.3546999999999996E-3</v>
      </c>
      <c r="W344" s="8">
        <v>5.8570000000000002E-3</v>
      </c>
      <c r="X344" s="8">
        <v>-9.3661999999999999E-5</v>
      </c>
      <c r="Y344" s="8">
        <v>5.8561999999999998E-3</v>
      </c>
    </row>
    <row r="345" spans="1:25" x14ac:dyDescent="0.25">
      <c r="A345" s="30" t="s">
        <v>182</v>
      </c>
      <c r="B345" s="12">
        <v>-1.0471999999999999</v>
      </c>
      <c r="C345" s="12">
        <v>-0.16735</v>
      </c>
      <c r="D345" s="8">
        <v>-0.80762</v>
      </c>
      <c r="E345" s="8">
        <v>-1.3429999999999999E-2</v>
      </c>
      <c r="F345" s="8">
        <v>-0.25335000000000002</v>
      </c>
      <c r="G345" s="8">
        <v>-3.2497999999999999E-2</v>
      </c>
      <c r="H345" s="8">
        <v>-0.22613</v>
      </c>
      <c r="I345" s="8">
        <v>9.1132000000000005E-2</v>
      </c>
      <c r="J345" s="8">
        <v>0.11</v>
      </c>
      <c r="K345" s="8">
        <v>-2.2644999999999998E-2</v>
      </c>
      <c r="L345" s="8">
        <v>-0.25586999999999999</v>
      </c>
      <c r="M345" s="8">
        <v>-5.3048999999999999E-2</v>
      </c>
      <c r="N345" s="8">
        <v>-6.7024E-2</v>
      </c>
      <c r="O345" s="8">
        <v>6.1196E-2</v>
      </c>
      <c r="P345" s="8">
        <v>-7.5274999999999995E-2</v>
      </c>
      <c r="Q345" s="8">
        <v>4.4282999999999996E-3</v>
      </c>
      <c r="R345" s="8">
        <v>-1.456E-3</v>
      </c>
      <c r="S345" s="8">
        <v>-3.1032E-3</v>
      </c>
      <c r="T345" s="8">
        <v>-7.5577999999999999E-3</v>
      </c>
      <c r="U345" s="8">
        <v>1.2418999999999999E-2</v>
      </c>
      <c r="V345" s="8">
        <v>-9.0647000000000002E-3</v>
      </c>
      <c r="W345" s="8">
        <v>-5.7971999999999997E-3</v>
      </c>
      <c r="X345" s="8">
        <v>-1.5989999999999999E-3</v>
      </c>
      <c r="Y345" s="8">
        <v>2.5382999999999998E-3</v>
      </c>
    </row>
    <row r="346" spans="1:25" x14ac:dyDescent="0.25">
      <c r="A346" s="30" t="s">
        <v>183</v>
      </c>
      <c r="B346" s="12">
        <v>-1.0482</v>
      </c>
      <c r="C346" s="12">
        <v>-0.16445000000000001</v>
      </c>
      <c r="D346" s="8">
        <v>-0.83504</v>
      </c>
      <c r="E346" s="8">
        <v>4.4690000000000001E-2</v>
      </c>
      <c r="F346" s="8">
        <v>-0.24948999999999999</v>
      </c>
      <c r="G346" s="8">
        <v>-0.13941999999999999</v>
      </c>
      <c r="H346" s="8">
        <v>-0.14727000000000001</v>
      </c>
      <c r="I346" s="8">
        <v>0.42781999999999998</v>
      </c>
      <c r="J346" s="8">
        <v>0.12842000000000001</v>
      </c>
      <c r="K346" s="8">
        <v>0.11283</v>
      </c>
      <c r="L346" s="8">
        <v>-0.18862000000000001</v>
      </c>
      <c r="M346" s="8">
        <v>-0.12096</v>
      </c>
      <c r="N346" s="8">
        <v>-5.1877E-2</v>
      </c>
      <c r="O346" s="8">
        <v>-4.0945000000000002E-2</v>
      </c>
      <c r="P346" s="8">
        <v>7.7093999999999996E-2</v>
      </c>
      <c r="Q346" s="8">
        <v>8.3432999999999993E-2</v>
      </c>
      <c r="R346" s="8">
        <v>2.5058E-2</v>
      </c>
      <c r="S346" s="8">
        <v>1.9476E-2</v>
      </c>
      <c r="T346" s="8">
        <v>-2.1078E-2</v>
      </c>
      <c r="U346" s="8">
        <v>3.1524000000000003E-2</v>
      </c>
      <c r="V346" s="8">
        <v>5.2205999999999997E-3</v>
      </c>
      <c r="W346" s="8">
        <v>5.9430999999999998E-3</v>
      </c>
      <c r="X346" s="8">
        <v>1.0056999999999999E-4</v>
      </c>
      <c r="Y346" s="8">
        <v>4.3632000000000002E-3</v>
      </c>
    </row>
    <row r="347" spans="1:25" x14ac:dyDescent="0.25">
      <c r="A347" s="30" t="s">
        <v>184</v>
      </c>
      <c r="B347" s="12">
        <v>-1.008</v>
      </c>
      <c r="C347" s="12">
        <v>-0.22520000000000001</v>
      </c>
      <c r="D347" s="8">
        <v>-0.78627000000000002</v>
      </c>
      <c r="E347" s="8">
        <v>-9.8039000000000001E-2</v>
      </c>
      <c r="F347" s="8">
        <v>-1.7961000000000001E-2</v>
      </c>
      <c r="G347" s="8">
        <v>-0.20957000000000001</v>
      </c>
      <c r="H347" s="8">
        <v>2.4538000000000001E-2</v>
      </c>
      <c r="I347" s="8">
        <v>0.27106999999999998</v>
      </c>
      <c r="J347" s="8">
        <v>-1.7739999999999999E-2</v>
      </c>
      <c r="K347" s="8">
        <v>5.4355999999999996E-3</v>
      </c>
      <c r="L347" s="8">
        <v>-0.17080999999999999</v>
      </c>
      <c r="M347" s="8">
        <v>-0.26955000000000001</v>
      </c>
      <c r="N347" s="8">
        <v>2.9843000000000001E-2</v>
      </c>
      <c r="O347" s="8">
        <v>-7.9143000000000005E-2</v>
      </c>
      <c r="P347" s="8">
        <v>-1.4486000000000001E-2</v>
      </c>
      <c r="Q347" s="8">
        <v>4.1986999999999998E-4</v>
      </c>
      <c r="R347" s="8">
        <v>2.9704999999999999E-2</v>
      </c>
      <c r="S347" s="8">
        <v>-1.7826999999999999E-2</v>
      </c>
      <c r="T347" s="8">
        <v>-5.8836000000000001E-3</v>
      </c>
      <c r="U347" s="8">
        <v>-1.2588E-2</v>
      </c>
      <c r="V347" s="8">
        <v>6.9299000000000001E-3</v>
      </c>
      <c r="W347" s="8">
        <v>-6.0972999999999999E-3</v>
      </c>
      <c r="X347" s="8">
        <v>5.0235000000000002E-3</v>
      </c>
      <c r="Y347" s="8">
        <v>3.2761000000000001E-3</v>
      </c>
    </row>
    <row r="348" spans="1:25" x14ac:dyDescent="0.25">
      <c r="A348" s="30" t="s">
        <v>185</v>
      </c>
      <c r="B348" s="12">
        <v>-1.0780000000000001</v>
      </c>
      <c r="C348" s="12">
        <v>-0.20466000000000001</v>
      </c>
      <c r="D348" s="8">
        <v>-0.82755000000000001</v>
      </c>
      <c r="E348" s="8">
        <v>6.0636000000000002E-2</v>
      </c>
      <c r="F348" s="8">
        <v>-0.39073000000000002</v>
      </c>
      <c r="G348" s="8">
        <v>-0.36468</v>
      </c>
      <c r="H348" s="8">
        <v>-0.19203000000000001</v>
      </c>
      <c r="I348" s="8">
        <v>0.39382</v>
      </c>
      <c r="J348" s="8">
        <v>5.6174000000000002E-2</v>
      </c>
      <c r="K348" s="8">
        <v>0.12402000000000001</v>
      </c>
      <c r="L348" s="8">
        <v>-0.19685</v>
      </c>
      <c r="M348" s="8">
        <v>-0.13691999999999999</v>
      </c>
      <c r="N348" s="8">
        <v>1.4801E-2</v>
      </c>
      <c r="O348" s="8">
        <v>-4.4749999999999998E-2</v>
      </c>
      <c r="P348" s="8">
        <v>6.0124999999999998E-2</v>
      </c>
      <c r="Q348" s="8">
        <v>7.2232000000000005E-2</v>
      </c>
      <c r="R348" s="8">
        <v>-3.4405999999999999E-2</v>
      </c>
      <c r="S348" s="8">
        <v>-3.3189999999999997E-2</v>
      </c>
      <c r="T348" s="8">
        <v>-2.5309999999999999E-2</v>
      </c>
      <c r="U348" s="8">
        <v>2.3820000000000001E-2</v>
      </c>
      <c r="V348" s="8">
        <v>1.8038999999999999E-2</v>
      </c>
      <c r="W348" s="8">
        <v>-1.186E-3</v>
      </c>
      <c r="X348" s="8">
        <v>-2.8854000000000002E-3</v>
      </c>
      <c r="Y348" s="8">
        <v>-3.3286000000000001E-3</v>
      </c>
    </row>
    <row r="349" spans="1:25" x14ac:dyDescent="0.25">
      <c r="A349" s="30" t="s">
        <v>186</v>
      </c>
      <c r="B349" s="12">
        <v>-1.0366</v>
      </c>
      <c r="C349" s="12">
        <v>-0.19522999999999999</v>
      </c>
      <c r="D349" s="8">
        <v>-0.82162000000000002</v>
      </c>
      <c r="E349" s="8">
        <v>8.6695000000000001E-3</v>
      </c>
      <c r="F349" s="8">
        <v>-0.17041000000000001</v>
      </c>
      <c r="G349" s="8">
        <v>-0.24762999999999999</v>
      </c>
      <c r="H349" s="8">
        <v>-6.3048999999999994E-2</v>
      </c>
      <c r="I349" s="8">
        <v>0.47648000000000001</v>
      </c>
      <c r="J349" s="8">
        <v>7.3635999999999993E-2</v>
      </c>
      <c r="K349" s="8">
        <v>0.13277</v>
      </c>
      <c r="L349" s="8">
        <v>-0.17726</v>
      </c>
      <c r="M349" s="8">
        <v>-0.15262999999999999</v>
      </c>
      <c r="N349" s="8">
        <v>-8.5483999999999994E-3</v>
      </c>
      <c r="O349" s="8">
        <v>-2.9153999999999999E-2</v>
      </c>
      <c r="P349" s="8">
        <v>3.7000999999999999E-2</v>
      </c>
      <c r="Q349" s="8">
        <v>2.7727999999999999E-2</v>
      </c>
      <c r="R349" s="8">
        <v>-1.4345E-2</v>
      </c>
      <c r="S349" s="8">
        <v>-8.6332999999999993E-2</v>
      </c>
      <c r="T349" s="8">
        <v>-1.8718000000000001E-3</v>
      </c>
      <c r="U349" s="8">
        <v>-1.9141999999999999E-2</v>
      </c>
      <c r="V349" s="8">
        <v>2.1373E-2</v>
      </c>
      <c r="W349" s="8">
        <v>-9.5338000000000003E-3</v>
      </c>
      <c r="X349" s="8">
        <v>-2.7139999999999998E-3</v>
      </c>
      <c r="Y349" s="8">
        <v>-1.701E-3</v>
      </c>
    </row>
    <row r="350" spans="1:25" x14ac:dyDescent="0.25">
      <c r="A350" s="30" t="s">
        <v>187</v>
      </c>
      <c r="B350" s="12">
        <v>-1.0376000000000001</v>
      </c>
      <c r="C350" s="12">
        <v>-0.17054</v>
      </c>
      <c r="D350" s="8">
        <v>-0.81916</v>
      </c>
      <c r="E350" s="8">
        <v>-7.7846E-3</v>
      </c>
      <c r="F350" s="8">
        <v>-0.20735000000000001</v>
      </c>
      <c r="G350" s="8">
        <v>-6.8889000000000006E-2</v>
      </c>
      <c r="H350" s="8">
        <v>-0.12887999999999999</v>
      </c>
      <c r="I350" s="8">
        <v>0.26506999999999997</v>
      </c>
      <c r="J350" s="8">
        <v>8.7614999999999998E-2</v>
      </c>
      <c r="K350" s="8">
        <v>4.6337999999999997E-2</v>
      </c>
      <c r="L350" s="8">
        <v>-0.21545</v>
      </c>
      <c r="M350" s="8">
        <v>-8.2461999999999994E-2</v>
      </c>
      <c r="N350" s="8">
        <v>1.6653999999999999E-2</v>
      </c>
      <c r="O350" s="8">
        <v>-8.2477999999999996E-2</v>
      </c>
      <c r="P350" s="8">
        <v>-5.7624000000000002E-2</v>
      </c>
      <c r="Q350" s="8">
        <v>-5.1421000000000001E-2</v>
      </c>
      <c r="R350" s="8">
        <v>-6.0242999999999998E-2</v>
      </c>
      <c r="S350" s="8">
        <v>-4.3957999999999997E-2</v>
      </c>
      <c r="T350" s="8">
        <v>-7.2538000000000004E-3</v>
      </c>
      <c r="U350" s="8">
        <v>1.745E-3</v>
      </c>
      <c r="V350" s="8">
        <v>7.6777E-3</v>
      </c>
      <c r="W350" s="8">
        <v>-3.1304000000000002E-3</v>
      </c>
      <c r="X350" s="8">
        <v>-2.0336999999999998E-3</v>
      </c>
      <c r="Y350" s="8">
        <v>-2.5646000000000002E-3</v>
      </c>
    </row>
    <row r="351" spans="1:25" x14ac:dyDescent="0.25">
      <c r="A351" s="30" t="s">
        <v>188</v>
      </c>
      <c r="B351" s="12">
        <v>-1.0503</v>
      </c>
      <c r="C351" s="12">
        <v>-0.21687000000000001</v>
      </c>
      <c r="D351" s="8">
        <v>-0.80376999999999998</v>
      </c>
      <c r="E351" s="8">
        <v>-1.8922000000000001E-2</v>
      </c>
      <c r="F351" s="8">
        <v>-0.23405999999999999</v>
      </c>
      <c r="G351" s="8">
        <v>-0.29053000000000001</v>
      </c>
      <c r="H351" s="8">
        <v>-0.12017</v>
      </c>
      <c r="I351" s="8">
        <v>0.28038000000000002</v>
      </c>
      <c r="J351" s="8">
        <v>6.3725000000000004E-2</v>
      </c>
      <c r="K351" s="8">
        <v>6.1945E-2</v>
      </c>
      <c r="L351" s="8">
        <v>-0.17257</v>
      </c>
      <c r="M351" s="8">
        <v>-0.11742</v>
      </c>
      <c r="N351" s="8">
        <v>-0.16954</v>
      </c>
      <c r="O351" s="8">
        <v>-3.5934000000000001E-2</v>
      </c>
      <c r="P351" s="8">
        <v>3.1350000000000003E-2</v>
      </c>
      <c r="Q351" s="8">
        <v>-4.9921E-2</v>
      </c>
      <c r="R351" s="8">
        <v>-6.7345999999999997E-4</v>
      </c>
      <c r="S351" s="8">
        <v>2.7373999999999999E-2</v>
      </c>
      <c r="T351" s="8">
        <v>-3.1591000000000001E-2</v>
      </c>
      <c r="U351" s="8">
        <v>1.7724E-2</v>
      </c>
      <c r="V351" s="8">
        <v>-1.2758E-2</v>
      </c>
      <c r="W351" s="8">
        <v>-2.3322E-3</v>
      </c>
      <c r="X351" s="8">
        <v>-8.9762000000000002E-3</v>
      </c>
      <c r="Y351" s="8">
        <v>-3.1301000000000001E-4</v>
      </c>
    </row>
    <row r="352" spans="1:25" x14ac:dyDescent="0.25">
      <c r="A352" s="30" t="s">
        <v>189</v>
      </c>
      <c r="B352" s="12">
        <v>-0.96679999999999999</v>
      </c>
      <c r="C352" s="12">
        <v>-0.18268999999999999</v>
      </c>
      <c r="D352" s="8">
        <v>-0.78180000000000005</v>
      </c>
      <c r="E352" s="8">
        <v>-0.15323999999999999</v>
      </c>
      <c r="F352" s="8">
        <v>0.18225</v>
      </c>
      <c r="G352" s="8">
        <v>8.3773E-2</v>
      </c>
      <c r="H352" s="8">
        <v>9.6751000000000004E-2</v>
      </c>
      <c r="I352" s="8">
        <v>0.22994999999999999</v>
      </c>
      <c r="J352" s="8">
        <v>6.1302000000000002E-2</v>
      </c>
      <c r="K352" s="8">
        <v>-6.2868999999999994E-2</v>
      </c>
      <c r="L352" s="8">
        <v>-0.21360000000000001</v>
      </c>
      <c r="M352" s="8">
        <v>-0.1172</v>
      </c>
      <c r="N352" s="8">
        <v>-0.11387</v>
      </c>
      <c r="O352" s="8">
        <v>-0.11498</v>
      </c>
      <c r="P352" s="8">
        <v>1.0980999999999999E-2</v>
      </c>
      <c r="Q352" s="8">
        <v>-3.5366000000000002E-2</v>
      </c>
      <c r="R352" s="8">
        <v>1.8911000000000001E-2</v>
      </c>
      <c r="S352" s="8">
        <v>3.3753999999999999E-2</v>
      </c>
      <c r="T352" s="8">
        <v>-3.8141000000000001E-2</v>
      </c>
      <c r="U352" s="8">
        <v>-7.4411E-3</v>
      </c>
      <c r="V352" s="8">
        <v>-1.8807000000000001E-2</v>
      </c>
      <c r="W352" s="8">
        <v>-2.7269999999999998E-3</v>
      </c>
      <c r="X352" s="8">
        <v>-6.4209999999999996E-3</v>
      </c>
      <c r="Y352" s="8">
        <v>-1.0091E-3</v>
      </c>
    </row>
    <row r="353" spans="1:25" x14ac:dyDescent="0.25">
      <c r="A353" s="30" t="s">
        <v>190</v>
      </c>
      <c r="B353" s="12">
        <v>-1.1007</v>
      </c>
      <c r="C353" s="12">
        <v>-0.17348</v>
      </c>
      <c r="D353" s="8">
        <v>-0.84382000000000001</v>
      </c>
      <c r="E353" s="8">
        <v>0.10201</v>
      </c>
      <c r="F353" s="8">
        <v>-0.54386000000000001</v>
      </c>
      <c r="G353" s="8">
        <v>-0.21523</v>
      </c>
      <c r="H353" s="8">
        <v>-0.34299000000000002</v>
      </c>
      <c r="I353" s="8">
        <v>0.20763000000000001</v>
      </c>
      <c r="J353" s="8">
        <v>0.10895000000000001</v>
      </c>
      <c r="K353" s="8">
        <v>9.9393999999999996E-2</v>
      </c>
      <c r="L353" s="8">
        <v>-0.15543000000000001</v>
      </c>
      <c r="M353" s="8">
        <v>-0.19358</v>
      </c>
      <c r="N353" s="8">
        <v>3.3545999999999999E-2</v>
      </c>
      <c r="O353" s="8">
        <v>-1.2612E-2</v>
      </c>
      <c r="P353" s="8">
        <v>-3.4480999999999999E-3</v>
      </c>
      <c r="Q353" s="8">
        <v>-7.7322000000000002E-2</v>
      </c>
      <c r="R353" s="8">
        <v>-3.8892000000000003E-2</v>
      </c>
      <c r="S353" s="8">
        <v>4.1536999999999998E-2</v>
      </c>
      <c r="T353" s="8">
        <v>-3.2785000000000002E-3</v>
      </c>
      <c r="U353" s="8">
        <v>8.0851999999999996E-4</v>
      </c>
      <c r="V353" s="8">
        <v>-1.2396000000000001E-2</v>
      </c>
      <c r="W353" s="8">
        <v>-4.3109000000000003E-3</v>
      </c>
      <c r="X353" s="8">
        <v>5.8224000000000001E-3</v>
      </c>
      <c r="Y353" s="8">
        <v>1.0108999999999999E-3</v>
      </c>
    </row>
    <row r="354" spans="1:25" x14ac:dyDescent="0.25">
      <c r="A354" s="30" t="s">
        <v>191</v>
      </c>
      <c r="B354" s="12">
        <v>-1.0799000000000001</v>
      </c>
      <c r="C354" s="12">
        <v>-0.15226999999999999</v>
      </c>
      <c r="D354" s="8">
        <v>-0.83525000000000005</v>
      </c>
      <c r="E354" s="8">
        <v>5.5108999999999998E-2</v>
      </c>
      <c r="F354" s="8">
        <v>-0.44961000000000001</v>
      </c>
      <c r="G354" s="8">
        <v>-1.8506000000000002E-2</v>
      </c>
      <c r="H354" s="8">
        <v>-0.33212000000000003</v>
      </c>
      <c r="I354" s="8">
        <v>6.6819000000000003E-2</v>
      </c>
      <c r="J354" s="8">
        <v>0.12365</v>
      </c>
      <c r="K354" s="8">
        <v>-1.2584E-2</v>
      </c>
      <c r="L354" s="8">
        <v>-0.19200999999999999</v>
      </c>
      <c r="M354" s="8">
        <v>-0.18032999999999999</v>
      </c>
      <c r="N354" s="8">
        <v>1.6395E-2</v>
      </c>
      <c r="O354" s="8">
        <v>-2.4611999999999998E-2</v>
      </c>
      <c r="P354" s="8">
        <v>0.104</v>
      </c>
      <c r="Q354" s="8">
        <v>-6.1545999999999997E-2</v>
      </c>
      <c r="R354" s="8">
        <v>-2.0674999999999999E-2</v>
      </c>
      <c r="S354" s="8">
        <v>8.6894999999999993E-3</v>
      </c>
      <c r="T354" s="8">
        <v>-5.3730000000000002E-3</v>
      </c>
      <c r="U354" s="8">
        <v>-5.9963000000000004E-3</v>
      </c>
      <c r="V354" s="8">
        <v>-1.5519E-2</v>
      </c>
      <c r="W354" s="8">
        <v>-8.8009999999999998E-4</v>
      </c>
      <c r="X354" s="8">
        <v>5.9296999999999996E-4</v>
      </c>
      <c r="Y354" s="8">
        <v>-4.237E-4</v>
      </c>
    </row>
    <row r="355" spans="1:25" x14ac:dyDescent="0.25">
      <c r="A355" s="30" t="s">
        <v>192</v>
      </c>
      <c r="B355" s="12">
        <v>-1.0678000000000001</v>
      </c>
      <c r="C355" s="12">
        <v>-0.29944999999999999</v>
      </c>
      <c r="D355" s="8">
        <v>-0.73763000000000001</v>
      </c>
      <c r="E355" s="8">
        <v>-0.13325000000000001</v>
      </c>
      <c r="F355" s="8">
        <v>-0.31313999999999997</v>
      </c>
      <c r="G355" s="8">
        <v>-0.50360000000000005</v>
      </c>
      <c r="H355" s="8">
        <v>-0.16597999999999999</v>
      </c>
      <c r="I355" s="8">
        <v>-0.20623</v>
      </c>
      <c r="J355" s="8">
        <v>-0.16788</v>
      </c>
      <c r="K355" s="8">
        <v>-0.18040999999999999</v>
      </c>
      <c r="L355" s="8">
        <v>-0.30723</v>
      </c>
      <c r="M355" s="8">
        <v>-0.15551999999999999</v>
      </c>
      <c r="N355" s="8">
        <v>0.10857</v>
      </c>
      <c r="O355" s="8">
        <v>-1.9705E-2</v>
      </c>
      <c r="P355" s="8">
        <v>-4.1216000000000003E-2</v>
      </c>
      <c r="Q355" s="8">
        <v>-9.4106999999999993E-3</v>
      </c>
      <c r="R355" s="8">
        <v>-5.5537000000000003E-2</v>
      </c>
      <c r="S355" s="8">
        <v>1.5110999999999999E-2</v>
      </c>
      <c r="T355" s="8">
        <v>-3.921E-3</v>
      </c>
      <c r="U355" s="8">
        <v>-1.4401000000000001E-2</v>
      </c>
      <c r="V355" s="8">
        <v>-1.6674000000000001E-2</v>
      </c>
      <c r="W355" s="8">
        <v>-1.0083E-2</v>
      </c>
      <c r="X355" s="8">
        <v>-1.4231000000000001E-4</v>
      </c>
      <c r="Y355" s="8">
        <v>4.5059000000000001E-4</v>
      </c>
    </row>
    <row r="356" spans="1:25" x14ac:dyDescent="0.25">
      <c r="A356" s="30" t="s">
        <v>193</v>
      </c>
      <c r="B356" s="12">
        <v>-1.9473</v>
      </c>
      <c r="C356" s="12">
        <v>0.10956</v>
      </c>
      <c r="D356" s="8">
        <v>-0.95221999999999996</v>
      </c>
      <c r="E356" s="8">
        <v>0.27734999999999999</v>
      </c>
      <c r="F356" s="8">
        <v>0.98626000000000003</v>
      </c>
      <c r="G356" s="8">
        <v>-0.26112000000000002</v>
      </c>
      <c r="H356" s="8">
        <v>0.32607999999999998</v>
      </c>
      <c r="I356" s="8">
        <v>-8.1878999999999993E-2</v>
      </c>
      <c r="J356" s="8">
        <v>0.17130000000000001</v>
      </c>
      <c r="K356" s="8">
        <v>-0.12395</v>
      </c>
      <c r="L356" s="8">
        <v>-0.13633000000000001</v>
      </c>
      <c r="M356" s="8">
        <v>-2.6870000000000002E-2</v>
      </c>
      <c r="N356" s="8">
        <v>-0.11840000000000001</v>
      </c>
      <c r="O356" s="8">
        <v>-7.6527999999999999E-2</v>
      </c>
      <c r="P356" s="8">
        <v>-7.5643000000000002E-2</v>
      </c>
      <c r="Q356" s="8">
        <v>-1.3613999999999999E-2</v>
      </c>
      <c r="R356" s="8">
        <v>1.7565000000000001E-2</v>
      </c>
      <c r="S356" s="8">
        <v>4.9696999999999998E-2</v>
      </c>
      <c r="T356" s="8">
        <v>2.0499E-2</v>
      </c>
      <c r="U356" s="8">
        <v>-2.2542999999999999E-3</v>
      </c>
      <c r="V356" s="8">
        <v>6.6318999999999996E-3</v>
      </c>
      <c r="W356" s="8">
        <v>-5.2528999999999998E-4</v>
      </c>
      <c r="X356" s="8">
        <v>8.6285000000000005E-5</v>
      </c>
      <c r="Y356" s="8">
        <v>2.9137999999999998E-3</v>
      </c>
    </row>
    <row r="357" spans="1:25" x14ac:dyDescent="0.25">
      <c r="A357" s="30" t="s">
        <v>194</v>
      </c>
      <c r="B357" s="12">
        <v>-1.9983</v>
      </c>
      <c r="C357" s="12">
        <v>0.15056</v>
      </c>
      <c r="D357" s="8">
        <v>-0.98902000000000001</v>
      </c>
      <c r="E357" s="8">
        <v>0.38628000000000001</v>
      </c>
      <c r="F357" s="8">
        <v>0.68178000000000005</v>
      </c>
      <c r="G357" s="8">
        <v>-0.16148000000000001</v>
      </c>
      <c r="H357" s="8">
        <v>7.3962E-2</v>
      </c>
      <c r="I357" s="8">
        <v>-0.22608</v>
      </c>
      <c r="J357" s="8">
        <v>0.24798999999999999</v>
      </c>
      <c r="K357" s="8">
        <v>-0.10675</v>
      </c>
      <c r="L357" s="8">
        <v>-8.2527000000000003E-2</v>
      </c>
      <c r="M357" s="8">
        <v>-0.13811999999999999</v>
      </c>
      <c r="N357" s="8">
        <v>-0.12681999999999999</v>
      </c>
      <c r="O357" s="8">
        <v>-1.2734000000000001E-2</v>
      </c>
      <c r="P357" s="8">
        <v>-0.13958999999999999</v>
      </c>
      <c r="Q357" s="8">
        <v>-3.4647999999999998E-2</v>
      </c>
      <c r="R357" s="8">
        <v>-1.1271E-2</v>
      </c>
      <c r="S357" s="8">
        <v>7.1510000000000004E-2</v>
      </c>
      <c r="T357" s="8">
        <v>3.8170999999999997E-2</v>
      </c>
      <c r="U357" s="8">
        <v>-1.2198000000000001E-2</v>
      </c>
      <c r="V357" s="8">
        <v>2.7569000000000001E-3</v>
      </c>
      <c r="W357" s="8">
        <v>-1.7306999999999999E-3</v>
      </c>
      <c r="X357" s="8">
        <v>1.4231999999999999E-3</v>
      </c>
      <c r="Y357" s="8">
        <v>3.0766000000000001E-3</v>
      </c>
    </row>
    <row r="358" spans="1:25" x14ac:dyDescent="0.25">
      <c r="A358" s="30" t="s">
        <v>195</v>
      </c>
      <c r="B358" s="12">
        <v>-1.915</v>
      </c>
      <c r="C358" s="12">
        <v>0.12503</v>
      </c>
      <c r="D358" s="8">
        <v>-0.94703999999999999</v>
      </c>
      <c r="E358" s="8">
        <v>0.24349999999999999</v>
      </c>
      <c r="F358" s="8">
        <v>1.1593</v>
      </c>
      <c r="G358" s="8">
        <v>-0.14867</v>
      </c>
      <c r="H358" s="8">
        <v>0.41016999999999998</v>
      </c>
      <c r="I358" s="8">
        <v>-1.1438E-2</v>
      </c>
      <c r="J358" s="8">
        <v>0.21112</v>
      </c>
      <c r="K358" s="8">
        <v>-0.10591</v>
      </c>
      <c r="L358" s="8">
        <v>-0.15418000000000001</v>
      </c>
      <c r="M358" s="8">
        <v>5.3046999999999997E-2</v>
      </c>
      <c r="N358" s="8">
        <v>-0.15581999999999999</v>
      </c>
      <c r="O358" s="8">
        <v>-9.4560000000000009E-3</v>
      </c>
      <c r="P358" s="8">
        <v>-0.12324</v>
      </c>
      <c r="Q358" s="8">
        <v>-6.6118999999999997E-2</v>
      </c>
      <c r="R358" s="8">
        <v>-1.0184E-2</v>
      </c>
      <c r="S358" s="8">
        <v>-1.44E-2</v>
      </c>
      <c r="T358" s="8">
        <v>2.3514E-2</v>
      </c>
      <c r="U358" s="8">
        <v>4.1564999999999996E-3</v>
      </c>
      <c r="V358" s="8">
        <v>2.9044E-2</v>
      </c>
      <c r="W358" s="8">
        <v>-7.8946999999999993E-3</v>
      </c>
      <c r="X358" s="8">
        <v>-2.8858999999999998E-3</v>
      </c>
      <c r="Y358" s="8">
        <v>1.5888E-3</v>
      </c>
    </row>
    <row r="359" spans="1:25" x14ac:dyDescent="0.25">
      <c r="A359" s="30" t="s">
        <v>196</v>
      </c>
      <c r="B359" s="12">
        <v>-2.0091999999999999</v>
      </c>
      <c r="C359" s="12">
        <v>0.14218</v>
      </c>
      <c r="D359" s="8">
        <v>-0.98950000000000005</v>
      </c>
      <c r="E359" s="8">
        <v>0.39578999999999998</v>
      </c>
      <c r="F359" s="8">
        <v>0.63878999999999997</v>
      </c>
      <c r="G359" s="8">
        <v>-0.20671999999999999</v>
      </c>
      <c r="H359" s="8">
        <v>3.9752999999999997E-2</v>
      </c>
      <c r="I359" s="8">
        <v>-0.23794000000000001</v>
      </c>
      <c r="J359" s="8">
        <v>0.27277000000000001</v>
      </c>
      <c r="K359" s="8">
        <v>-0.11856</v>
      </c>
      <c r="L359" s="8">
        <v>-6.2068999999999999E-2</v>
      </c>
      <c r="M359" s="8">
        <v>-0.14186000000000001</v>
      </c>
      <c r="N359" s="8">
        <v>-0.2747</v>
      </c>
      <c r="O359" s="8">
        <v>2.4063000000000001E-2</v>
      </c>
      <c r="P359" s="8">
        <v>3.5987999999999999E-2</v>
      </c>
      <c r="Q359" s="8">
        <v>-4.6745000000000002E-2</v>
      </c>
      <c r="R359" s="8">
        <v>-3.9627999999999998E-3</v>
      </c>
      <c r="S359" s="8">
        <v>2.4173E-2</v>
      </c>
      <c r="T359" s="8">
        <v>-4.4304000000000001E-3</v>
      </c>
      <c r="U359" s="8">
        <v>5.0818E-3</v>
      </c>
      <c r="V359" s="8">
        <v>1.6451E-2</v>
      </c>
      <c r="W359" s="8">
        <v>1.0052E-2</v>
      </c>
      <c r="X359" s="8">
        <v>5.4149999999999999E-4</v>
      </c>
      <c r="Y359" s="8">
        <v>3.8814000000000001E-3</v>
      </c>
    </row>
    <row r="360" spans="1:25" x14ac:dyDescent="0.25">
      <c r="A360" s="30" t="s">
        <v>197</v>
      </c>
      <c r="B360" s="12">
        <v>-2.0327999999999999</v>
      </c>
      <c r="C360" s="12">
        <v>0.19211</v>
      </c>
      <c r="D360" s="8">
        <v>-1.0059</v>
      </c>
      <c r="E360" s="8">
        <v>0.45461000000000001</v>
      </c>
      <c r="F360" s="8">
        <v>0.47149000000000002</v>
      </c>
      <c r="G360" s="8">
        <v>-4.8876999999999997E-2</v>
      </c>
      <c r="H360" s="8">
        <v>-0.11491999999999999</v>
      </c>
      <c r="I360" s="8">
        <v>-0.36481999999999998</v>
      </c>
      <c r="J360" s="8">
        <v>0.31663000000000002</v>
      </c>
      <c r="K360" s="8">
        <v>-0.14574999999999999</v>
      </c>
      <c r="L360" s="8">
        <v>-0.16782</v>
      </c>
      <c r="M360" s="8">
        <v>4.2634999999999999E-2</v>
      </c>
      <c r="N360" s="8">
        <v>-8.3612000000000006E-2</v>
      </c>
      <c r="O360" s="8">
        <v>3.8634000000000002E-2</v>
      </c>
      <c r="P360" s="8">
        <v>-0.10864</v>
      </c>
      <c r="Q360" s="8">
        <v>-3.6244999999999999E-2</v>
      </c>
      <c r="R360" s="8">
        <v>3.7429999999999998E-2</v>
      </c>
      <c r="S360" s="8">
        <v>4.1114999999999999E-2</v>
      </c>
      <c r="T360" s="8">
        <v>3.9773999999999997E-2</v>
      </c>
      <c r="U360" s="8">
        <v>-2.0503E-2</v>
      </c>
      <c r="V360" s="8">
        <v>5.1187999999999997E-3</v>
      </c>
      <c r="W360" s="8">
        <v>-7.4888999999999997E-3</v>
      </c>
      <c r="X360" s="8">
        <v>-7.1799000000000003E-3</v>
      </c>
      <c r="Y360" s="8">
        <v>-1.8560000000000001E-4</v>
      </c>
    </row>
    <row r="361" spans="1:25" x14ac:dyDescent="0.25">
      <c r="A361" s="30" t="s">
        <v>198</v>
      </c>
      <c r="B361" s="12">
        <v>-2.0024000000000002</v>
      </c>
      <c r="C361" s="12">
        <v>0.10854</v>
      </c>
      <c r="D361" s="8">
        <v>-0.97306000000000004</v>
      </c>
      <c r="E361" s="8">
        <v>0.36595</v>
      </c>
      <c r="F361" s="8">
        <v>0.69659000000000004</v>
      </c>
      <c r="G361" s="8">
        <v>-0.36598000000000003</v>
      </c>
      <c r="H361" s="8">
        <v>0.12537000000000001</v>
      </c>
      <c r="I361" s="8">
        <v>-0.16075</v>
      </c>
      <c r="J361" s="8">
        <v>0.21213000000000001</v>
      </c>
      <c r="K361" s="8">
        <v>-9.0910000000000005E-2</v>
      </c>
      <c r="L361" s="8">
        <v>-8.7842000000000003E-2</v>
      </c>
      <c r="M361" s="8">
        <v>-8.8477E-2</v>
      </c>
      <c r="N361" s="8">
        <v>-0.24390000000000001</v>
      </c>
      <c r="O361" s="8">
        <v>-8.3394000000000003E-3</v>
      </c>
      <c r="P361" s="8">
        <v>-3.3182999999999997E-2</v>
      </c>
      <c r="Q361" s="8">
        <v>-1.9526000000000002E-2</v>
      </c>
      <c r="R361" s="8">
        <v>-2.8872999999999999E-2</v>
      </c>
      <c r="S361" s="8">
        <v>1.5928000000000001E-2</v>
      </c>
      <c r="T361" s="8">
        <v>3.1621999999999997E-2</v>
      </c>
      <c r="U361" s="8">
        <v>2.6443999999999999E-2</v>
      </c>
      <c r="V361" s="8">
        <v>2.0414999999999999E-2</v>
      </c>
      <c r="W361" s="8">
        <v>1.0867E-2</v>
      </c>
      <c r="X361" s="8">
        <v>-2.8793999999999998E-3</v>
      </c>
      <c r="Y361" s="8">
        <v>1.4726999999999999E-4</v>
      </c>
    </row>
    <row r="362" spans="1:25" x14ac:dyDescent="0.25">
      <c r="A362" s="30" t="s">
        <v>199</v>
      </c>
      <c r="B362" s="12">
        <v>-2.0379</v>
      </c>
      <c r="C362" s="12">
        <v>0.19161</v>
      </c>
      <c r="D362" s="8">
        <v>-1.0183</v>
      </c>
      <c r="E362" s="8">
        <v>0.47075</v>
      </c>
      <c r="F362" s="8">
        <v>0.42892000000000002</v>
      </c>
      <c r="G362" s="8">
        <v>-4.2204999999999999E-2</v>
      </c>
      <c r="H362" s="8">
        <v>-0.10274</v>
      </c>
      <c r="I362" s="8">
        <v>-0.33995999999999998</v>
      </c>
      <c r="J362" s="8">
        <v>0.28914000000000001</v>
      </c>
      <c r="K362" s="8">
        <v>-0.14168</v>
      </c>
      <c r="L362" s="8">
        <v>-9.9964999999999998E-2</v>
      </c>
      <c r="M362" s="8">
        <v>-0.11123</v>
      </c>
      <c r="N362" s="8">
        <v>5.4059000000000003E-2</v>
      </c>
      <c r="O362" s="8">
        <v>-7.0945999999999995E-2</v>
      </c>
      <c r="P362" s="8">
        <v>6.2691999999999998E-2</v>
      </c>
      <c r="Q362" s="8">
        <v>-0.13575999999999999</v>
      </c>
      <c r="R362" s="8">
        <v>-3.0230000000000001E-3</v>
      </c>
      <c r="S362" s="8">
        <v>3.1563000000000001E-2</v>
      </c>
      <c r="T362" s="8">
        <v>6.7965999999999999E-3</v>
      </c>
      <c r="U362" s="8">
        <v>1.7609E-2</v>
      </c>
      <c r="V362" s="8">
        <v>-8.8527999999999992E-3</v>
      </c>
      <c r="W362" s="8">
        <v>4.4611E-3</v>
      </c>
      <c r="X362" s="8">
        <v>-2.3443000000000001E-3</v>
      </c>
      <c r="Y362" s="8">
        <v>-2.1691000000000002E-3</v>
      </c>
    </row>
    <row r="363" spans="1:25" x14ac:dyDescent="0.25">
      <c r="A363" s="30" t="s">
        <v>200</v>
      </c>
      <c r="B363" s="12">
        <v>-2.0870000000000002</v>
      </c>
      <c r="C363" s="12">
        <v>0.12225999999999999</v>
      </c>
      <c r="D363" s="8">
        <v>-1.0271999999999999</v>
      </c>
      <c r="E363" s="8">
        <v>0.57962999999999998</v>
      </c>
      <c r="F363" s="8">
        <v>0.2402</v>
      </c>
      <c r="G363" s="8">
        <v>-0.67723999999999995</v>
      </c>
      <c r="H363" s="8">
        <v>-6.9514000000000006E-2</v>
      </c>
      <c r="I363" s="8">
        <v>0.15371000000000001</v>
      </c>
      <c r="J363" s="8">
        <v>0.24529999999999999</v>
      </c>
      <c r="K363" s="8">
        <v>0.14937</v>
      </c>
      <c r="L363" s="8">
        <v>-0.12911</v>
      </c>
      <c r="M363" s="8">
        <v>0.12411999999999999</v>
      </c>
      <c r="N363" s="8">
        <v>2.8591999999999999E-2</v>
      </c>
      <c r="O363" s="8">
        <v>-2.7733000000000001E-2</v>
      </c>
      <c r="P363" s="8">
        <v>-0.12936</v>
      </c>
      <c r="Q363" s="8">
        <v>-2.1746999999999999E-2</v>
      </c>
      <c r="R363" s="8">
        <v>1.8605E-2</v>
      </c>
      <c r="S363" s="8">
        <v>-3.8473000000000001E-3</v>
      </c>
      <c r="T363" s="8">
        <v>-2.2832000000000002E-2</v>
      </c>
      <c r="U363" s="8">
        <v>6.7077999999999999E-3</v>
      </c>
      <c r="V363" s="8">
        <v>7.2236000000000002E-3</v>
      </c>
      <c r="W363" s="8">
        <v>9.6921999999999998E-3</v>
      </c>
      <c r="X363" s="8">
        <v>-8.9352000000000008E-3</v>
      </c>
      <c r="Y363" s="8">
        <v>-5.7949999999999998E-3</v>
      </c>
    </row>
    <row r="364" spans="1:25" x14ac:dyDescent="0.25">
      <c r="A364" s="30" t="s">
        <v>201</v>
      </c>
      <c r="B364" s="12">
        <v>-2.0541</v>
      </c>
      <c r="C364" s="12">
        <v>0.16349</v>
      </c>
      <c r="D364" s="8">
        <v>-1.0173000000000001</v>
      </c>
      <c r="E364" s="8">
        <v>0.52058000000000004</v>
      </c>
      <c r="F364" s="8">
        <v>0.38434000000000001</v>
      </c>
      <c r="G364" s="8">
        <v>-0.34822999999999998</v>
      </c>
      <c r="H364" s="8">
        <v>-7.5651999999999997E-2</v>
      </c>
      <c r="I364" s="8">
        <v>-6.1655000000000001E-2</v>
      </c>
      <c r="J364" s="8">
        <v>0.28023999999999999</v>
      </c>
      <c r="K364" s="8">
        <v>1.4726E-2</v>
      </c>
      <c r="L364" s="8">
        <v>-0.1696</v>
      </c>
      <c r="M364" s="8">
        <v>0.10244</v>
      </c>
      <c r="N364" s="8">
        <v>6.3338000000000005E-2</v>
      </c>
      <c r="O364" s="8">
        <v>3.3790000000000001E-2</v>
      </c>
      <c r="P364" s="8">
        <v>-0.10976</v>
      </c>
      <c r="Q364" s="8">
        <v>-1.9279999999999999E-2</v>
      </c>
      <c r="R364" s="8">
        <v>4.3534000000000003E-2</v>
      </c>
      <c r="S364" s="8">
        <v>-1.6583000000000001E-2</v>
      </c>
      <c r="T364" s="8">
        <v>2.0419E-2</v>
      </c>
      <c r="U364" s="8">
        <v>1.5661999999999999E-2</v>
      </c>
      <c r="V364" s="8">
        <v>1.3774E-2</v>
      </c>
      <c r="W364" s="8">
        <v>-8.7186999999999994E-3</v>
      </c>
      <c r="X364" s="8">
        <v>-6.6825000000000001E-3</v>
      </c>
      <c r="Y364" s="8">
        <v>-1.4614999999999999E-3</v>
      </c>
    </row>
    <row r="365" spans="1:25" x14ac:dyDescent="0.25">
      <c r="A365" s="30" t="s">
        <v>202</v>
      </c>
      <c r="B365" s="12">
        <v>-2.1057000000000001</v>
      </c>
      <c r="C365" s="12">
        <v>0.18432000000000001</v>
      </c>
      <c r="D365" s="8">
        <v>-1.0426</v>
      </c>
      <c r="E365" s="8">
        <v>0.60109999999999997</v>
      </c>
      <c r="F365" s="8">
        <v>9.0163999999999994E-2</v>
      </c>
      <c r="G365" s="8">
        <v>-0.3095</v>
      </c>
      <c r="H365" s="8">
        <v>-0.31297000000000003</v>
      </c>
      <c r="I365" s="8">
        <v>-0.2525</v>
      </c>
      <c r="J365" s="8">
        <v>0.33782000000000001</v>
      </c>
      <c r="K365" s="8">
        <v>-9.6670999999999997E-3</v>
      </c>
      <c r="L365" s="8">
        <v>-0.11584</v>
      </c>
      <c r="M365" s="8">
        <v>1.6500999999999998E-2</v>
      </c>
      <c r="N365" s="8">
        <v>-0.11187999999999999</v>
      </c>
      <c r="O365" s="8">
        <v>3.9314000000000002E-2</v>
      </c>
      <c r="P365" s="8">
        <v>-0.17291999999999999</v>
      </c>
      <c r="Q365" s="8">
        <v>1.9748999999999999E-2</v>
      </c>
      <c r="R365" s="8">
        <v>9.2198000000000002E-2</v>
      </c>
      <c r="S365" s="8">
        <v>-4.2109000000000001E-2</v>
      </c>
      <c r="T365" s="8">
        <v>-1.4481000000000001E-2</v>
      </c>
      <c r="U365" s="8">
        <v>2.2301000000000001E-2</v>
      </c>
      <c r="V365" s="8">
        <v>1.2141000000000001E-2</v>
      </c>
      <c r="W365" s="8">
        <v>5.6375000000000001E-3</v>
      </c>
      <c r="X365" s="8">
        <v>-4.1342999999999996E-3</v>
      </c>
      <c r="Y365" s="8">
        <v>-4.6925999999999999E-3</v>
      </c>
    </row>
    <row r="366" spans="1:25" x14ac:dyDescent="0.25">
      <c r="A366" s="30" t="s">
        <v>203</v>
      </c>
      <c r="B366" s="12">
        <v>3.7239</v>
      </c>
      <c r="C366" s="12">
        <v>0.11221</v>
      </c>
      <c r="D366" s="8">
        <v>0.60682999999999998</v>
      </c>
      <c r="E366" s="8">
        <v>1.0810999999999999</v>
      </c>
      <c r="F366" s="8">
        <v>0.73002</v>
      </c>
      <c r="G366" s="8">
        <v>0.27376</v>
      </c>
      <c r="H366" s="8">
        <v>0.65529999999999999</v>
      </c>
      <c r="I366" s="8">
        <v>-0.14288999999999999</v>
      </c>
      <c r="J366" s="8">
        <v>-0.14693999999999999</v>
      </c>
      <c r="K366" s="8">
        <v>8.2857E-3</v>
      </c>
      <c r="L366" s="8">
        <v>-0.16488</v>
      </c>
      <c r="M366" s="8">
        <v>-3.4178E-2</v>
      </c>
      <c r="N366" s="8">
        <v>0.11155</v>
      </c>
      <c r="O366" s="8">
        <v>7.2871000000000003E-3</v>
      </c>
      <c r="P366" s="8">
        <v>-8.2004999999999995E-2</v>
      </c>
      <c r="Q366" s="8">
        <v>-2.7307999999999999E-2</v>
      </c>
      <c r="R366" s="8">
        <v>-2.6047000000000001E-2</v>
      </c>
      <c r="S366" s="8">
        <v>-2.0563999999999999E-2</v>
      </c>
      <c r="T366" s="8">
        <v>-7.7862000000000001E-3</v>
      </c>
      <c r="U366" s="8">
        <v>3.8530000000000001E-3</v>
      </c>
      <c r="V366" s="8">
        <v>6.4035000000000003E-3</v>
      </c>
      <c r="W366" s="8">
        <v>2.4006000000000001E-3</v>
      </c>
      <c r="X366" s="8">
        <v>-2.0354000000000001E-3</v>
      </c>
      <c r="Y366" s="8">
        <v>4.4843000000000001E-3</v>
      </c>
    </row>
    <row r="367" spans="1:25" x14ac:dyDescent="0.25">
      <c r="A367" s="30" t="s">
        <v>204</v>
      </c>
      <c r="B367" s="12">
        <v>3.6850999999999998</v>
      </c>
      <c r="C367" s="12">
        <v>0.17796999999999999</v>
      </c>
      <c r="D367" s="8">
        <v>0.55013000000000001</v>
      </c>
      <c r="E367" s="8">
        <v>1.2394000000000001</v>
      </c>
      <c r="F367" s="8">
        <v>0.50361999999999996</v>
      </c>
      <c r="G367" s="8">
        <v>0.36287999999999998</v>
      </c>
      <c r="H367" s="8">
        <v>0.46942</v>
      </c>
      <c r="I367" s="8">
        <v>3.7930999999999999E-2</v>
      </c>
      <c r="J367" s="8">
        <v>1.2978E-2</v>
      </c>
      <c r="K367" s="8">
        <v>0.15598999999999999</v>
      </c>
      <c r="L367" s="8">
        <v>-0.12264</v>
      </c>
      <c r="M367" s="8">
        <v>-1.2982E-2</v>
      </c>
      <c r="N367" s="8">
        <v>6.8357000000000001E-2</v>
      </c>
      <c r="O367" s="8">
        <v>0.12905</v>
      </c>
      <c r="P367" s="8">
        <v>-5.6351999999999999E-2</v>
      </c>
      <c r="Q367" s="8">
        <v>1.0021E-2</v>
      </c>
      <c r="R367" s="8">
        <v>3.3773999999999998E-2</v>
      </c>
      <c r="S367" s="8">
        <v>-1.197E-2</v>
      </c>
      <c r="T367" s="8">
        <v>-9.5376E-4</v>
      </c>
      <c r="U367" s="8">
        <v>-2.3259999999999999E-3</v>
      </c>
      <c r="V367" s="8">
        <v>-2.5804000000000002E-4</v>
      </c>
      <c r="W367" s="8">
        <v>-2.2082E-3</v>
      </c>
      <c r="X367" s="8">
        <v>-1.4988E-3</v>
      </c>
      <c r="Y367" s="8">
        <v>5.3711999999999996E-3</v>
      </c>
    </row>
    <row r="368" spans="1:25" x14ac:dyDescent="0.25">
      <c r="A368" s="30" t="s">
        <v>205</v>
      </c>
      <c r="B368" s="12">
        <v>3.7336</v>
      </c>
      <c r="C368" s="12">
        <v>0.19266</v>
      </c>
      <c r="D368" s="8">
        <v>0.54756000000000005</v>
      </c>
      <c r="E368" s="8">
        <v>1.1773</v>
      </c>
      <c r="F368" s="8">
        <v>0.74582000000000004</v>
      </c>
      <c r="G368" s="8">
        <v>0.54540999999999995</v>
      </c>
      <c r="H368" s="8">
        <v>0.64366999999999996</v>
      </c>
      <c r="I368" s="8">
        <v>0.12922</v>
      </c>
      <c r="J368" s="8">
        <v>-3.2312999999999999E-3</v>
      </c>
      <c r="K368" s="8">
        <v>0.11008999999999999</v>
      </c>
      <c r="L368" s="8">
        <v>-6.0354999999999999E-2</v>
      </c>
      <c r="M368" s="8">
        <v>-0.20268</v>
      </c>
      <c r="N368" s="8">
        <v>0.10811999999999999</v>
      </c>
      <c r="O368" s="8">
        <v>-3.1264E-2</v>
      </c>
      <c r="P368" s="8">
        <v>0.17455000000000001</v>
      </c>
      <c r="Q368" s="8">
        <v>5.4135000000000003E-2</v>
      </c>
      <c r="R368" s="8">
        <v>1.7260000000000001E-2</v>
      </c>
      <c r="S368" s="8">
        <v>-3.1351999999999999E-3</v>
      </c>
      <c r="T368" s="8">
        <v>7.3762000000000003E-3</v>
      </c>
      <c r="U368" s="8">
        <v>-8.7349000000000003E-3</v>
      </c>
      <c r="V368" s="8">
        <v>2.9016E-2</v>
      </c>
      <c r="W368" s="8">
        <v>2.9033000000000002E-3</v>
      </c>
      <c r="X368" s="8">
        <v>-1.0663999999999999E-3</v>
      </c>
      <c r="Y368" s="8">
        <v>2.0523E-3</v>
      </c>
    </row>
    <row r="369" spans="1:25" x14ac:dyDescent="0.25">
      <c r="A369" s="30" t="s">
        <v>206</v>
      </c>
      <c r="B369" s="12">
        <v>3.7315</v>
      </c>
      <c r="C369" s="12">
        <v>0.11891</v>
      </c>
      <c r="D369" s="8">
        <v>0.59931999999999996</v>
      </c>
      <c r="E369" s="8">
        <v>1.0895999999999999</v>
      </c>
      <c r="F369" s="8">
        <v>0.77695000000000003</v>
      </c>
      <c r="G369" s="8">
        <v>0.30768000000000001</v>
      </c>
      <c r="H369" s="8">
        <v>0.66764999999999997</v>
      </c>
      <c r="I369" s="8">
        <v>-7.9620999999999997E-2</v>
      </c>
      <c r="J369" s="8">
        <v>-0.11595999999999999</v>
      </c>
      <c r="K369" s="8">
        <v>2.2823E-2</v>
      </c>
      <c r="L369" s="8">
        <v>-0.10865</v>
      </c>
      <c r="M369" s="8">
        <v>-0.16738</v>
      </c>
      <c r="N369" s="8">
        <v>6.4559000000000005E-2</v>
      </c>
      <c r="O369" s="8">
        <v>7.9461000000000004E-2</v>
      </c>
      <c r="P369" s="8">
        <v>7.5231999999999993E-2</v>
      </c>
      <c r="Q369" s="8">
        <v>-1.3596999999999999E-3</v>
      </c>
      <c r="R369" s="8">
        <v>1.2924E-2</v>
      </c>
      <c r="S369" s="8">
        <v>-1.6211E-2</v>
      </c>
      <c r="T369" s="8">
        <v>-1.8473E-2</v>
      </c>
      <c r="U369" s="8">
        <v>-8.2804999999999997E-3</v>
      </c>
      <c r="V369" s="8">
        <v>3.8406999999999998E-3</v>
      </c>
      <c r="W369" s="8">
        <v>6.0305000000000003E-3</v>
      </c>
      <c r="X369" s="8">
        <v>2.1992999999999999E-4</v>
      </c>
      <c r="Y369" s="8">
        <v>-2.3319999999999999E-3</v>
      </c>
    </row>
    <row r="370" spans="1:25" x14ac:dyDescent="0.25">
      <c r="A370" s="30" t="s">
        <v>207</v>
      </c>
      <c r="B370" s="12">
        <v>3.5341</v>
      </c>
      <c r="C370" s="12">
        <v>0.11724999999999999</v>
      </c>
      <c r="D370" s="8">
        <v>0.53363000000000005</v>
      </c>
      <c r="E370" s="8">
        <v>1.3817999999999999</v>
      </c>
      <c r="F370" s="8">
        <v>-0.30337999999999998</v>
      </c>
      <c r="G370" s="8">
        <v>-8.1811999999999996E-2</v>
      </c>
      <c r="H370" s="8">
        <v>2.9034999999999998E-2</v>
      </c>
      <c r="I370" s="8">
        <v>-0.38836999999999999</v>
      </c>
      <c r="J370" s="8">
        <v>-8.4989999999999996E-2</v>
      </c>
      <c r="K370" s="8">
        <v>8.9245000000000005E-2</v>
      </c>
      <c r="L370" s="8">
        <v>-9.4539999999999999E-2</v>
      </c>
      <c r="M370" s="8">
        <v>-3.5246E-2</v>
      </c>
      <c r="N370" s="8">
        <v>1.0378999999999999E-2</v>
      </c>
      <c r="O370" s="8">
        <v>-8.9332999999999996E-2</v>
      </c>
      <c r="P370" s="8">
        <v>-1.9415999999999999E-2</v>
      </c>
      <c r="Q370" s="8">
        <v>-5.0097000000000003E-2</v>
      </c>
      <c r="R370" s="8">
        <v>5.3606000000000001E-2</v>
      </c>
      <c r="S370" s="8">
        <v>-7.2002999999999998E-3</v>
      </c>
      <c r="T370" s="8">
        <v>6.9865999999999999E-3</v>
      </c>
      <c r="U370" s="8">
        <v>6.1636999999999998E-4</v>
      </c>
      <c r="V370" s="8">
        <v>1.4461999999999999E-3</v>
      </c>
      <c r="W370" s="8">
        <v>5.9630999999999998E-3</v>
      </c>
      <c r="X370" s="8">
        <v>-3.1874999999999998E-3</v>
      </c>
      <c r="Y370" s="8">
        <v>-1.1356000000000001E-3</v>
      </c>
    </row>
    <row r="371" spans="1:25" x14ac:dyDescent="0.25">
      <c r="A371" s="30" t="s">
        <v>208</v>
      </c>
      <c r="B371" s="12">
        <v>3.5880000000000001</v>
      </c>
      <c r="C371" s="12">
        <v>0.11543</v>
      </c>
      <c r="D371" s="8">
        <v>0.55523</v>
      </c>
      <c r="E371" s="8">
        <v>1.3025</v>
      </c>
      <c r="F371" s="8">
        <v>4.0698000000000002E-3</v>
      </c>
      <c r="G371" s="8">
        <v>7.4038000000000003E-3</v>
      </c>
      <c r="H371" s="8">
        <v>0.18831000000000001</v>
      </c>
      <c r="I371" s="8">
        <v>-0.30230000000000001</v>
      </c>
      <c r="J371" s="8">
        <v>-7.3721999999999996E-2</v>
      </c>
      <c r="K371" s="8">
        <v>7.9693E-2</v>
      </c>
      <c r="L371" s="8">
        <v>-0.1069</v>
      </c>
      <c r="M371" s="8">
        <v>-5.8470000000000001E-2</v>
      </c>
      <c r="N371" s="8">
        <v>-5.6089E-2</v>
      </c>
      <c r="O371" s="8">
        <v>5.2329000000000001E-2</v>
      </c>
      <c r="P371" s="8">
        <v>-1.5395000000000001E-2</v>
      </c>
      <c r="Q371" s="8">
        <v>-6.3431999999999996E-4</v>
      </c>
      <c r="R371" s="8">
        <v>6.6111999999999996E-4</v>
      </c>
      <c r="S371" s="8">
        <v>-1.3214E-2</v>
      </c>
      <c r="T371" s="8">
        <v>-1.9575E-3</v>
      </c>
      <c r="U371" s="8">
        <v>1.1719E-2</v>
      </c>
      <c r="V371" s="8">
        <v>-5.9743000000000001E-3</v>
      </c>
      <c r="W371" s="8">
        <v>-1.1806E-3</v>
      </c>
      <c r="X371" s="8">
        <v>4.2186000000000003E-3</v>
      </c>
      <c r="Y371" s="8">
        <v>-3.6099000000000001E-3</v>
      </c>
    </row>
    <row r="372" spans="1:25" x14ac:dyDescent="0.25">
      <c r="A372" s="30" t="s">
        <v>209</v>
      </c>
      <c r="B372" s="12">
        <v>3.5322</v>
      </c>
      <c r="C372" s="12">
        <v>2.3085999999999999E-2</v>
      </c>
      <c r="D372" s="8">
        <v>0.60340000000000005</v>
      </c>
      <c r="E372" s="8">
        <v>1.264</v>
      </c>
      <c r="F372" s="8">
        <v>-0.25622</v>
      </c>
      <c r="G372" s="8">
        <v>-0.41471000000000002</v>
      </c>
      <c r="H372" s="8">
        <v>0.10211000000000001</v>
      </c>
      <c r="I372" s="8">
        <v>-0.59857000000000005</v>
      </c>
      <c r="J372" s="8">
        <v>-0.25224000000000002</v>
      </c>
      <c r="K372" s="8">
        <v>-6.1848E-2</v>
      </c>
      <c r="L372" s="8">
        <v>-0.25463000000000002</v>
      </c>
      <c r="M372" s="8">
        <v>0.16095999999999999</v>
      </c>
      <c r="N372" s="8">
        <v>2.8487999999999999E-2</v>
      </c>
      <c r="O372" s="8">
        <v>-4.7886999999999999E-2</v>
      </c>
      <c r="P372" s="8">
        <v>9.2344999999999997E-2</v>
      </c>
      <c r="Q372" s="8">
        <v>-2.9776E-3</v>
      </c>
      <c r="R372" s="8">
        <v>-2.7584000000000001E-2</v>
      </c>
      <c r="S372" s="8">
        <v>3.7383E-2</v>
      </c>
      <c r="T372" s="8">
        <v>-1.3443E-2</v>
      </c>
      <c r="U372" s="8">
        <v>-1.3712E-2</v>
      </c>
      <c r="V372" s="8">
        <v>1.6494000000000002E-2</v>
      </c>
      <c r="W372" s="8">
        <v>-3.8682999999999999E-3</v>
      </c>
      <c r="X372" s="8">
        <v>-2.4280999999999999E-3</v>
      </c>
      <c r="Y372" s="8">
        <v>2.2295000000000001E-3</v>
      </c>
    </row>
    <row r="373" spans="1:25" x14ac:dyDescent="0.25">
      <c r="A373" s="30" t="s">
        <v>210</v>
      </c>
      <c r="B373" s="12">
        <v>3.5436000000000001</v>
      </c>
      <c r="C373" s="12">
        <v>9.8071000000000005E-2</v>
      </c>
      <c r="D373" s="8">
        <v>0.54276000000000002</v>
      </c>
      <c r="E373" s="8">
        <v>1.3658999999999999</v>
      </c>
      <c r="F373" s="8">
        <v>-0.22903999999999999</v>
      </c>
      <c r="G373" s="8">
        <v>-0.18121999999999999</v>
      </c>
      <c r="H373" s="8">
        <v>9.2039999999999997E-2</v>
      </c>
      <c r="I373" s="8">
        <v>-0.28892000000000001</v>
      </c>
      <c r="J373" s="8">
        <v>-9.8415000000000002E-2</v>
      </c>
      <c r="K373" s="8">
        <v>0.12964000000000001</v>
      </c>
      <c r="L373" s="8">
        <v>-0.10363</v>
      </c>
      <c r="M373" s="8">
        <v>-1.4392E-2</v>
      </c>
      <c r="N373" s="8">
        <v>-4.8855000000000003E-2</v>
      </c>
      <c r="O373" s="8">
        <v>-3.5769000000000002E-2</v>
      </c>
      <c r="P373" s="8">
        <v>-7.1153999999999995E-2</v>
      </c>
      <c r="Q373" s="8">
        <v>7.0327999999999996E-3</v>
      </c>
      <c r="R373" s="8">
        <v>-8.5699999999999995E-3</v>
      </c>
      <c r="S373" s="8">
        <v>-1.8214000000000001E-2</v>
      </c>
      <c r="T373" s="8">
        <v>1.3721E-3</v>
      </c>
      <c r="U373" s="8">
        <v>1.2005E-2</v>
      </c>
      <c r="V373" s="8">
        <v>-3.4145E-3</v>
      </c>
      <c r="W373" s="8">
        <v>5.9087999999999996E-3</v>
      </c>
      <c r="X373" s="8">
        <v>3.0208000000000001E-3</v>
      </c>
      <c r="Y373" s="8">
        <v>-3.6273E-3</v>
      </c>
    </row>
    <row r="374" spans="1:25" x14ac:dyDescent="0.25">
      <c r="A374" s="30" t="s">
        <v>211</v>
      </c>
      <c r="B374" s="12">
        <v>3.5573000000000001</v>
      </c>
      <c r="C374" s="12">
        <v>7.5511999999999996E-2</v>
      </c>
      <c r="D374" s="8">
        <v>0.57032000000000005</v>
      </c>
      <c r="E374" s="8">
        <v>1.2879</v>
      </c>
      <c r="F374" s="8">
        <v>-0.15937000000000001</v>
      </c>
      <c r="G374" s="8">
        <v>-0.16313</v>
      </c>
      <c r="H374" s="8">
        <v>0.13225999999999999</v>
      </c>
      <c r="I374" s="8">
        <v>-0.48522999999999999</v>
      </c>
      <c r="J374" s="8">
        <v>-0.19159000000000001</v>
      </c>
      <c r="K374" s="8">
        <v>-7.7035000000000003E-3</v>
      </c>
      <c r="L374" s="8">
        <v>-0.15079999999999999</v>
      </c>
      <c r="M374" s="8">
        <v>-7.6920000000000002E-2</v>
      </c>
      <c r="N374" s="8">
        <v>5.6397000000000001E-3</v>
      </c>
      <c r="O374" s="8">
        <v>-0.11305999999999999</v>
      </c>
      <c r="P374" s="8">
        <v>-9.1685000000000003E-2</v>
      </c>
      <c r="Q374" s="8">
        <v>0.1191</v>
      </c>
      <c r="R374" s="8">
        <v>-3.5217999999999999E-2</v>
      </c>
      <c r="S374" s="8">
        <v>1.4246E-2</v>
      </c>
      <c r="T374" s="8">
        <v>5.7165000000000004E-4</v>
      </c>
      <c r="U374" s="8">
        <v>7.0625000000000002E-3</v>
      </c>
      <c r="V374" s="8">
        <v>-5.9132999999999998E-3</v>
      </c>
      <c r="W374" s="8">
        <v>-2.6375999999999999E-3</v>
      </c>
      <c r="X374" s="8">
        <v>6.9563000000000003E-3</v>
      </c>
      <c r="Y374" s="8">
        <v>1.0757E-3</v>
      </c>
    </row>
    <row r="375" spans="1:25" x14ac:dyDescent="0.25">
      <c r="A375" s="30" t="s">
        <v>212</v>
      </c>
      <c r="B375" s="12">
        <v>3.5911</v>
      </c>
      <c r="C375" s="12">
        <v>5.8520000000000003E-2</v>
      </c>
      <c r="D375" s="8">
        <v>0.57999000000000001</v>
      </c>
      <c r="E375" s="8">
        <v>1.2479</v>
      </c>
      <c r="F375" s="8">
        <v>4.9612000000000003E-2</v>
      </c>
      <c r="G375" s="8">
        <v>-0.21734000000000001</v>
      </c>
      <c r="H375" s="8">
        <v>0.29593999999999998</v>
      </c>
      <c r="I375" s="8">
        <v>-0.27689999999999998</v>
      </c>
      <c r="J375" s="8">
        <v>-0.16485</v>
      </c>
      <c r="K375" s="8">
        <v>7.4214000000000002E-2</v>
      </c>
      <c r="L375" s="8">
        <v>-9.9696999999999994E-2</v>
      </c>
      <c r="M375" s="8">
        <v>-2.3456000000000001E-2</v>
      </c>
      <c r="N375" s="8">
        <v>-0.1067</v>
      </c>
      <c r="O375" s="8">
        <v>-7.6647000000000007E-2</v>
      </c>
      <c r="P375" s="8">
        <v>-8.8725999999999996E-3</v>
      </c>
      <c r="Q375" s="8">
        <v>-4.3201000000000003E-2</v>
      </c>
      <c r="R375" s="8">
        <v>2.6297000000000001E-2</v>
      </c>
      <c r="S375" s="8">
        <v>-1.0246E-2</v>
      </c>
      <c r="T375" s="8">
        <v>1.6896000000000001E-3</v>
      </c>
      <c r="U375" s="8">
        <v>1.3613E-2</v>
      </c>
      <c r="V375" s="8">
        <v>-1.4156E-2</v>
      </c>
      <c r="W375" s="8">
        <v>-2.3630000000000001E-3</v>
      </c>
      <c r="X375" s="8">
        <v>1.2673999999999999E-3</v>
      </c>
      <c r="Y375" s="8">
        <v>7.9082999999999996E-4</v>
      </c>
    </row>
    <row r="376" spans="1:25" x14ac:dyDescent="0.25">
      <c r="A376" s="30" t="s">
        <v>213</v>
      </c>
      <c r="B376" s="12">
        <v>3.5665</v>
      </c>
      <c r="C376" s="12">
        <v>0.13669999999999999</v>
      </c>
      <c r="D376" s="8">
        <v>0.54135999999999995</v>
      </c>
      <c r="E376" s="8">
        <v>1.3439000000000001</v>
      </c>
      <c r="F376" s="8">
        <v>-0.13272999999999999</v>
      </c>
      <c r="G376" s="8">
        <v>5.3143999999999997E-2</v>
      </c>
      <c r="H376" s="8">
        <v>0.10646</v>
      </c>
      <c r="I376" s="8">
        <v>-0.34784999999999999</v>
      </c>
      <c r="J376" s="8">
        <v>-4.8988999999999998E-2</v>
      </c>
      <c r="K376" s="8">
        <v>7.5641E-2</v>
      </c>
      <c r="L376" s="8">
        <v>-0.14135</v>
      </c>
      <c r="M376" s="8">
        <v>6.7667000000000005E-2</v>
      </c>
      <c r="N376" s="8">
        <v>-7.4327999999999998E-3</v>
      </c>
      <c r="O376" s="8">
        <v>-3.6500999999999999E-2</v>
      </c>
      <c r="P376" s="8">
        <v>-1.7084999999999999E-2</v>
      </c>
      <c r="Q376" s="8">
        <v>-5.2648E-2</v>
      </c>
      <c r="R376" s="8">
        <v>2.0282999999999999E-2</v>
      </c>
      <c r="S376" s="8">
        <v>-1.2501999999999999E-2</v>
      </c>
      <c r="T376" s="8">
        <v>1.5426999999999999E-3</v>
      </c>
      <c r="U376" s="8">
        <v>1.8800000000000001E-2</v>
      </c>
      <c r="V376" s="8">
        <v>1.1018999999999999E-2</v>
      </c>
      <c r="W376" s="8">
        <v>3.4209000000000002E-3</v>
      </c>
      <c r="X376" s="8">
        <v>5.3740000000000005E-4</v>
      </c>
      <c r="Y376" s="8">
        <v>2.1275999999999999E-3</v>
      </c>
    </row>
    <row r="377" spans="1:25" x14ac:dyDescent="0.25">
      <c r="A377" s="30" t="s">
        <v>214</v>
      </c>
      <c r="B377" s="12">
        <v>3.5741999999999998</v>
      </c>
      <c r="C377" s="12">
        <v>4.4853999999999998E-2</v>
      </c>
      <c r="D377" s="8">
        <v>0.60046999999999995</v>
      </c>
      <c r="E377" s="8">
        <v>1.2299</v>
      </c>
      <c r="F377" s="8">
        <v>-4.1522999999999997E-2</v>
      </c>
      <c r="G377" s="8">
        <v>-0.2319</v>
      </c>
      <c r="H377" s="8">
        <v>0.19907</v>
      </c>
      <c r="I377" s="8">
        <v>-0.5272</v>
      </c>
      <c r="J377" s="8">
        <v>-0.21264</v>
      </c>
      <c r="K377" s="8">
        <v>-4.2147999999999998E-2</v>
      </c>
      <c r="L377" s="8">
        <v>-0.17027999999999999</v>
      </c>
      <c r="M377" s="8">
        <v>-1.8589999999999999E-2</v>
      </c>
      <c r="N377" s="8">
        <v>2.6793999999999998E-2</v>
      </c>
      <c r="O377" s="8">
        <v>2.8459000000000002E-2</v>
      </c>
      <c r="P377" s="8">
        <v>9.2189999999999994E-2</v>
      </c>
      <c r="Q377" s="8">
        <v>-6.2593999999999997E-2</v>
      </c>
      <c r="R377" s="8">
        <v>2.8701999999999998E-3</v>
      </c>
      <c r="S377" s="8">
        <v>3.0964999999999999E-2</v>
      </c>
      <c r="T377" s="8">
        <v>-2.0063999999999999E-2</v>
      </c>
      <c r="U377" s="8">
        <v>2.0282999999999999E-2</v>
      </c>
      <c r="V377" s="8">
        <v>-2.251E-3</v>
      </c>
      <c r="W377" s="8">
        <v>-1.0537999999999999E-3</v>
      </c>
      <c r="X377" s="8">
        <v>-8.8876999999999999E-4</v>
      </c>
      <c r="Y377" s="8">
        <v>-4.0803000000000002E-3</v>
      </c>
    </row>
    <row r="378" spans="1:25" x14ac:dyDescent="0.25">
      <c r="A378" s="30" t="s">
        <v>215</v>
      </c>
      <c r="B378" s="12">
        <v>3.5057999999999998</v>
      </c>
      <c r="C378" s="12">
        <v>0.10648000000000001</v>
      </c>
      <c r="D378" s="8">
        <v>0.51431000000000004</v>
      </c>
      <c r="E378" s="8">
        <v>1.462</v>
      </c>
      <c r="F378" s="8">
        <v>-0.44101000000000001</v>
      </c>
      <c r="G378" s="8">
        <v>-0.25253999999999999</v>
      </c>
      <c r="H378" s="8">
        <v>-3.9372999999999998E-2</v>
      </c>
      <c r="I378" s="8">
        <v>-0.24629000000000001</v>
      </c>
      <c r="J378" s="8">
        <v>-8.7045999999999998E-2</v>
      </c>
      <c r="K378" s="8">
        <v>0.21168999999999999</v>
      </c>
      <c r="L378" s="8">
        <v>-2.7285E-2</v>
      </c>
      <c r="M378" s="8">
        <v>-0.20932000000000001</v>
      </c>
      <c r="N378" s="8">
        <v>0.11123</v>
      </c>
      <c r="O378" s="8">
        <v>4.6066999999999997E-2</v>
      </c>
      <c r="P378" s="8">
        <v>-4.7617E-2</v>
      </c>
      <c r="Q378" s="8">
        <v>-1.9705E-2</v>
      </c>
      <c r="R378" s="8">
        <v>-7.6959999999999997E-3</v>
      </c>
      <c r="S378" s="8">
        <v>1.9127000000000002E-2</v>
      </c>
      <c r="T378" s="8">
        <v>-8.1366000000000001E-4</v>
      </c>
      <c r="U378" s="8">
        <v>6.9467000000000001E-3</v>
      </c>
      <c r="V378" s="8">
        <v>-1.4731E-4</v>
      </c>
      <c r="W378" s="8">
        <v>-5.0851999999999998E-3</v>
      </c>
      <c r="X378" s="8">
        <v>-4.4162999999999997E-3</v>
      </c>
      <c r="Y378" s="8">
        <v>-1.3603000000000001E-3</v>
      </c>
    </row>
    <row r="379" spans="1:25" x14ac:dyDescent="0.25">
      <c r="A379" s="30" t="s">
        <v>216</v>
      </c>
      <c r="B379" s="12">
        <v>3.5323000000000002</v>
      </c>
      <c r="C379" s="12">
        <v>7.8148999999999996E-2</v>
      </c>
      <c r="D379" s="8">
        <v>0.56489999999999996</v>
      </c>
      <c r="E379" s="8">
        <v>1.3452999999999999</v>
      </c>
      <c r="F379" s="8">
        <v>-0.28836000000000001</v>
      </c>
      <c r="G379" s="8">
        <v>-0.24142</v>
      </c>
      <c r="H379" s="8">
        <v>3.9509000000000002E-2</v>
      </c>
      <c r="I379" s="8">
        <v>-0.46916999999999998</v>
      </c>
      <c r="J379" s="8">
        <v>-0.16300000000000001</v>
      </c>
      <c r="K379" s="8">
        <v>5.7911999999999998E-2</v>
      </c>
      <c r="L379" s="8">
        <v>-0.16986999999999999</v>
      </c>
      <c r="M379" s="8">
        <v>1.3885E-2</v>
      </c>
      <c r="N379" s="8">
        <v>0.17796999999999999</v>
      </c>
      <c r="O379" s="8">
        <v>5.8441E-2</v>
      </c>
      <c r="P379" s="8">
        <v>-3.5111000000000003E-2</v>
      </c>
      <c r="Q379" s="8">
        <v>-7.0389999999999994E-2</v>
      </c>
      <c r="R379" s="8">
        <v>3.092E-2</v>
      </c>
      <c r="S379" s="8">
        <v>9.4018000000000001E-3</v>
      </c>
      <c r="T379" s="8">
        <v>4.7058000000000003E-2</v>
      </c>
      <c r="U379" s="8">
        <v>9.7675999999999995E-3</v>
      </c>
      <c r="V379" s="8">
        <v>1.8301000000000001E-2</v>
      </c>
      <c r="W379" s="8">
        <v>7.9602000000000006E-3</v>
      </c>
      <c r="X379" s="8">
        <v>-6.7114000000000002E-3</v>
      </c>
      <c r="Y379" s="8">
        <v>3.8728E-3</v>
      </c>
    </row>
    <row r="380" spans="1:25" x14ac:dyDescent="0.25">
      <c r="A380" s="30" t="s">
        <v>217</v>
      </c>
      <c r="B380" s="12">
        <v>-1.7637</v>
      </c>
      <c r="C380" s="12">
        <v>-1.0337000000000001</v>
      </c>
      <c r="D380" s="8">
        <v>0.67435999999999996</v>
      </c>
      <c r="E380" s="8">
        <v>1.0317000000000001</v>
      </c>
      <c r="F380" s="8">
        <v>0.20566999999999999</v>
      </c>
      <c r="G380" s="8">
        <v>0.17932000000000001</v>
      </c>
      <c r="H380" s="8">
        <v>-0.45957999999999999</v>
      </c>
      <c r="I380" s="8">
        <v>-0.28997000000000001</v>
      </c>
      <c r="J380" s="8">
        <v>4.9009999999999998E-2</v>
      </c>
      <c r="K380" s="8">
        <v>-0.17362</v>
      </c>
      <c r="L380" s="8">
        <v>3.0945E-2</v>
      </c>
      <c r="M380" s="8">
        <v>0.13414999999999999</v>
      </c>
      <c r="N380" s="8">
        <v>-3.3784000000000002E-2</v>
      </c>
      <c r="O380" s="8">
        <v>8.3862000000000006E-2</v>
      </c>
      <c r="P380" s="8">
        <v>2.5590000000000002E-2</v>
      </c>
      <c r="Q380" s="8">
        <v>3.2181000000000001E-2</v>
      </c>
      <c r="R380" s="8">
        <v>-3.4426999999999999E-2</v>
      </c>
      <c r="S380" s="8">
        <v>-1.102E-2</v>
      </c>
      <c r="T380" s="8">
        <v>8.4043999999999994E-3</v>
      </c>
      <c r="U380" s="8">
        <v>-2.0926999999999999E-3</v>
      </c>
      <c r="V380" s="8">
        <v>7.4586000000000001E-3</v>
      </c>
      <c r="W380" s="8">
        <v>1.2061000000000001E-3</v>
      </c>
      <c r="X380" s="8">
        <v>4.3959000000000001E-4</v>
      </c>
      <c r="Y380" s="8">
        <v>4.9125000000000002E-3</v>
      </c>
    </row>
    <row r="381" spans="1:25" x14ac:dyDescent="0.25">
      <c r="A381" s="30" t="s">
        <v>218</v>
      </c>
      <c r="B381" s="12">
        <v>-1.7486999999999999</v>
      </c>
      <c r="C381" s="12">
        <v>-1.1752</v>
      </c>
      <c r="D381" s="8">
        <v>0.73153999999999997</v>
      </c>
      <c r="E381" s="8">
        <v>0.92774000000000001</v>
      </c>
      <c r="F381" s="8">
        <v>0.38025999999999999</v>
      </c>
      <c r="G381" s="8">
        <v>-0.43046000000000001</v>
      </c>
      <c r="H381" s="8">
        <v>-0.19917000000000001</v>
      </c>
      <c r="I381" s="8">
        <v>-8.9243000000000003E-2</v>
      </c>
      <c r="J381" s="8">
        <v>-0.16727</v>
      </c>
      <c r="K381" s="8">
        <v>-0.11007</v>
      </c>
      <c r="L381" s="8">
        <v>7.6517000000000002E-2</v>
      </c>
      <c r="M381" s="8">
        <v>-9.1777999999999998E-3</v>
      </c>
      <c r="N381" s="8">
        <v>-2.5607000000000001E-2</v>
      </c>
      <c r="O381" s="8">
        <v>9.5991000000000007E-2</v>
      </c>
      <c r="P381" s="8">
        <v>6.3200999999999993E-2</v>
      </c>
      <c r="Q381" s="8">
        <v>6.522E-2</v>
      </c>
      <c r="R381" s="8">
        <v>-4.2936000000000002E-2</v>
      </c>
      <c r="S381" s="8">
        <v>-2.3104E-2</v>
      </c>
      <c r="T381" s="8">
        <v>2.7767E-2</v>
      </c>
      <c r="U381" s="8">
        <v>-8.5453000000000005E-3</v>
      </c>
      <c r="V381" s="8">
        <v>-1.5105E-2</v>
      </c>
      <c r="W381" s="8">
        <v>-1.0522E-2</v>
      </c>
      <c r="X381" s="8">
        <v>-3.7486000000000003E-4</v>
      </c>
      <c r="Y381" s="8">
        <v>3.9581E-3</v>
      </c>
    </row>
    <row r="382" spans="1:25" x14ac:dyDescent="0.25">
      <c r="A382" s="30" t="s">
        <v>219</v>
      </c>
      <c r="B382" s="12">
        <v>-1.7479</v>
      </c>
      <c r="C382" s="12">
        <v>-1.0063</v>
      </c>
      <c r="D382" s="8">
        <v>0.64649000000000001</v>
      </c>
      <c r="E382" s="8">
        <v>1.0490999999999999</v>
      </c>
      <c r="F382" s="8">
        <v>0.26413999999999999</v>
      </c>
      <c r="G382" s="8">
        <v>0.34205000000000002</v>
      </c>
      <c r="H382" s="8">
        <v>-0.42470000000000002</v>
      </c>
      <c r="I382" s="8">
        <v>-0.20748</v>
      </c>
      <c r="J382" s="8">
        <v>8.7581999999999993E-2</v>
      </c>
      <c r="K382" s="8">
        <v>-0.12977</v>
      </c>
      <c r="L382" s="8">
        <v>0.18797</v>
      </c>
      <c r="M382" s="8">
        <v>-0.16567999999999999</v>
      </c>
      <c r="N382" s="8">
        <v>-4.8515000000000003E-2</v>
      </c>
      <c r="O382" s="8">
        <v>8.9099999999999995E-3</v>
      </c>
      <c r="P382" s="8">
        <v>5.8271000000000003E-2</v>
      </c>
      <c r="Q382" s="8">
        <v>-2.6273000000000001E-2</v>
      </c>
      <c r="R382" s="8">
        <v>-2.4497000000000001E-2</v>
      </c>
      <c r="S382" s="8">
        <v>9.9527999999999995E-3</v>
      </c>
      <c r="T382" s="8">
        <v>-1.2881E-2</v>
      </c>
      <c r="U382" s="8">
        <v>-2.4607E-2</v>
      </c>
      <c r="V382" s="8">
        <v>-1.3218000000000001E-2</v>
      </c>
      <c r="W382" s="8">
        <v>1.3619999999999999E-3</v>
      </c>
      <c r="X382" s="8">
        <v>-4.4387000000000003E-3</v>
      </c>
      <c r="Y382" s="8">
        <v>-1.3389999999999999E-3</v>
      </c>
    </row>
    <row r="383" spans="1:25" x14ac:dyDescent="0.25">
      <c r="A383" s="30" t="s">
        <v>220</v>
      </c>
      <c r="B383" s="12">
        <v>-1.7659</v>
      </c>
      <c r="C383" s="12">
        <v>-1.1178999999999999</v>
      </c>
      <c r="D383" s="8">
        <v>0.68962999999999997</v>
      </c>
      <c r="E383" s="8">
        <v>1.0105999999999999</v>
      </c>
      <c r="F383" s="8">
        <v>0.25364999999999999</v>
      </c>
      <c r="G383" s="8">
        <v>-0.26795999999999998</v>
      </c>
      <c r="H383" s="8">
        <v>-0.27385999999999999</v>
      </c>
      <c r="I383" s="8">
        <v>1.1075E-2</v>
      </c>
      <c r="J383" s="8">
        <v>-4.9091999999999997E-2</v>
      </c>
      <c r="K383" s="8">
        <v>-3.8524000000000003E-2</v>
      </c>
      <c r="L383" s="8">
        <v>0.10216</v>
      </c>
      <c r="M383" s="8">
        <v>0.13628999999999999</v>
      </c>
      <c r="N383" s="8">
        <v>-0.12659999999999999</v>
      </c>
      <c r="O383" s="8">
        <v>-6.3596E-2</v>
      </c>
      <c r="P383" s="8">
        <v>7.7924999999999994E-2</v>
      </c>
      <c r="Q383" s="8">
        <v>-1.6986999999999999E-2</v>
      </c>
      <c r="R383" s="8">
        <v>-2.4157999999999999E-2</v>
      </c>
      <c r="S383" s="8">
        <v>9.6924000000000003E-3</v>
      </c>
      <c r="T383" s="8">
        <v>3.0196000000000001E-2</v>
      </c>
      <c r="U383" s="8">
        <v>-4.8098000000000004E-3</v>
      </c>
      <c r="V383" s="8">
        <v>-2.1892000000000001E-3</v>
      </c>
      <c r="W383" s="8">
        <v>5.0016000000000001E-3</v>
      </c>
      <c r="X383" s="8">
        <v>1.7665000000000001E-3</v>
      </c>
      <c r="Y383" s="8">
        <v>2.5755999999999999E-4</v>
      </c>
    </row>
    <row r="384" spans="1:25" x14ac:dyDescent="0.25">
      <c r="A384" s="30" t="s">
        <v>221</v>
      </c>
      <c r="B384" s="12">
        <v>-1.7547999999999999</v>
      </c>
      <c r="C384" s="12">
        <v>-1.0308999999999999</v>
      </c>
      <c r="D384" s="8">
        <v>0.64742999999999995</v>
      </c>
      <c r="E384" s="8">
        <v>1.0701000000000001</v>
      </c>
      <c r="F384" s="8">
        <v>0.25014999999999998</v>
      </c>
      <c r="G384" s="8">
        <v>0.14015</v>
      </c>
      <c r="H384" s="8">
        <v>-0.37407000000000001</v>
      </c>
      <c r="I384" s="8">
        <v>-2.5645000000000001E-2</v>
      </c>
      <c r="J384" s="8">
        <v>5.0450000000000002E-2</v>
      </c>
      <c r="K384" s="8">
        <v>-5.1283000000000002E-2</v>
      </c>
      <c r="L384" s="8">
        <v>0.16930999999999999</v>
      </c>
      <c r="M384" s="8">
        <v>-0.11597</v>
      </c>
      <c r="N384" s="8">
        <v>2.427E-2</v>
      </c>
      <c r="O384" s="8">
        <v>-4.3448E-4</v>
      </c>
      <c r="P384" s="8">
        <v>7.1485000000000007E-2</v>
      </c>
      <c r="Q384" s="8">
        <v>4.2750999999999997E-2</v>
      </c>
      <c r="R384" s="8">
        <v>1.5131E-2</v>
      </c>
      <c r="S384" s="8">
        <v>-1.1860000000000001E-2</v>
      </c>
      <c r="T384" s="8">
        <v>-2.0812000000000001E-4</v>
      </c>
      <c r="U384" s="8">
        <v>-1.2821E-3</v>
      </c>
      <c r="V384" s="8">
        <v>-1.2470999999999999E-2</v>
      </c>
      <c r="W384" s="8">
        <v>-1.197E-2</v>
      </c>
      <c r="X384" s="8">
        <v>1.3133999999999999E-3</v>
      </c>
      <c r="Y384" s="8">
        <v>-3.2935E-3</v>
      </c>
    </row>
    <row r="385" spans="1:25" x14ac:dyDescent="0.25">
      <c r="A385" s="30" t="s">
        <v>222</v>
      </c>
      <c r="B385" s="12">
        <v>-1.7272000000000001</v>
      </c>
      <c r="C385" s="12">
        <v>-1.0929</v>
      </c>
      <c r="D385" s="8">
        <v>0.69189000000000001</v>
      </c>
      <c r="E385" s="8">
        <v>0.98014999999999997</v>
      </c>
      <c r="F385" s="8">
        <v>0.45029999999999998</v>
      </c>
      <c r="G385" s="8">
        <v>-0.13764999999999999</v>
      </c>
      <c r="H385" s="8">
        <v>-0.14717</v>
      </c>
      <c r="I385" s="8">
        <v>0.15045</v>
      </c>
      <c r="J385" s="8">
        <v>-3.1593999999999997E-2</v>
      </c>
      <c r="K385" s="8">
        <v>-3.5429000000000002E-2</v>
      </c>
      <c r="L385" s="8">
        <v>4.1251999999999997E-2</v>
      </c>
      <c r="M385" s="8">
        <v>0.25731999999999999</v>
      </c>
      <c r="N385" s="8">
        <v>-2.7507999999999999E-3</v>
      </c>
      <c r="O385" s="8">
        <v>-8.7604000000000001E-2</v>
      </c>
      <c r="P385" s="8">
        <v>0.13589999999999999</v>
      </c>
      <c r="Q385" s="8">
        <v>7.7822999999999998E-3</v>
      </c>
      <c r="R385" s="8">
        <v>6.1781000000000003E-2</v>
      </c>
      <c r="S385" s="8">
        <v>-1.2E-2</v>
      </c>
      <c r="T385" s="8">
        <v>2.2818000000000001E-2</v>
      </c>
      <c r="U385" s="8">
        <v>-4.6407999999999996E-3</v>
      </c>
      <c r="V385" s="8">
        <v>-1.3509E-2</v>
      </c>
      <c r="W385" s="8">
        <v>-4.7425000000000002E-3</v>
      </c>
      <c r="X385" s="8">
        <v>-9.3818999999999999E-4</v>
      </c>
      <c r="Y385" s="8">
        <v>-7.4428000000000005E-4</v>
      </c>
    </row>
    <row r="386" spans="1:25" x14ac:dyDescent="0.25">
      <c r="A386" s="30" t="s">
        <v>223</v>
      </c>
      <c r="B386" s="12">
        <v>-1.7785</v>
      </c>
      <c r="C386" s="12">
        <v>-1.1089</v>
      </c>
      <c r="D386" s="8">
        <v>0.66622000000000003</v>
      </c>
      <c r="E386" s="8">
        <v>1.0611999999999999</v>
      </c>
      <c r="F386" s="8">
        <v>0.16768</v>
      </c>
      <c r="G386" s="8">
        <v>-0.28399000000000002</v>
      </c>
      <c r="H386" s="8">
        <v>-0.29372999999999999</v>
      </c>
      <c r="I386" s="8">
        <v>0.10101</v>
      </c>
      <c r="J386" s="8">
        <v>-6.9324999999999998E-2</v>
      </c>
      <c r="K386" s="8">
        <v>1.6903999999999999E-2</v>
      </c>
      <c r="L386" s="8">
        <v>0.16181000000000001</v>
      </c>
      <c r="M386" s="8">
        <v>-2.4441999999999998E-2</v>
      </c>
      <c r="N386" s="8">
        <v>2.7179999999999999E-2</v>
      </c>
      <c r="O386" s="8">
        <v>-0.14638999999999999</v>
      </c>
      <c r="P386" s="8">
        <v>4.2658000000000001E-2</v>
      </c>
      <c r="Q386" s="8">
        <v>1.6441999999999998E-2</v>
      </c>
      <c r="R386" s="8">
        <v>-1.6951999999999998E-2</v>
      </c>
      <c r="S386" s="8">
        <v>-1.9346999999999999E-3</v>
      </c>
      <c r="T386" s="8">
        <v>-8.3694000000000008E-3</v>
      </c>
      <c r="U386" s="8">
        <v>-1.0703000000000001E-2</v>
      </c>
      <c r="V386" s="8">
        <v>7.8726999999999996E-4</v>
      </c>
      <c r="W386" s="8">
        <v>-2.2385E-3</v>
      </c>
      <c r="X386" s="8">
        <v>1.3401999999999999E-3</v>
      </c>
      <c r="Y386" s="8">
        <v>-2.9348E-3</v>
      </c>
    </row>
    <row r="387" spans="1:25" x14ac:dyDescent="0.25">
      <c r="A387" s="30" t="s">
        <v>224</v>
      </c>
      <c r="B387" s="12">
        <v>-1.7019</v>
      </c>
      <c r="C387" s="12">
        <v>-1.0567</v>
      </c>
      <c r="D387" s="8">
        <v>0.68733999999999995</v>
      </c>
      <c r="E387" s="8">
        <v>0.97462000000000004</v>
      </c>
      <c r="F387" s="8">
        <v>0.57077999999999995</v>
      </c>
      <c r="G387" s="8">
        <v>5.0564999999999999E-2</v>
      </c>
      <c r="H387" s="8">
        <v>-0.13053000000000001</v>
      </c>
      <c r="I387" s="8">
        <v>0.17598</v>
      </c>
      <c r="J387" s="8">
        <v>2.0788000000000001E-2</v>
      </c>
      <c r="K387" s="8">
        <v>-3.0145000000000002E-2</v>
      </c>
      <c r="L387" s="8">
        <v>1.5625E-2</v>
      </c>
      <c r="M387" s="8">
        <v>0.25673000000000001</v>
      </c>
      <c r="N387" s="8">
        <v>5.237E-2</v>
      </c>
      <c r="O387" s="8">
        <v>4.3443000000000002E-2</v>
      </c>
      <c r="P387" s="8">
        <v>5.6055000000000001E-2</v>
      </c>
      <c r="Q387" s="8">
        <v>3.6109000000000002E-2</v>
      </c>
      <c r="R387" s="8">
        <v>7.4380999999999996E-3</v>
      </c>
      <c r="S387" s="8">
        <v>-2.2145999999999999E-2</v>
      </c>
      <c r="T387" s="8">
        <v>1.8234E-2</v>
      </c>
      <c r="U387" s="8">
        <v>-1.1971000000000001E-2</v>
      </c>
      <c r="V387" s="8">
        <v>-2.0726999999999999E-2</v>
      </c>
      <c r="W387" s="8">
        <v>1.5585E-3</v>
      </c>
      <c r="X387" s="8">
        <v>4.0255999999999998E-3</v>
      </c>
      <c r="Y387" s="8">
        <v>-2.5685999999999999E-3</v>
      </c>
    </row>
    <row r="388" spans="1:25" x14ac:dyDescent="0.25">
      <c r="A388" s="30" t="s">
        <v>225</v>
      </c>
      <c r="B388" s="12">
        <v>-1.7126999999999999</v>
      </c>
      <c r="C388" s="12">
        <v>-1.0379</v>
      </c>
      <c r="D388" s="8">
        <v>0.66563000000000005</v>
      </c>
      <c r="E388" s="8">
        <v>1.0058</v>
      </c>
      <c r="F388" s="8">
        <v>0.49059000000000003</v>
      </c>
      <c r="G388" s="8">
        <v>0.17197000000000001</v>
      </c>
      <c r="H388" s="8">
        <v>-0.22344</v>
      </c>
      <c r="I388" s="8">
        <v>7.4930999999999998E-2</v>
      </c>
      <c r="J388" s="8">
        <v>4.1786999999999998E-2</v>
      </c>
      <c r="K388" s="8">
        <v>-4.8348000000000002E-2</v>
      </c>
      <c r="L388" s="8">
        <v>0.14693999999999999</v>
      </c>
      <c r="M388" s="8">
        <v>-8.5553000000000004E-2</v>
      </c>
      <c r="N388" s="8">
        <v>1.814E-2</v>
      </c>
      <c r="O388" s="8">
        <v>5.4845999999999999E-2</v>
      </c>
      <c r="P388" s="8">
        <v>6.9332000000000005E-2</v>
      </c>
      <c r="Q388" s="8">
        <v>6.2E-2</v>
      </c>
      <c r="R388" s="8">
        <v>9.5525999999999996E-3</v>
      </c>
      <c r="S388" s="8">
        <v>-1.9925999999999999E-2</v>
      </c>
      <c r="T388" s="8">
        <v>7.9894000000000007E-3</v>
      </c>
      <c r="U388" s="8">
        <v>-6.6337000000000002E-3</v>
      </c>
      <c r="V388" s="8">
        <v>-1.8454000000000002E-2</v>
      </c>
      <c r="W388" s="8">
        <v>-5.7821000000000001E-3</v>
      </c>
      <c r="X388" s="8">
        <v>-3.1432999999999998E-4</v>
      </c>
      <c r="Y388" s="8">
        <v>2.6088000000000001E-3</v>
      </c>
    </row>
    <row r="389" spans="1:25" x14ac:dyDescent="0.25">
      <c r="A389" s="30" t="s">
        <v>226</v>
      </c>
      <c r="B389" s="12">
        <v>-1.7221</v>
      </c>
      <c r="C389" s="12">
        <v>-1.0379</v>
      </c>
      <c r="D389" s="8">
        <v>0.67364000000000002</v>
      </c>
      <c r="E389" s="8">
        <v>0.99084000000000005</v>
      </c>
      <c r="F389" s="8">
        <v>0.44413999999999998</v>
      </c>
      <c r="G389" s="8">
        <v>0.20704</v>
      </c>
      <c r="H389" s="8">
        <v>-0.28438999999999998</v>
      </c>
      <c r="I389" s="8">
        <v>-7.4134000000000005E-2</v>
      </c>
      <c r="J389" s="8">
        <v>6.9744E-2</v>
      </c>
      <c r="K389" s="8">
        <v>-0.11801</v>
      </c>
      <c r="L389" s="8">
        <v>0.12162000000000001</v>
      </c>
      <c r="M389" s="8">
        <v>9.8922000000000003E-3</v>
      </c>
      <c r="N389" s="8">
        <v>-0.16999</v>
      </c>
      <c r="O389" s="8">
        <v>5.2831000000000003E-2</v>
      </c>
      <c r="P389" s="8">
        <v>0.12859000000000001</v>
      </c>
      <c r="Q389" s="8">
        <v>4.5406000000000002E-2</v>
      </c>
      <c r="R389" s="8">
        <v>4.0501000000000001E-3</v>
      </c>
      <c r="S389" s="8">
        <v>-2.1038000000000001E-2</v>
      </c>
      <c r="T389" s="8">
        <v>1.6152E-2</v>
      </c>
      <c r="U389" s="8">
        <v>7.4781000000000001E-4</v>
      </c>
      <c r="V389" s="8">
        <v>-1.7572000000000001E-2</v>
      </c>
      <c r="W389" s="8">
        <v>1.0342000000000001E-3</v>
      </c>
      <c r="X389" s="8">
        <v>-5.0033999999999999E-3</v>
      </c>
      <c r="Y389" s="8">
        <v>-2.1587000000000001E-4</v>
      </c>
    </row>
    <row r="390" spans="1:25" x14ac:dyDescent="0.25">
      <c r="A390" s="30" t="s">
        <v>227</v>
      </c>
      <c r="B390" s="12">
        <v>-1.7124999999999999</v>
      </c>
      <c r="C390" s="12">
        <v>-1.1228</v>
      </c>
      <c r="D390" s="8">
        <v>0.70186999999999999</v>
      </c>
      <c r="E390" s="8">
        <v>0.93881999999999999</v>
      </c>
      <c r="F390" s="8">
        <v>0.54837999999999998</v>
      </c>
      <c r="G390" s="8">
        <v>-0.19273999999999999</v>
      </c>
      <c r="H390" s="8">
        <v>-8.5900000000000004E-2</v>
      </c>
      <c r="I390" s="8">
        <v>0.14448</v>
      </c>
      <c r="J390" s="8">
        <v>-6.1849000000000001E-2</v>
      </c>
      <c r="K390" s="8">
        <v>-3.1077E-2</v>
      </c>
      <c r="L390" s="8">
        <v>0.15653</v>
      </c>
      <c r="M390" s="8">
        <v>-3.3660000000000001E-3</v>
      </c>
      <c r="N390" s="8">
        <v>-0.14321</v>
      </c>
      <c r="O390" s="8">
        <v>-4.7681000000000001E-2</v>
      </c>
      <c r="P390" s="8">
        <v>0.10469000000000001</v>
      </c>
      <c r="Q390" s="8">
        <v>1.0630000000000001E-2</v>
      </c>
      <c r="R390" s="8">
        <v>3.6234000000000002E-2</v>
      </c>
      <c r="S390" s="8">
        <v>-4.4307000000000001E-3</v>
      </c>
      <c r="T390" s="8">
        <v>4.3886000000000003E-3</v>
      </c>
      <c r="U390" s="8">
        <v>1.3453E-2</v>
      </c>
      <c r="V390" s="8">
        <v>-1.7264999999999999E-2</v>
      </c>
      <c r="W390" s="8">
        <v>3.3961999999999998E-3</v>
      </c>
      <c r="X390" s="8">
        <v>-5.2667000000000002E-4</v>
      </c>
      <c r="Y390" s="8">
        <v>2.8503000000000001E-3</v>
      </c>
    </row>
    <row r="391" spans="1:25" x14ac:dyDescent="0.25">
      <c r="A391" s="30" t="s">
        <v>228</v>
      </c>
      <c r="B391" s="12">
        <v>-1.7346999999999999</v>
      </c>
      <c r="C391" s="12">
        <v>-1.05</v>
      </c>
      <c r="D391" s="8">
        <v>0.67403000000000002</v>
      </c>
      <c r="E391" s="8">
        <v>1.0023</v>
      </c>
      <c r="F391" s="8">
        <v>0.37591999999999998</v>
      </c>
      <c r="G391" s="8">
        <v>0.12517</v>
      </c>
      <c r="H391" s="8">
        <v>-0.28606999999999999</v>
      </c>
      <c r="I391" s="8">
        <v>-6.3184000000000004E-2</v>
      </c>
      <c r="J391" s="8">
        <v>4.0183999999999997E-2</v>
      </c>
      <c r="K391" s="8">
        <v>-0.10511</v>
      </c>
      <c r="L391" s="8">
        <v>0.10828</v>
      </c>
      <c r="M391" s="8">
        <v>7.2198999999999999E-2</v>
      </c>
      <c r="N391" s="8">
        <v>-7.9288999999999998E-2</v>
      </c>
      <c r="O391" s="8">
        <v>-1.7963E-2</v>
      </c>
      <c r="P391" s="8">
        <v>0.16478999999999999</v>
      </c>
      <c r="Q391" s="8">
        <v>-4.4720999999999997E-2</v>
      </c>
      <c r="R391" s="8">
        <v>-2.2948E-2</v>
      </c>
      <c r="S391" s="8">
        <v>1.7711000000000001E-2</v>
      </c>
      <c r="T391" s="8">
        <v>-2.1808999999999999E-2</v>
      </c>
      <c r="U391" s="8">
        <v>6.2189999999999997E-3</v>
      </c>
      <c r="V391" s="8">
        <v>1.7138E-4</v>
      </c>
      <c r="W391" s="8">
        <v>-3.1032E-4</v>
      </c>
      <c r="X391" s="8">
        <v>-7.6020999999999997E-3</v>
      </c>
      <c r="Y391" s="8">
        <v>-1.4192E-3</v>
      </c>
    </row>
    <row r="392" spans="1:25" x14ac:dyDescent="0.25">
      <c r="A392" s="30" t="s">
        <v>229</v>
      </c>
      <c r="B392" s="12">
        <v>-1.7513000000000001</v>
      </c>
      <c r="C392" s="12">
        <v>-1.0716000000000001</v>
      </c>
      <c r="D392" s="8">
        <v>0.67208000000000001</v>
      </c>
      <c r="E392" s="8">
        <v>1.0387999999999999</v>
      </c>
      <c r="F392" s="8">
        <v>0.30259000000000003</v>
      </c>
      <c r="G392" s="8">
        <v>-9.3847E-2</v>
      </c>
      <c r="H392" s="8">
        <v>-0.26012999999999997</v>
      </c>
      <c r="I392" s="8">
        <v>0.10911</v>
      </c>
      <c r="J392" s="8">
        <v>-8.7659999999999995E-4</v>
      </c>
      <c r="K392" s="8">
        <v>-1.0276E-3</v>
      </c>
      <c r="L392" s="8">
        <v>5.8514999999999998E-2</v>
      </c>
      <c r="M392" s="8">
        <v>0.21815000000000001</v>
      </c>
      <c r="N392" s="8">
        <v>6.1649000000000002E-2</v>
      </c>
      <c r="O392" s="8">
        <v>-4.9161000000000003E-2</v>
      </c>
      <c r="P392" s="8">
        <v>3.9912999999999997E-2</v>
      </c>
      <c r="Q392" s="8">
        <v>-3.8935999999999998E-2</v>
      </c>
      <c r="R392" s="8">
        <v>-5.0145000000000002E-2</v>
      </c>
      <c r="S392" s="8">
        <v>1.1768000000000001E-2</v>
      </c>
      <c r="T392" s="8">
        <v>2.1336999999999998E-2</v>
      </c>
      <c r="U392" s="8">
        <v>-1.4782999999999999E-2</v>
      </c>
      <c r="V392" s="8">
        <v>-9.2356000000000001E-3</v>
      </c>
      <c r="W392" s="8">
        <v>-9.3200999999999996E-3</v>
      </c>
      <c r="X392" s="8">
        <v>1.5254999999999999E-3</v>
      </c>
      <c r="Y392" s="8">
        <v>-3.0206E-3</v>
      </c>
    </row>
    <row r="393" spans="1:25" x14ac:dyDescent="0.25">
      <c r="A393" s="30" t="s">
        <v>230</v>
      </c>
      <c r="B393" s="12">
        <v>-1.7253000000000001</v>
      </c>
      <c r="C393" s="12">
        <v>-1.0644</v>
      </c>
      <c r="D393" s="8">
        <v>0.66532000000000002</v>
      </c>
      <c r="E393" s="8">
        <v>1.0203</v>
      </c>
      <c r="F393" s="8">
        <v>0.43658000000000002</v>
      </c>
      <c r="G393" s="8">
        <v>9.8513999999999997E-3</v>
      </c>
      <c r="H393" s="8">
        <v>-0.20049</v>
      </c>
      <c r="I393" s="8">
        <v>0.15665999999999999</v>
      </c>
      <c r="J393" s="8">
        <v>1.0969E-2</v>
      </c>
      <c r="K393" s="8">
        <v>1.3479E-2</v>
      </c>
      <c r="L393" s="8">
        <v>0.18423999999999999</v>
      </c>
      <c r="M393" s="8">
        <v>-8.3733000000000002E-2</v>
      </c>
      <c r="N393" s="8">
        <v>4.0572999999999998E-2</v>
      </c>
      <c r="O393" s="8">
        <v>1.8691999999999999E-3</v>
      </c>
      <c r="P393" s="8">
        <v>7.2789999999999994E-2</v>
      </c>
      <c r="Q393" s="8">
        <v>-4.1066999999999999E-2</v>
      </c>
      <c r="R393" s="8">
        <v>1.1972E-2</v>
      </c>
      <c r="S393" s="8">
        <v>-7.5152999999999999E-3</v>
      </c>
      <c r="T393" s="8">
        <v>-5.4308000000000004E-3</v>
      </c>
      <c r="U393" s="8">
        <v>6.4637000000000002E-3</v>
      </c>
      <c r="V393" s="8">
        <v>-1.0102999999999999E-2</v>
      </c>
      <c r="W393" s="8">
        <v>-5.0350999999999998E-3</v>
      </c>
      <c r="X393" s="8">
        <v>-2.8884000000000002E-3</v>
      </c>
      <c r="Y393" s="8">
        <v>-1.7110000000000001E-3</v>
      </c>
    </row>
    <row r="394" spans="1:25" x14ac:dyDescent="0.25">
      <c r="A394" s="30" t="s">
        <v>71</v>
      </c>
      <c r="B394" s="12">
        <v>2.1192000000000002</v>
      </c>
      <c r="C394" s="12">
        <v>-1.3475999999999999</v>
      </c>
      <c r="D394" s="8">
        <v>-0.2059</v>
      </c>
      <c r="E394" s="8">
        <v>-0.67945999999999995</v>
      </c>
      <c r="F394" s="8">
        <v>-0.33229999999999998</v>
      </c>
      <c r="G394" s="8">
        <v>-0.14537</v>
      </c>
      <c r="H394" s="8">
        <v>-0.53449000000000002</v>
      </c>
      <c r="I394" s="8">
        <v>-0.45179999999999998</v>
      </c>
      <c r="J394" s="8">
        <v>0.27731</v>
      </c>
      <c r="K394" s="8">
        <v>-9.7777000000000003E-2</v>
      </c>
      <c r="L394" s="8">
        <v>-1.8164E-2</v>
      </c>
      <c r="M394" s="8">
        <v>8.8776999999999995E-2</v>
      </c>
      <c r="N394" s="8">
        <v>-2.1572000000000001E-2</v>
      </c>
      <c r="O394" s="8">
        <v>8.7397000000000002E-2</v>
      </c>
      <c r="P394" s="8">
        <v>-3.3550000000000003E-2</v>
      </c>
      <c r="Q394" s="8">
        <v>2.1981000000000001E-3</v>
      </c>
      <c r="R394" s="8">
        <v>2.5446E-2</v>
      </c>
      <c r="S394" s="8">
        <v>-1.0973999999999999E-2</v>
      </c>
      <c r="T394" s="8">
        <v>-3.2060999999999999E-2</v>
      </c>
      <c r="U394" s="8">
        <v>-2.0393000000000001E-2</v>
      </c>
      <c r="V394" s="8">
        <v>1.1828E-2</v>
      </c>
      <c r="W394" s="8">
        <v>-6.9912999999999998E-3</v>
      </c>
      <c r="X394" s="8">
        <v>9.9552000000000009E-3</v>
      </c>
      <c r="Y394" s="8">
        <v>2.48E-3</v>
      </c>
    </row>
    <row r="395" spans="1:25" x14ac:dyDescent="0.25">
      <c r="A395" s="30" t="s">
        <v>70</v>
      </c>
      <c r="B395" s="12">
        <v>2.1080000000000001</v>
      </c>
      <c r="C395" s="12">
        <v>-1.4529000000000001</v>
      </c>
      <c r="D395" s="8">
        <v>-0.17071</v>
      </c>
      <c r="E395" s="8">
        <v>-0.71545000000000003</v>
      </c>
      <c r="F395" s="8">
        <v>-0.30032999999999999</v>
      </c>
      <c r="G395" s="8">
        <v>-0.65507000000000004</v>
      </c>
      <c r="H395" s="8">
        <v>-0.43257000000000001</v>
      </c>
      <c r="I395" s="8">
        <v>-0.29786000000000001</v>
      </c>
      <c r="J395" s="8">
        <v>0.18854000000000001</v>
      </c>
      <c r="K395" s="8">
        <v>-2.469E-2</v>
      </c>
      <c r="L395" s="8">
        <v>4.4927000000000002E-2</v>
      </c>
      <c r="M395" s="8">
        <v>8.1195999999999994E-3</v>
      </c>
      <c r="N395" s="8">
        <v>-0.25990000000000002</v>
      </c>
      <c r="O395" s="8">
        <v>0.21104999999999999</v>
      </c>
      <c r="P395" s="8">
        <v>0.12963</v>
      </c>
      <c r="Q395" s="8">
        <v>3.0759999999999999E-2</v>
      </c>
      <c r="R395" s="8">
        <v>4.2215000000000003E-2</v>
      </c>
      <c r="S395" s="8">
        <v>1.8114000000000002E-2</v>
      </c>
      <c r="T395" s="8">
        <v>-5.5183999999999997E-2</v>
      </c>
      <c r="U395" s="8">
        <v>-3.1459999999999999E-3</v>
      </c>
      <c r="V395" s="8">
        <v>2.8684000000000001E-2</v>
      </c>
      <c r="W395" s="8">
        <v>9.7963000000000008E-3</v>
      </c>
      <c r="X395" s="8">
        <v>1.0335E-2</v>
      </c>
      <c r="Y395" s="8">
        <v>4.0534999999999998E-3</v>
      </c>
    </row>
    <row r="396" spans="1:25" x14ac:dyDescent="0.25">
      <c r="A396" s="30" t="s">
        <v>69</v>
      </c>
      <c r="B396" s="12">
        <v>2.1322000000000001</v>
      </c>
      <c r="C396" s="12">
        <v>-1.3479000000000001</v>
      </c>
      <c r="D396" s="8">
        <v>-0.20188</v>
      </c>
      <c r="E396" s="8">
        <v>-0.69742999999999999</v>
      </c>
      <c r="F396" s="8">
        <v>-0.26095000000000002</v>
      </c>
      <c r="G396" s="8">
        <v>-0.12499</v>
      </c>
      <c r="H396" s="8">
        <v>-0.49214000000000002</v>
      </c>
      <c r="I396" s="8">
        <v>-0.42518</v>
      </c>
      <c r="J396" s="8">
        <v>0.2747</v>
      </c>
      <c r="K396" s="8">
        <v>-9.2383000000000007E-2</v>
      </c>
      <c r="L396" s="8">
        <v>-1.7978999999999998E-2</v>
      </c>
      <c r="M396" s="8">
        <v>8.1684999999999994E-2</v>
      </c>
      <c r="N396" s="8">
        <v>-5.5931000000000002E-3</v>
      </c>
      <c r="O396" s="8">
        <v>0.10879</v>
      </c>
      <c r="P396" s="8">
        <v>-5.1977000000000002E-2</v>
      </c>
      <c r="Q396" s="8">
        <v>-6.9182000000000002E-3</v>
      </c>
      <c r="R396" s="8">
        <v>2.0967E-2</v>
      </c>
      <c r="S396" s="8">
        <v>-3.6596999999999998E-2</v>
      </c>
      <c r="T396" s="8">
        <v>-1.2367E-2</v>
      </c>
      <c r="U396" s="8">
        <v>-2.5146000000000002E-2</v>
      </c>
      <c r="V396" s="8">
        <v>2.1172E-2</v>
      </c>
      <c r="W396" s="8">
        <v>-6.3255000000000004E-3</v>
      </c>
      <c r="X396" s="8">
        <v>5.4590999999999997E-3</v>
      </c>
      <c r="Y396" s="8">
        <v>4.1107000000000001E-3</v>
      </c>
    </row>
    <row r="397" spans="1:25" x14ac:dyDescent="0.25">
      <c r="A397" s="30" t="s">
        <v>231</v>
      </c>
      <c r="B397" s="12">
        <v>2.1951000000000001</v>
      </c>
      <c r="C397" s="12">
        <v>-1.4419999999999999</v>
      </c>
      <c r="D397" s="8">
        <v>-0.15456</v>
      </c>
      <c r="E397" s="8">
        <v>-0.82509999999999994</v>
      </c>
      <c r="F397" s="8">
        <v>0.14559</v>
      </c>
      <c r="G397" s="8">
        <v>-0.48354000000000003</v>
      </c>
      <c r="H397" s="8">
        <v>-9.9626000000000006E-2</v>
      </c>
      <c r="I397" s="8">
        <v>-6.3822000000000004E-2</v>
      </c>
      <c r="J397" s="8">
        <v>0.12978000000000001</v>
      </c>
      <c r="K397" s="8">
        <v>7.9886999999999996E-3</v>
      </c>
      <c r="L397" s="8">
        <v>2.1507999999999999E-2</v>
      </c>
      <c r="M397" s="8">
        <v>2.9090000000000001E-2</v>
      </c>
      <c r="N397" s="8">
        <v>3.5858000000000001E-2</v>
      </c>
      <c r="O397" s="8">
        <v>7.6467999999999994E-2</v>
      </c>
      <c r="P397" s="8">
        <v>-4.1449E-2</v>
      </c>
      <c r="Q397" s="8">
        <v>-3.3133000000000003E-2</v>
      </c>
      <c r="R397" s="8">
        <v>3.1961000000000003E-2</v>
      </c>
      <c r="S397" s="8">
        <v>-3.3236000000000002E-4</v>
      </c>
      <c r="T397" s="8">
        <v>-1.6593E-2</v>
      </c>
      <c r="U397" s="8">
        <v>-1.8083999999999999E-2</v>
      </c>
      <c r="V397" s="8">
        <v>-3.9643999999999999E-3</v>
      </c>
      <c r="W397" s="8">
        <v>-1.549E-2</v>
      </c>
      <c r="X397" s="8">
        <v>7.1139999999999997E-3</v>
      </c>
      <c r="Y397" s="8">
        <v>3.4927000000000001E-3</v>
      </c>
    </row>
    <row r="398" spans="1:25" x14ac:dyDescent="0.25">
      <c r="A398" s="30" t="s">
        <v>232</v>
      </c>
      <c r="B398" s="12">
        <v>2.1863000000000001</v>
      </c>
      <c r="C398" s="12">
        <v>-1.3482000000000001</v>
      </c>
      <c r="D398" s="8">
        <v>-0.19097</v>
      </c>
      <c r="E398" s="8">
        <v>-0.76934999999999998</v>
      </c>
      <c r="F398" s="8">
        <v>3.4077999999999997E-2</v>
      </c>
      <c r="G398" s="8">
        <v>-3.329E-2</v>
      </c>
      <c r="H398" s="8">
        <v>-0.28763</v>
      </c>
      <c r="I398" s="8">
        <v>-0.27227000000000001</v>
      </c>
      <c r="J398" s="8">
        <v>0.27426</v>
      </c>
      <c r="K398" s="8">
        <v>-8.3415000000000003E-2</v>
      </c>
      <c r="L398" s="8">
        <v>1.7545000000000002E-2</v>
      </c>
      <c r="M398" s="8">
        <v>3.7276999999999998E-2</v>
      </c>
      <c r="N398" s="8">
        <v>-3.4604999999999997E-2</v>
      </c>
      <c r="O398" s="8">
        <v>6.4309000000000005E-2</v>
      </c>
      <c r="P398" s="8">
        <v>1.8541999999999999E-2</v>
      </c>
      <c r="Q398" s="8">
        <v>-3.9869000000000002E-2</v>
      </c>
      <c r="R398" s="8">
        <v>3.1330999999999998E-2</v>
      </c>
      <c r="S398" s="8">
        <v>-2.2980000000000001E-3</v>
      </c>
      <c r="T398" s="8">
        <v>-6.2007E-2</v>
      </c>
      <c r="U398" s="8">
        <v>-7.3425000000000001E-3</v>
      </c>
      <c r="V398" s="8">
        <v>-1.3100000000000001E-2</v>
      </c>
      <c r="W398" s="8">
        <v>-1.1856E-2</v>
      </c>
      <c r="X398" s="8">
        <v>2.1231000000000002E-3</v>
      </c>
      <c r="Y398" s="8">
        <v>5.2554999999999998E-3</v>
      </c>
    </row>
    <row r="399" spans="1:25" x14ac:dyDescent="0.25">
      <c r="A399" s="30" t="s">
        <v>233</v>
      </c>
      <c r="B399" s="12">
        <v>2.1253000000000002</v>
      </c>
      <c r="C399" s="12">
        <v>-1.41</v>
      </c>
      <c r="D399" s="8">
        <v>-0.17899999999999999</v>
      </c>
      <c r="E399" s="8">
        <v>-0.74134999999999995</v>
      </c>
      <c r="F399" s="8">
        <v>-0.27688000000000001</v>
      </c>
      <c r="G399" s="8">
        <v>-0.36681000000000002</v>
      </c>
      <c r="H399" s="8">
        <v>-0.42033999999999999</v>
      </c>
      <c r="I399" s="8">
        <v>-0.46111000000000002</v>
      </c>
      <c r="J399" s="8">
        <v>0.13309000000000001</v>
      </c>
      <c r="K399" s="8">
        <v>-0.13272</v>
      </c>
      <c r="L399" s="8">
        <v>6.1390999999999998E-3</v>
      </c>
      <c r="M399" s="8">
        <v>-6.8557999999999994E-2</v>
      </c>
      <c r="N399" s="8">
        <v>0.11482000000000001</v>
      </c>
      <c r="O399" s="8">
        <v>-1.9436999999999999E-2</v>
      </c>
      <c r="P399" s="8">
        <v>4.7334000000000001E-2</v>
      </c>
      <c r="Q399" s="8">
        <v>2.3356999999999999E-2</v>
      </c>
      <c r="R399" s="8">
        <v>-1.3018E-2</v>
      </c>
      <c r="S399" s="8">
        <v>1.737E-2</v>
      </c>
      <c r="T399" s="8">
        <v>1.2437999999999999E-2</v>
      </c>
      <c r="U399" s="8">
        <v>8.4388999999999992E-3</v>
      </c>
      <c r="V399" s="8">
        <v>-2.7323E-3</v>
      </c>
      <c r="W399" s="8">
        <v>2.5316000000000002E-3</v>
      </c>
      <c r="X399" s="8">
        <v>9.7465E-3</v>
      </c>
      <c r="Y399" s="8">
        <v>-1.417E-5</v>
      </c>
    </row>
    <row r="400" spans="1:25" x14ac:dyDescent="0.25">
      <c r="A400" s="30" t="s">
        <v>234</v>
      </c>
      <c r="B400" s="12">
        <v>2.0813999999999999</v>
      </c>
      <c r="C400" s="12">
        <v>-1.4790000000000001</v>
      </c>
      <c r="D400" s="8">
        <v>-0.17215</v>
      </c>
      <c r="E400" s="8">
        <v>-0.66913999999999996</v>
      </c>
      <c r="F400" s="8">
        <v>-0.43146000000000001</v>
      </c>
      <c r="G400" s="8">
        <v>-0.91952999999999996</v>
      </c>
      <c r="H400" s="8">
        <v>-0.40783000000000003</v>
      </c>
      <c r="I400" s="8">
        <v>-0.11887</v>
      </c>
      <c r="J400" s="8">
        <v>0.13209000000000001</v>
      </c>
      <c r="K400" s="8">
        <v>7.9601000000000005E-2</v>
      </c>
      <c r="L400" s="8">
        <v>-3.7827E-2</v>
      </c>
      <c r="M400" s="8">
        <v>0.2707</v>
      </c>
      <c r="N400" s="8">
        <v>-1.7544000000000001E-2</v>
      </c>
      <c r="O400" s="8">
        <v>0.10384</v>
      </c>
      <c r="P400" s="8">
        <v>0.10688</v>
      </c>
      <c r="Q400" s="8">
        <v>-7.6737E-2</v>
      </c>
      <c r="R400" s="8">
        <v>6.9692E-3</v>
      </c>
      <c r="S400" s="8">
        <v>-1.5518999999999999E-3</v>
      </c>
      <c r="T400" s="8">
        <v>-1.5058999999999999E-2</v>
      </c>
      <c r="U400" s="8">
        <v>1.3705999999999999E-2</v>
      </c>
      <c r="V400" s="8">
        <v>4.9252000000000002E-3</v>
      </c>
      <c r="W400" s="8">
        <v>-5.0781999999999997E-3</v>
      </c>
      <c r="X400" s="8">
        <v>5.0797999999999998E-3</v>
      </c>
      <c r="Y400" s="8">
        <v>3.6148999999999999E-3</v>
      </c>
    </row>
    <row r="401" spans="1:25" x14ac:dyDescent="0.25">
      <c r="A401" s="30" t="s">
        <v>235</v>
      </c>
      <c r="B401" s="12">
        <v>2.2019000000000002</v>
      </c>
      <c r="C401" s="12">
        <v>-1.4490000000000001</v>
      </c>
      <c r="D401" s="8">
        <v>-0.15576000000000001</v>
      </c>
      <c r="E401" s="8">
        <v>-0.85002</v>
      </c>
      <c r="F401" s="8">
        <v>0.17019999999999999</v>
      </c>
      <c r="G401" s="8">
        <v>-0.42053000000000001</v>
      </c>
      <c r="H401" s="8">
        <v>-9.2977000000000004E-2</v>
      </c>
      <c r="I401" s="8">
        <v>-0.16503000000000001</v>
      </c>
      <c r="J401" s="8">
        <v>9.9412E-2</v>
      </c>
      <c r="K401" s="8">
        <v>-3.2643999999999999E-2</v>
      </c>
      <c r="L401" s="8">
        <v>0.13979</v>
      </c>
      <c r="M401" s="8">
        <v>-0.26817000000000002</v>
      </c>
      <c r="N401" s="8">
        <v>4.1730999999999997E-2</v>
      </c>
      <c r="O401" s="8">
        <v>3.2874E-2</v>
      </c>
      <c r="P401" s="8">
        <v>1.0989000000000001E-2</v>
      </c>
      <c r="Q401" s="8">
        <v>-9.214E-2</v>
      </c>
      <c r="R401" s="8">
        <v>5.0721000000000002E-2</v>
      </c>
      <c r="S401" s="8">
        <v>-2.6093000000000002E-2</v>
      </c>
      <c r="T401" s="8">
        <v>9.8017E-3</v>
      </c>
      <c r="U401" s="8">
        <v>1.2815E-2</v>
      </c>
      <c r="V401" s="8">
        <v>7.4380000000000002E-3</v>
      </c>
      <c r="W401" s="8">
        <v>-8.5549000000000007E-3</v>
      </c>
      <c r="X401" s="8">
        <v>3.5923000000000001E-3</v>
      </c>
      <c r="Y401" s="8">
        <v>-5.7111000000000002E-3</v>
      </c>
    </row>
    <row r="402" spans="1:25" x14ac:dyDescent="0.25">
      <c r="A402" s="30" t="s">
        <v>236</v>
      </c>
      <c r="B402" s="12">
        <v>2.1097000000000001</v>
      </c>
      <c r="C402" s="12">
        <v>-1.3432999999999999</v>
      </c>
      <c r="D402" s="8">
        <v>-0.2147</v>
      </c>
      <c r="E402" s="8">
        <v>-0.66454999999999997</v>
      </c>
      <c r="F402" s="8">
        <v>-0.39978000000000002</v>
      </c>
      <c r="G402" s="8">
        <v>-0.14502999999999999</v>
      </c>
      <c r="H402" s="8">
        <v>-0.54684999999999995</v>
      </c>
      <c r="I402" s="8">
        <v>-0.45767999999999998</v>
      </c>
      <c r="J402" s="8">
        <v>0.25468000000000002</v>
      </c>
      <c r="K402" s="8">
        <v>-9.2991000000000004E-2</v>
      </c>
      <c r="L402" s="8">
        <v>-1.5143999999999999E-2</v>
      </c>
      <c r="M402" s="8">
        <v>9.3045000000000003E-2</v>
      </c>
      <c r="N402" s="8">
        <v>3.1567999999999999E-2</v>
      </c>
      <c r="O402" s="8">
        <v>-5.7886E-2</v>
      </c>
      <c r="P402" s="8">
        <v>-0.13286999999999999</v>
      </c>
      <c r="Q402" s="8">
        <v>1.9314000000000001E-2</v>
      </c>
      <c r="R402" s="8">
        <v>1.8248E-2</v>
      </c>
      <c r="S402" s="8">
        <v>-2.0124E-2</v>
      </c>
      <c r="T402" s="8">
        <v>-2.0465000000000001E-2</v>
      </c>
      <c r="U402" s="8">
        <v>-9.6842E-4</v>
      </c>
      <c r="V402" s="8">
        <v>-2.3744E-3</v>
      </c>
      <c r="W402" s="8">
        <v>3.0661E-3</v>
      </c>
      <c r="X402" s="8">
        <v>8.4439000000000007E-3</v>
      </c>
      <c r="Y402" s="8">
        <v>1.114E-3</v>
      </c>
    </row>
    <row r="403" spans="1:25" x14ac:dyDescent="0.25">
      <c r="A403" s="30" t="s">
        <v>237</v>
      </c>
      <c r="B403" s="12">
        <v>2.1454</v>
      </c>
      <c r="C403" s="12">
        <v>-1.4257</v>
      </c>
      <c r="D403" s="8">
        <v>-0.17471999999999999</v>
      </c>
      <c r="E403" s="8">
        <v>-0.74658000000000002</v>
      </c>
      <c r="F403" s="8">
        <v>-0.13772999999999999</v>
      </c>
      <c r="G403" s="8">
        <v>-0.51170000000000004</v>
      </c>
      <c r="H403" s="8">
        <v>-0.26911000000000002</v>
      </c>
      <c r="I403" s="8">
        <v>-0.15286</v>
      </c>
      <c r="J403" s="8">
        <v>0.15060999999999999</v>
      </c>
      <c r="K403" s="8">
        <v>-1.0432E-2</v>
      </c>
      <c r="L403" s="8">
        <v>-2.2738000000000001E-2</v>
      </c>
      <c r="M403" s="8">
        <v>0.14166000000000001</v>
      </c>
      <c r="N403" s="8">
        <v>5.6395000000000001E-2</v>
      </c>
      <c r="O403" s="8">
        <v>-2.342E-2</v>
      </c>
      <c r="P403" s="8">
        <v>6.0296000000000002E-2</v>
      </c>
      <c r="Q403" s="8">
        <v>-1.0170999999999999E-2</v>
      </c>
      <c r="R403" s="8">
        <v>-4.0971000000000002E-3</v>
      </c>
      <c r="S403" s="8">
        <v>9.2178999999999994E-3</v>
      </c>
      <c r="T403" s="8">
        <v>-1.3376000000000001E-2</v>
      </c>
      <c r="U403" s="8">
        <v>3.0089999999999999E-2</v>
      </c>
      <c r="V403" s="8">
        <v>6.4862000000000001E-3</v>
      </c>
      <c r="W403" s="8">
        <v>1.0455000000000001E-2</v>
      </c>
      <c r="X403" s="8">
        <v>4.7927999999999998E-3</v>
      </c>
      <c r="Y403" s="8">
        <v>-4.6613999999999998E-4</v>
      </c>
    </row>
    <row r="404" spans="1:25" x14ac:dyDescent="0.25">
      <c r="A404" s="30" t="s">
        <v>238</v>
      </c>
      <c r="B404" s="12">
        <v>2.1358000000000001</v>
      </c>
      <c r="C404" s="12">
        <v>-1.3376999999999999</v>
      </c>
      <c r="D404" s="8">
        <v>-0.21368999999999999</v>
      </c>
      <c r="E404" s="8">
        <v>-0.69879999999999998</v>
      </c>
      <c r="F404" s="8">
        <v>-0.26327</v>
      </c>
      <c r="G404" s="8">
        <v>-4.7681000000000001E-2</v>
      </c>
      <c r="H404" s="8">
        <v>-0.47306999999999999</v>
      </c>
      <c r="I404" s="8">
        <v>-0.43489</v>
      </c>
      <c r="J404" s="8">
        <v>0.26434000000000002</v>
      </c>
      <c r="K404" s="8">
        <v>-9.9121000000000001E-2</v>
      </c>
      <c r="L404" s="8">
        <v>4.6382E-2</v>
      </c>
      <c r="M404" s="8">
        <v>-4.5680999999999999E-2</v>
      </c>
      <c r="N404" s="8">
        <v>-7.6194000000000001E-4</v>
      </c>
      <c r="O404" s="8">
        <v>-5.475E-2</v>
      </c>
      <c r="P404" s="8">
        <v>-7.6512999999999998E-2</v>
      </c>
      <c r="Q404" s="8">
        <v>-6.8054999999999999E-3</v>
      </c>
      <c r="R404" s="8">
        <v>-3.6340999999999999E-3</v>
      </c>
      <c r="S404" s="8">
        <v>-3.7572999999999999E-3</v>
      </c>
      <c r="T404" s="8">
        <v>2.2748999999999998E-2</v>
      </c>
      <c r="U404" s="8">
        <v>2.2396E-3</v>
      </c>
      <c r="V404" s="8">
        <v>3.6159999999999999E-3</v>
      </c>
      <c r="W404" s="8">
        <v>5.6169000000000002E-3</v>
      </c>
      <c r="X404" s="8">
        <v>2.4263000000000002E-3</v>
      </c>
      <c r="Y404" s="8">
        <v>-3.9833999999999998E-3</v>
      </c>
    </row>
    <row r="405" spans="1:25" x14ac:dyDescent="0.25">
      <c r="A405" s="30" t="s">
        <v>239</v>
      </c>
      <c r="B405" s="12">
        <v>1.2649999999999999</v>
      </c>
      <c r="C405" s="12">
        <v>1.8646</v>
      </c>
      <c r="D405" s="8">
        <v>-0.48069000000000001</v>
      </c>
      <c r="E405" s="8">
        <v>0.46389999999999998</v>
      </c>
      <c r="F405" s="8">
        <v>0.48526999999999998</v>
      </c>
      <c r="G405" s="8">
        <v>-0.42596000000000001</v>
      </c>
      <c r="H405" s="8">
        <v>-0.30005999999999999</v>
      </c>
      <c r="I405" s="8">
        <v>0.39419999999999999</v>
      </c>
      <c r="J405" s="8">
        <v>0.29002</v>
      </c>
      <c r="K405" s="8">
        <v>0.15168000000000001</v>
      </c>
      <c r="L405" s="8">
        <v>0.10768</v>
      </c>
      <c r="M405" s="8">
        <v>-7.5213000000000002E-2</v>
      </c>
      <c r="N405" s="8">
        <v>4.6767999999999997E-2</v>
      </c>
      <c r="O405" s="8">
        <v>2.0576000000000001E-2</v>
      </c>
      <c r="P405" s="8">
        <v>2.9756999999999999E-2</v>
      </c>
      <c r="Q405" s="8">
        <v>5.1519000000000001E-3</v>
      </c>
      <c r="R405" s="8">
        <v>-5.2013000000000005E-4</v>
      </c>
      <c r="S405" s="8">
        <v>7.6616E-4</v>
      </c>
      <c r="T405" s="8">
        <v>-1.5904999999999999E-2</v>
      </c>
      <c r="U405" s="8">
        <v>-3.6692000000000001E-3</v>
      </c>
      <c r="V405" s="8">
        <v>-1.0096000000000001E-2</v>
      </c>
      <c r="W405" s="8">
        <v>-5.4327999999999998E-3</v>
      </c>
      <c r="X405" s="8">
        <v>6.9242000000000001E-4</v>
      </c>
      <c r="Y405" s="8">
        <v>-1.2899999999999999E-3</v>
      </c>
    </row>
    <row r="406" spans="1:25" x14ac:dyDescent="0.25">
      <c r="A406" s="30" t="s">
        <v>240</v>
      </c>
      <c r="B406" s="12">
        <v>1.3388</v>
      </c>
      <c r="C406" s="12">
        <v>1.9375</v>
      </c>
      <c r="D406" s="8">
        <v>-0.47972999999999999</v>
      </c>
      <c r="E406" s="8">
        <v>0.38990999999999998</v>
      </c>
      <c r="F406" s="8">
        <v>0.83611999999999997</v>
      </c>
      <c r="G406" s="8">
        <v>3.7720999999999998E-2</v>
      </c>
      <c r="H406" s="8">
        <v>-0.16114999999999999</v>
      </c>
      <c r="I406" s="8">
        <v>0.40819</v>
      </c>
      <c r="J406" s="8">
        <v>0.37164999999999998</v>
      </c>
      <c r="K406" s="8">
        <v>9.4843999999999998E-2</v>
      </c>
      <c r="L406" s="8">
        <v>4.3317000000000001E-2</v>
      </c>
      <c r="M406" s="8">
        <v>3.1562E-2</v>
      </c>
      <c r="N406" s="8">
        <v>9.1480000000000006E-2</v>
      </c>
      <c r="O406" s="8">
        <v>2.4922E-2</v>
      </c>
      <c r="P406" s="8">
        <v>-0.10338</v>
      </c>
      <c r="Q406" s="8">
        <v>2.5033E-2</v>
      </c>
      <c r="R406" s="8">
        <v>-4.8434000000000003E-3</v>
      </c>
      <c r="S406" s="8">
        <v>3.7924999999999999E-3</v>
      </c>
      <c r="T406" s="8">
        <v>-9.1454000000000004E-4</v>
      </c>
      <c r="U406" s="8">
        <v>-1.0707E-2</v>
      </c>
      <c r="V406" s="8">
        <v>1.3274999999999999E-3</v>
      </c>
      <c r="W406" s="8">
        <v>1.3978E-3</v>
      </c>
      <c r="X406" s="8">
        <v>4.9817000000000004E-3</v>
      </c>
      <c r="Y406" s="8">
        <v>4.4288000000000001E-3</v>
      </c>
    </row>
    <row r="407" spans="1:25" x14ac:dyDescent="0.25">
      <c r="A407" s="30" t="s">
        <v>241</v>
      </c>
      <c r="B407" s="12">
        <v>1.216</v>
      </c>
      <c r="C407" s="12">
        <v>1.8919999999999999</v>
      </c>
      <c r="D407" s="8">
        <v>-0.46911000000000003</v>
      </c>
      <c r="E407" s="8">
        <v>0.48354000000000003</v>
      </c>
      <c r="F407" s="8">
        <v>0.19472</v>
      </c>
      <c r="G407" s="8">
        <v>-0.29975000000000002</v>
      </c>
      <c r="H407" s="8">
        <v>-0.57843999999999995</v>
      </c>
      <c r="I407" s="8">
        <v>-7.5051999999999994E-2</v>
      </c>
      <c r="J407" s="8">
        <v>0.30024000000000001</v>
      </c>
      <c r="K407" s="8">
        <v>-5.9239E-2</v>
      </c>
      <c r="L407" s="8">
        <v>-9.9603999999999998E-2</v>
      </c>
      <c r="M407" s="8">
        <v>0.21747</v>
      </c>
      <c r="N407" s="8">
        <v>9.7545999999999994E-2</v>
      </c>
      <c r="O407" s="8">
        <v>6.6161999999999999E-2</v>
      </c>
      <c r="P407" s="8">
        <v>6.3936000000000007E-2</v>
      </c>
      <c r="Q407" s="8">
        <v>9.1189999999999993E-2</v>
      </c>
      <c r="R407" s="8">
        <v>-1.6458E-2</v>
      </c>
      <c r="S407" s="8">
        <v>-1.2767000000000001E-2</v>
      </c>
      <c r="T407" s="8">
        <v>4.0120000000000003E-2</v>
      </c>
      <c r="U407" s="8">
        <v>-2.1656000000000002E-2</v>
      </c>
      <c r="V407" s="8">
        <v>-5.8931000000000001E-3</v>
      </c>
      <c r="W407" s="8">
        <v>4.4234000000000001E-3</v>
      </c>
      <c r="X407" s="8">
        <v>9.5723000000000006E-3</v>
      </c>
      <c r="Y407" s="8">
        <v>8.0891000000000003E-4</v>
      </c>
    </row>
    <row r="408" spans="1:25" x14ac:dyDescent="0.25">
      <c r="A408" s="30" t="s">
        <v>242</v>
      </c>
      <c r="B408" s="12">
        <v>1.1658999999999999</v>
      </c>
      <c r="C408" s="12">
        <v>1.8360000000000001</v>
      </c>
      <c r="D408" s="8">
        <v>-0.50409999999999999</v>
      </c>
      <c r="E408" s="8">
        <v>0.60160999999999998</v>
      </c>
      <c r="F408" s="8">
        <v>-3.4791999999999997E-2</v>
      </c>
      <c r="G408" s="8">
        <v>-0.77605999999999997</v>
      </c>
      <c r="H408" s="8">
        <v>-0.56750999999999996</v>
      </c>
      <c r="I408" s="8">
        <v>0.32979999999999998</v>
      </c>
      <c r="J408" s="8">
        <v>0.26769999999999999</v>
      </c>
      <c r="K408" s="8">
        <v>0.22059999999999999</v>
      </c>
      <c r="L408" s="8">
        <v>9.8776000000000003E-2</v>
      </c>
      <c r="M408" s="8">
        <v>3.3860000000000001E-2</v>
      </c>
      <c r="N408" s="8">
        <v>1.601E-2</v>
      </c>
      <c r="O408" s="8">
        <v>-6.0826999999999999E-2</v>
      </c>
      <c r="P408" s="8">
        <v>-4.0709000000000002E-2</v>
      </c>
      <c r="Q408" s="8">
        <v>1.3738E-2</v>
      </c>
      <c r="R408" s="8">
        <v>1.8804999999999999E-2</v>
      </c>
      <c r="S408" s="8">
        <v>-1.1533E-2</v>
      </c>
      <c r="T408" s="8">
        <v>-2.9904E-2</v>
      </c>
      <c r="U408" s="8">
        <v>-1.8216E-3</v>
      </c>
      <c r="V408" s="8">
        <v>3.6392999999999998E-3</v>
      </c>
      <c r="W408" s="8">
        <v>-3.6933000000000001E-3</v>
      </c>
      <c r="X408" s="8">
        <v>-6.3797000000000003E-3</v>
      </c>
      <c r="Y408" s="8">
        <v>1.1006E-3</v>
      </c>
    </row>
    <row r="409" spans="1:25" x14ac:dyDescent="0.25">
      <c r="A409" s="30" t="s">
        <v>243</v>
      </c>
      <c r="B409" s="12">
        <v>1.3294999999999999</v>
      </c>
      <c r="C409" s="12">
        <v>1.7798</v>
      </c>
      <c r="D409" s="8">
        <v>-0.38</v>
      </c>
      <c r="E409" s="8">
        <v>0.19283</v>
      </c>
      <c r="F409" s="8">
        <v>0.85133999999999999</v>
      </c>
      <c r="G409" s="8">
        <v>-0.42462</v>
      </c>
      <c r="H409" s="8">
        <v>-8.5623000000000005E-2</v>
      </c>
      <c r="I409" s="8">
        <v>-9.1571E-2</v>
      </c>
      <c r="J409" s="8">
        <v>6.9855E-2</v>
      </c>
      <c r="K409" s="8">
        <v>-0.17579</v>
      </c>
      <c r="L409" s="8">
        <v>-1.193E-2</v>
      </c>
      <c r="M409" s="8">
        <v>-5.4757E-2</v>
      </c>
      <c r="N409" s="8">
        <v>7.4509000000000006E-2</v>
      </c>
      <c r="O409" s="8">
        <v>-4.6607999999999997E-2</v>
      </c>
      <c r="P409" s="8">
        <v>-4.8818E-2</v>
      </c>
      <c r="Q409" s="8">
        <v>-2.3387999999999999E-2</v>
      </c>
      <c r="R409" s="8">
        <v>4.0490999999999999E-2</v>
      </c>
      <c r="S409" s="8">
        <v>-1.2073E-2</v>
      </c>
      <c r="T409" s="8">
        <v>-2.4951999999999998E-2</v>
      </c>
      <c r="U409" s="8">
        <v>-1.9116999999999999E-2</v>
      </c>
      <c r="V409" s="8">
        <v>1.2569E-2</v>
      </c>
      <c r="W409" s="8">
        <v>-1.1758999999999999E-3</v>
      </c>
      <c r="X409" s="8">
        <v>-2.5794000000000001E-4</v>
      </c>
      <c r="Y409" s="8">
        <v>-3.9703999999999998E-3</v>
      </c>
    </row>
    <row r="410" spans="1:25" x14ac:dyDescent="0.25">
      <c r="A410" s="30" t="s">
        <v>244</v>
      </c>
      <c r="B410" s="12">
        <v>1.2565999999999999</v>
      </c>
      <c r="C410" s="12">
        <v>1.8361000000000001</v>
      </c>
      <c r="D410" s="8">
        <v>-0.46489999999999998</v>
      </c>
      <c r="E410" s="8">
        <v>0.41826999999999998</v>
      </c>
      <c r="F410" s="8">
        <v>0.44213000000000002</v>
      </c>
      <c r="G410" s="8">
        <v>-0.45761000000000002</v>
      </c>
      <c r="H410" s="8">
        <v>-0.32812000000000002</v>
      </c>
      <c r="I410" s="8">
        <v>0.17627000000000001</v>
      </c>
      <c r="J410" s="8">
        <v>0.22356000000000001</v>
      </c>
      <c r="K410" s="8">
        <v>4.0271000000000001E-2</v>
      </c>
      <c r="L410" s="8">
        <v>0.13331999999999999</v>
      </c>
      <c r="M410" s="8">
        <v>-0.20277000000000001</v>
      </c>
      <c r="N410" s="8">
        <v>-3.0983E-2</v>
      </c>
      <c r="O410" s="8">
        <v>-5.7000000000000002E-2</v>
      </c>
      <c r="P410" s="8">
        <v>5.953E-2</v>
      </c>
      <c r="Q410" s="8">
        <v>2.3310999999999998E-2</v>
      </c>
      <c r="R410" s="8">
        <v>-1.2043E-2</v>
      </c>
      <c r="S410" s="8">
        <v>-4.3804999999999997E-2</v>
      </c>
      <c r="T410" s="8">
        <v>-1.9127000000000002E-2</v>
      </c>
      <c r="U410" s="8">
        <v>-3.9143999999999998E-2</v>
      </c>
      <c r="V410" s="8">
        <v>-6.5320999999999999E-3</v>
      </c>
      <c r="W410" s="8">
        <v>2.2794999999999998E-3</v>
      </c>
      <c r="X410" s="8">
        <v>3.9822E-3</v>
      </c>
      <c r="Y410" s="8">
        <v>9.1836000000000001E-4</v>
      </c>
    </row>
    <row r="411" spans="1:25" x14ac:dyDescent="0.25">
      <c r="A411" s="30" t="s">
        <v>245</v>
      </c>
      <c r="B411" s="12">
        <v>1.2786999999999999</v>
      </c>
      <c r="C411" s="12">
        <v>1.9114</v>
      </c>
      <c r="D411" s="8">
        <v>-0.49828</v>
      </c>
      <c r="E411" s="8">
        <v>0.48327999999999999</v>
      </c>
      <c r="F411" s="8">
        <v>0.5333</v>
      </c>
      <c r="G411" s="8">
        <v>-0.20469000000000001</v>
      </c>
      <c r="H411" s="8">
        <v>-0.31974000000000002</v>
      </c>
      <c r="I411" s="8">
        <v>0.41072999999999998</v>
      </c>
      <c r="J411" s="8">
        <v>0.37236000000000002</v>
      </c>
      <c r="K411" s="8">
        <v>0.16688</v>
      </c>
      <c r="L411" s="8">
        <v>0.12391000000000001</v>
      </c>
      <c r="M411" s="8">
        <v>-7.9500000000000001E-2</v>
      </c>
      <c r="N411" s="8">
        <v>5.9945999999999999E-2</v>
      </c>
      <c r="O411" s="8">
        <v>7.4933E-2</v>
      </c>
      <c r="P411" s="8">
        <v>3.7201999999999999E-2</v>
      </c>
      <c r="Q411" s="8">
        <v>-6.0576999999999999E-2</v>
      </c>
      <c r="R411" s="8">
        <v>-2.7817999999999999E-2</v>
      </c>
      <c r="S411" s="8">
        <v>1.8685E-2</v>
      </c>
      <c r="T411" s="8">
        <v>-2.2222000000000001E-3</v>
      </c>
      <c r="U411" s="8">
        <v>-1.5980999999999999E-2</v>
      </c>
      <c r="V411" s="8">
        <v>-1.0364E-2</v>
      </c>
      <c r="W411" s="8">
        <v>-8.5517000000000006E-3</v>
      </c>
      <c r="X411" s="8">
        <v>6.1879999999999999E-3</v>
      </c>
      <c r="Y411" s="8">
        <v>1.8320999999999999E-3</v>
      </c>
    </row>
    <row r="412" spans="1:25" x14ac:dyDescent="0.25">
      <c r="A412" s="30" t="s">
        <v>246</v>
      </c>
      <c r="B412" s="12">
        <v>1.2746999999999999</v>
      </c>
      <c r="C412" s="12">
        <v>1.9061999999999999</v>
      </c>
      <c r="D412" s="8">
        <v>-0.48759000000000002</v>
      </c>
      <c r="E412" s="8">
        <v>0.47200999999999999</v>
      </c>
      <c r="F412" s="8">
        <v>0.51648000000000005</v>
      </c>
      <c r="G412" s="8">
        <v>-0.26458999999999999</v>
      </c>
      <c r="H412" s="8">
        <v>-0.30376999999999998</v>
      </c>
      <c r="I412" s="8">
        <v>0.41607</v>
      </c>
      <c r="J412" s="8">
        <v>0.34944999999999998</v>
      </c>
      <c r="K412" s="8">
        <v>0.14241999999999999</v>
      </c>
      <c r="L412" s="8">
        <v>-7.6674000000000002E-4</v>
      </c>
      <c r="M412" s="8">
        <v>0.19014</v>
      </c>
      <c r="N412" s="8">
        <v>4.7114000000000003E-2</v>
      </c>
      <c r="O412" s="8">
        <v>-1.7644E-2</v>
      </c>
      <c r="P412" s="8">
        <v>-5.7514999999999997E-2</v>
      </c>
      <c r="Q412" s="8">
        <v>4.6920999999999997E-2</v>
      </c>
      <c r="R412" s="8">
        <v>-4.7648000000000003E-2</v>
      </c>
      <c r="S412" s="8">
        <v>2.1505E-2</v>
      </c>
      <c r="T412" s="8">
        <v>-3.0512999999999998E-2</v>
      </c>
      <c r="U412" s="8">
        <v>-1.7912999999999998E-2</v>
      </c>
      <c r="V412" s="8">
        <v>-4.5630999999999996E-3</v>
      </c>
      <c r="W412" s="8">
        <v>1.5592000000000001E-4</v>
      </c>
      <c r="X412" s="8">
        <v>5.7432999999999998E-3</v>
      </c>
      <c r="Y412" s="8">
        <v>-1.2606E-3</v>
      </c>
    </row>
    <row r="413" spans="1:25" x14ac:dyDescent="0.25">
      <c r="A413" s="30" t="s">
        <v>247</v>
      </c>
      <c r="B413" s="12">
        <v>1.2950999999999999</v>
      </c>
      <c r="C413" s="12">
        <v>1.9349000000000001</v>
      </c>
      <c r="D413" s="8">
        <v>-0.49664000000000003</v>
      </c>
      <c r="E413" s="8">
        <v>0.46961999999999998</v>
      </c>
      <c r="F413" s="8">
        <v>0.61290999999999995</v>
      </c>
      <c r="G413" s="8">
        <v>-0.11149000000000001</v>
      </c>
      <c r="H413" s="8">
        <v>-0.27407999999999999</v>
      </c>
      <c r="I413" s="8">
        <v>0.46415000000000001</v>
      </c>
      <c r="J413" s="8">
        <v>0.39631</v>
      </c>
      <c r="K413" s="8">
        <v>0.14162</v>
      </c>
      <c r="L413" s="8">
        <v>2.2422999999999998E-2</v>
      </c>
      <c r="M413" s="8">
        <v>0.12997</v>
      </c>
      <c r="N413" s="8">
        <v>3.9708E-2</v>
      </c>
      <c r="O413" s="8">
        <v>6.2211000000000002E-3</v>
      </c>
      <c r="P413" s="8">
        <v>9.3227999999999991E-3</v>
      </c>
      <c r="Q413" s="8">
        <v>7.8552999999999998E-2</v>
      </c>
      <c r="R413" s="8">
        <v>-6.5998000000000003E-3</v>
      </c>
      <c r="S413" s="8">
        <v>3.9081999999999999E-2</v>
      </c>
      <c r="T413" s="8">
        <v>-2.2173999999999999E-2</v>
      </c>
      <c r="U413" s="8">
        <v>-5.6334000000000002E-3</v>
      </c>
      <c r="V413" s="8">
        <v>-1.5800000000000002E-2</v>
      </c>
      <c r="W413" s="8">
        <v>-2.4635E-3</v>
      </c>
      <c r="X413" s="8">
        <v>2.8411000000000002E-4</v>
      </c>
      <c r="Y413" s="8">
        <v>2.8081999999999998E-3</v>
      </c>
    </row>
    <row r="414" spans="1:25" x14ac:dyDescent="0.25">
      <c r="A414" s="30" t="s">
        <v>248</v>
      </c>
      <c r="B414" s="12">
        <v>1.2583</v>
      </c>
      <c r="C414" s="12">
        <v>1.9899</v>
      </c>
      <c r="D414" s="8">
        <v>-0.52332000000000001</v>
      </c>
      <c r="E414" s="8">
        <v>0.50417000000000001</v>
      </c>
      <c r="F414" s="8">
        <v>0.34867999999999999</v>
      </c>
      <c r="G414" s="8">
        <v>0.24518000000000001</v>
      </c>
      <c r="H414" s="8">
        <v>-0.55215999999999998</v>
      </c>
      <c r="I414" s="8">
        <v>-1.7531000000000001E-2</v>
      </c>
      <c r="J414" s="8">
        <v>0.45393</v>
      </c>
      <c r="K414" s="8">
        <v>-3.3654999999999997E-2</v>
      </c>
      <c r="L414" s="8">
        <v>0.10997999999999999</v>
      </c>
      <c r="M414" s="8">
        <v>-0.11595999999999999</v>
      </c>
      <c r="N414" s="8">
        <v>-8.0836000000000005E-2</v>
      </c>
      <c r="O414" s="8">
        <v>-9.7380999999999995E-2</v>
      </c>
      <c r="P414" s="8">
        <v>-1.5904999999999999E-2</v>
      </c>
      <c r="Q414" s="8">
        <v>3.6940000000000001E-2</v>
      </c>
      <c r="R414" s="8">
        <v>2.0931999999999999E-3</v>
      </c>
      <c r="S414" s="8">
        <v>-9.5827E-4</v>
      </c>
      <c r="T414" s="8">
        <v>-1.5658999999999999E-2</v>
      </c>
      <c r="U414" s="8">
        <v>2.5406000000000001E-3</v>
      </c>
      <c r="V414" s="8">
        <v>-2.1270000000000001E-2</v>
      </c>
      <c r="W414" s="8">
        <v>5.5497000000000003E-3</v>
      </c>
      <c r="X414" s="8">
        <v>5.4618000000000002E-3</v>
      </c>
      <c r="Y414" s="8">
        <v>2.0462E-4</v>
      </c>
    </row>
    <row r="415" spans="1:25" x14ac:dyDescent="0.25">
      <c r="A415" s="30" t="s">
        <v>249</v>
      </c>
      <c r="B415" s="12">
        <v>1.3018000000000001</v>
      </c>
      <c r="C415" s="12">
        <v>2.0028999999999999</v>
      </c>
      <c r="D415" s="8">
        <v>-0.49515999999999999</v>
      </c>
      <c r="E415" s="8">
        <v>0.41757</v>
      </c>
      <c r="F415" s="8">
        <v>0.57850999999999997</v>
      </c>
      <c r="G415" s="8">
        <v>0.43367</v>
      </c>
      <c r="H415" s="8">
        <v>-0.46862999999999999</v>
      </c>
      <c r="I415" s="8">
        <v>-0.12364</v>
      </c>
      <c r="J415" s="8">
        <v>0.46819</v>
      </c>
      <c r="K415" s="8">
        <v>-0.12401</v>
      </c>
      <c r="L415" s="8">
        <v>1.7654E-2</v>
      </c>
      <c r="M415" s="8">
        <v>3.0352000000000001E-2</v>
      </c>
      <c r="N415" s="8">
        <v>-4.7102999999999999E-2</v>
      </c>
      <c r="O415" s="8">
        <v>2.1357999999999999E-2</v>
      </c>
      <c r="P415" s="8">
        <v>1.2985E-2</v>
      </c>
      <c r="Q415" s="8">
        <v>-4.7759000000000003E-2</v>
      </c>
      <c r="R415" s="8">
        <v>-6.5461000000000005E-2</v>
      </c>
      <c r="S415" s="8">
        <v>-5.5995999999999997E-2</v>
      </c>
      <c r="T415" s="8">
        <v>3.1832000000000002E-3</v>
      </c>
      <c r="U415" s="8">
        <v>3.2999000000000001E-2</v>
      </c>
      <c r="V415" s="8">
        <v>-2.1497999999999999E-3</v>
      </c>
      <c r="W415" s="8">
        <v>1.1752E-2</v>
      </c>
      <c r="X415" s="8">
        <v>2.2201999999999999E-3</v>
      </c>
      <c r="Y415" s="8">
        <v>-4.3759999999999997E-3</v>
      </c>
    </row>
    <row r="416" spans="1:25" x14ac:dyDescent="0.25">
      <c r="A416" s="30" t="s">
        <v>250</v>
      </c>
      <c r="B416" s="12">
        <v>1.2538</v>
      </c>
      <c r="C416" s="12">
        <v>1.8392999999999999</v>
      </c>
      <c r="D416" s="8">
        <v>-0.45012999999999997</v>
      </c>
      <c r="E416" s="8">
        <v>0.40056000000000003</v>
      </c>
      <c r="F416" s="8">
        <v>0.42477999999999999</v>
      </c>
      <c r="G416" s="8">
        <v>-0.45240999999999998</v>
      </c>
      <c r="H416" s="8">
        <v>-0.34004000000000001</v>
      </c>
      <c r="I416" s="8">
        <v>0.10133</v>
      </c>
      <c r="J416" s="8">
        <v>0.2281</v>
      </c>
      <c r="K416" s="8">
        <v>3.5858999999999999E-3</v>
      </c>
      <c r="L416" s="8">
        <v>1.0251E-2</v>
      </c>
      <c r="M416" s="8">
        <v>0.11781</v>
      </c>
      <c r="N416" s="8">
        <v>-4.0166E-2</v>
      </c>
      <c r="O416" s="8">
        <v>-0.10244</v>
      </c>
      <c r="P416" s="8">
        <v>-4.4484000000000003E-2</v>
      </c>
      <c r="Q416" s="8">
        <v>-1.0475999999999999E-2</v>
      </c>
      <c r="R416" s="8">
        <v>1.358E-3</v>
      </c>
      <c r="S416" s="8">
        <v>2.7206999999999999E-2</v>
      </c>
      <c r="T416" s="8">
        <v>-2.5409999999999999E-2</v>
      </c>
      <c r="U416" s="8">
        <v>-2.3359999999999999E-2</v>
      </c>
      <c r="V416" s="8">
        <v>1.3154000000000001E-2</v>
      </c>
      <c r="W416" s="8">
        <v>4.7955999999999997E-3</v>
      </c>
      <c r="X416" s="8">
        <v>-2.5747000000000001E-3</v>
      </c>
      <c r="Y416" s="8">
        <v>-3.6310000000000001E-3</v>
      </c>
    </row>
    <row r="417" spans="1:25" x14ac:dyDescent="0.25">
      <c r="A417" s="30" t="s">
        <v>251</v>
      </c>
      <c r="B417" s="12">
        <v>1.0454000000000001</v>
      </c>
      <c r="C417" s="12">
        <v>-0.29237999999999997</v>
      </c>
      <c r="D417" s="8">
        <v>-1.3304</v>
      </c>
      <c r="E417" s="8">
        <v>7.3632000000000003E-2</v>
      </c>
      <c r="F417" s="8">
        <v>-0.21695999999999999</v>
      </c>
      <c r="G417" s="8">
        <v>0.10221</v>
      </c>
      <c r="H417" s="8">
        <v>0.56057999999999997</v>
      </c>
      <c r="I417" s="8">
        <v>7.2137000000000007E-2</v>
      </c>
      <c r="J417" s="8">
        <v>-0.14541999999999999</v>
      </c>
      <c r="K417" s="8">
        <v>-0.13202</v>
      </c>
      <c r="L417" s="8">
        <v>0.15339</v>
      </c>
      <c r="M417" s="8">
        <v>-3.0133E-2</v>
      </c>
      <c r="N417" s="8">
        <v>-0.12864999999999999</v>
      </c>
      <c r="O417" s="8">
        <v>2.1975000000000001E-2</v>
      </c>
      <c r="P417" s="8">
        <v>4.5754999999999997E-2</v>
      </c>
      <c r="Q417" s="8">
        <v>-4.3295E-3</v>
      </c>
      <c r="R417" s="8">
        <v>3.4136E-2</v>
      </c>
      <c r="S417" s="8">
        <v>-1.0836E-2</v>
      </c>
      <c r="T417" s="8">
        <v>4.4248999999999997E-2</v>
      </c>
      <c r="U417" s="8">
        <v>-2.154E-2</v>
      </c>
      <c r="V417" s="8">
        <v>-1.8658999999999999E-2</v>
      </c>
      <c r="W417" s="8">
        <v>-4.1895000000000002E-4</v>
      </c>
      <c r="X417" s="8">
        <v>5.7220999999999999E-3</v>
      </c>
      <c r="Y417" s="8">
        <v>2.7629999999999999E-4</v>
      </c>
    </row>
    <row r="418" spans="1:25" x14ac:dyDescent="0.25">
      <c r="A418" s="30" t="s">
        <v>252</v>
      </c>
      <c r="B418" s="12">
        <v>1.0141</v>
      </c>
      <c r="C418" s="12">
        <v>-0.24168999999999999</v>
      </c>
      <c r="D418" s="8">
        <v>-1.3399000000000001</v>
      </c>
      <c r="E418" s="8">
        <v>0.12495000000000001</v>
      </c>
      <c r="F418" s="8">
        <v>-0.42559999999999998</v>
      </c>
      <c r="G418" s="8">
        <v>0.31908999999999998</v>
      </c>
      <c r="H418" s="8">
        <v>0.32158999999999999</v>
      </c>
      <c r="I418" s="8">
        <v>-0.23075999999999999</v>
      </c>
      <c r="J418" s="8">
        <v>-0.10136000000000001</v>
      </c>
      <c r="K418" s="8">
        <v>-0.24281</v>
      </c>
      <c r="L418" s="8">
        <v>4.0863999999999998E-2</v>
      </c>
      <c r="M418" s="8">
        <v>4.3705000000000001E-2</v>
      </c>
      <c r="N418" s="8">
        <v>2.843E-2</v>
      </c>
      <c r="O418" s="8">
        <v>0.16128000000000001</v>
      </c>
      <c r="P418" s="8">
        <v>-1.1223E-2</v>
      </c>
      <c r="Q418" s="8">
        <v>4.9897999999999998E-2</v>
      </c>
      <c r="R418" s="8">
        <v>-6.3611000000000001E-2</v>
      </c>
      <c r="S418" s="8">
        <v>1.6626999999999999E-2</v>
      </c>
      <c r="T418" s="8">
        <v>3.7342E-3</v>
      </c>
      <c r="U418" s="8">
        <v>-3.4529000000000001E-3</v>
      </c>
      <c r="V418" s="8">
        <v>-2.3491000000000001E-2</v>
      </c>
      <c r="W418" s="8">
        <v>-2.6028000000000002E-3</v>
      </c>
      <c r="X418" s="8">
        <v>4.0490999999999999E-3</v>
      </c>
      <c r="Y418" s="8">
        <v>-1.8563E-4</v>
      </c>
    </row>
    <row r="419" spans="1:25" x14ac:dyDescent="0.25">
      <c r="A419" s="30" t="s">
        <v>253</v>
      </c>
      <c r="B419" s="12">
        <v>0.98629999999999995</v>
      </c>
      <c r="C419" s="12">
        <v>-0.38058999999999998</v>
      </c>
      <c r="D419" s="8">
        <v>-1.3219000000000001</v>
      </c>
      <c r="E419" s="8">
        <v>0.14005000000000001</v>
      </c>
      <c r="F419" s="8">
        <v>-0.46801999999999999</v>
      </c>
      <c r="G419" s="8">
        <v>-0.49691000000000002</v>
      </c>
      <c r="H419" s="8">
        <v>0.52253000000000005</v>
      </c>
      <c r="I419" s="8">
        <v>0.26066</v>
      </c>
      <c r="J419" s="8">
        <v>-0.24118000000000001</v>
      </c>
      <c r="K419" s="8">
        <v>3.1757000000000001E-2</v>
      </c>
      <c r="L419" s="8">
        <v>0.16108</v>
      </c>
      <c r="M419" s="8">
        <v>4.6982000000000003E-2</v>
      </c>
      <c r="N419" s="8">
        <v>-0.14749999999999999</v>
      </c>
      <c r="O419" s="8">
        <v>5.6839000000000001E-2</v>
      </c>
      <c r="P419" s="8">
        <v>-8.8418999999999998E-2</v>
      </c>
      <c r="Q419" s="8">
        <v>1.1573E-2</v>
      </c>
      <c r="R419" s="8">
        <v>4.0112000000000002E-2</v>
      </c>
      <c r="S419" s="8">
        <v>-7.9352999999999993E-3</v>
      </c>
      <c r="T419" s="8">
        <v>2.5196E-2</v>
      </c>
      <c r="U419" s="8">
        <v>-4.8583000000000003E-3</v>
      </c>
      <c r="V419" s="8">
        <v>1.6269E-4</v>
      </c>
      <c r="W419" s="8">
        <v>-2.0427000000000002E-3</v>
      </c>
      <c r="X419" s="8">
        <v>2.3841000000000001E-3</v>
      </c>
      <c r="Y419" s="8">
        <v>-1.2846000000000001E-3</v>
      </c>
    </row>
    <row r="420" spans="1:25" x14ac:dyDescent="0.25">
      <c r="A420" s="30" t="s">
        <v>254</v>
      </c>
      <c r="B420" s="12">
        <v>0.98473999999999995</v>
      </c>
      <c r="C420" s="12">
        <v>-0.27864</v>
      </c>
      <c r="D420" s="8">
        <v>-1.3720000000000001</v>
      </c>
      <c r="E420" s="8">
        <v>0.21878</v>
      </c>
      <c r="F420" s="8">
        <v>-0.55228999999999995</v>
      </c>
      <c r="G420" s="8">
        <v>-7.1555999999999995E-2</v>
      </c>
      <c r="H420" s="8">
        <v>0.40759000000000001</v>
      </c>
      <c r="I420" s="8">
        <v>0.23869000000000001</v>
      </c>
      <c r="J420" s="8">
        <v>-0.13228000000000001</v>
      </c>
      <c r="K420" s="8">
        <v>-1.8236999999999999E-3</v>
      </c>
      <c r="L420" s="8">
        <v>0.14247000000000001</v>
      </c>
      <c r="M420" s="8">
        <v>2.562E-2</v>
      </c>
      <c r="N420" s="8">
        <v>1.1975E-2</v>
      </c>
      <c r="O420" s="8">
        <v>-5.8300999999999999E-2</v>
      </c>
      <c r="P420" s="8">
        <v>-1.0355E-2</v>
      </c>
      <c r="Q420" s="8">
        <v>0.10065</v>
      </c>
      <c r="R420" s="8">
        <v>2.5964000000000001E-2</v>
      </c>
      <c r="S420" s="8">
        <v>-2.4969999999999999E-2</v>
      </c>
      <c r="T420" s="8">
        <v>1.8141000000000001E-2</v>
      </c>
      <c r="U420" s="8">
        <v>-4.6087000000000003E-3</v>
      </c>
      <c r="V420" s="8">
        <v>2.7479000000000002E-3</v>
      </c>
      <c r="W420" s="8">
        <v>2.1765E-3</v>
      </c>
      <c r="X420" s="8">
        <v>3.4757999999999998E-3</v>
      </c>
      <c r="Y420" s="8">
        <v>-4.7949000000000001E-4</v>
      </c>
    </row>
    <row r="421" spans="1:25" x14ac:dyDescent="0.25">
      <c r="A421" s="30" t="s">
        <v>255</v>
      </c>
      <c r="B421" s="12">
        <v>0.97924999999999995</v>
      </c>
      <c r="C421" s="12">
        <v>-0.28167999999999999</v>
      </c>
      <c r="D421" s="8">
        <v>-1.3902000000000001</v>
      </c>
      <c r="E421" s="8">
        <v>0.27148</v>
      </c>
      <c r="F421" s="8">
        <v>-0.56755</v>
      </c>
      <c r="G421" s="8">
        <v>-0.18601999999999999</v>
      </c>
      <c r="H421" s="8">
        <v>0.44407000000000002</v>
      </c>
      <c r="I421" s="8">
        <v>0.48596</v>
      </c>
      <c r="J421" s="8">
        <v>-0.10357</v>
      </c>
      <c r="K421" s="8">
        <v>0.13988999999999999</v>
      </c>
      <c r="L421" s="8">
        <v>0.20227000000000001</v>
      </c>
      <c r="M421" s="8">
        <v>-4.0086000000000002E-3</v>
      </c>
      <c r="N421" s="8">
        <v>3.4169999999999999E-2</v>
      </c>
      <c r="O421" s="8">
        <v>-2.4844999999999999E-2</v>
      </c>
      <c r="P421" s="8">
        <v>3.1099999999999999E-2</v>
      </c>
      <c r="Q421" s="8">
        <v>3.3791000000000002E-2</v>
      </c>
      <c r="R421" s="8">
        <v>-3.1884000000000003E-2</v>
      </c>
      <c r="S421" s="8">
        <v>3.1524999999999997E-2</v>
      </c>
      <c r="T421" s="8">
        <v>4.9535999999999998E-3</v>
      </c>
      <c r="U421" s="8">
        <v>-6.2595000000000003E-3</v>
      </c>
      <c r="V421" s="8">
        <v>7.0860000000000003E-3</v>
      </c>
      <c r="W421" s="8">
        <v>1.3022000000000001E-3</v>
      </c>
      <c r="X421" s="8">
        <v>-4.7635000000000004E-3</v>
      </c>
      <c r="Y421" s="8">
        <v>-4.0124999999999996E-3</v>
      </c>
    </row>
    <row r="422" spans="1:25" x14ac:dyDescent="0.25">
      <c r="A422" s="30" t="s">
        <v>256</v>
      </c>
      <c r="B422" s="12">
        <v>1.0015000000000001</v>
      </c>
      <c r="C422" s="12">
        <v>-0.39600000000000002</v>
      </c>
      <c r="D422" s="8">
        <v>-1.3157000000000001</v>
      </c>
      <c r="E422" s="8">
        <v>0.11183999999999999</v>
      </c>
      <c r="F422" s="8">
        <v>-0.37730999999999998</v>
      </c>
      <c r="G422" s="8">
        <v>-0.53181999999999996</v>
      </c>
      <c r="H422" s="8">
        <v>0.60877999999999999</v>
      </c>
      <c r="I422" s="8">
        <v>0.32769999999999999</v>
      </c>
      <c r="J422" s="8">
        <v>-0.26205000000000001</v>
      </c>
      <c r="K422" s="8">
        <v>4.5463000000000003E-2</v>
      </c>
      <c r="L422" s="8">
        <v>0.19524</v>
      </c>
      <c r="M422" s="8">
        <v>1.4464E-3</v>
      </c>
      <c r="N422" s="8">
        <v>-0.15185000000000001</v>
      </c>
      <c r="O422" s="8">
        <v>2.5312999999999999E-2</v>
      </c>
      <c r="P422" s="8">
        <v>-1.7232999999999998E-2</v>
      </c>
      <c r="Q422" s="8">
        <v>-5.3357000000000002E-2</v>
      </c>
      <c r="R422" s="8">
        <v>1.2933999999999999E-2</v>
      </c>
      <c r="S422" s="8">
        <v>-2.2550000000000001E-2</v>
      </c>
      <c r="T422" s="8">
        <v>7.1558000000000004E-3</v>
      </c>
      <c r="U422" s="8">
        <v>5.6534000000000003E-3</v>
      </c>
      <c r="V422" s="8">
        <v>-5.9500000000000004E-3</v>
      </c>
      <c r="W422" s="8">
        <v>7.4139000000000002E-3</v>
      </c>
      <c r="X422" s="8">
        <v>8.5757000000000003E-3</v>
      </c>
      <c r="Y422" s="8">
        <v>-3.0714000000000002E-3</v>
      </c>
    </row>
    <row r="423" spans="1:25" x14ac:dyDescent="0.25">
      <c r="A423" s="30" t="s">
        <v>257</v>
      </c>
      <c r="B423" s="12">
        <v>0.93125999999999998</v>
      </c>
      <c r="C423" s="12">
        <v>-0.40416999999999997</v>
      </c>
      <c r="D423" s="8">
        <v>-1.3099000000000001</v>
      </c>
      <c r="E423" s="8">
        <v>0.15681999999999999</v>
      </c>
      <c r="F423" s="8">
        <v>-0.77356000000000003</v>
      </c>
      <c r="G423" s="8">
        <v>-0.57325999999999999</v>
      </c>
      <c r="H423" s="8">
        <v>0.29429</v>
      </c>
      <c r="I423" s="8">
        <v>-0.14990999999999999</v>
      </c>
      <c r="J423" s="8">
        <v>-0.33084999999999998</v>
      </c>
      <c r="K423" s="8">
        <v>-0.1298</v>
      </c>
      <c r="L423" s="8">
        <v>0.11187999999999999</v>
      </c>
      <c r="M423" s="8">
        <v>-7.4921000000000001E-2</v>
      </c>
      <c r="N423" s="8">
        <v>-1.4363000000000001E-2</v>
      </c>
      <c r="O423" s="8">
        <v>9.2717999999999995E-2</v>
      </c>
      <c r="P423" s="8">
        <v>-4.6718000000000003E-2</v>
      </c>
      <c r="Q423" s="8">
        <v>7.0888000000000007E-2</v>
      </c>
      <c r="R423" s="8">
        <v>-6.0766000000000001E-2</v>
      </c>
      <c r="S423" s="8">
        <v>1.2552000000000001E-2</v>
      </c>
      <c r="T423" s="8">
        <v>-1.7277000000000001E-2</v>
      </c>
      <c r="U423" s="8">
        <v>-1.5906E-2</v>
      </c>
      <c r="V423" s="8">
        <v>-7.6530000000000001E-3</v>
      </c>
      <c r="W423" s="8">
        <v>6.8796999999999999E-4</v>
      </c>
      <c r="X423" s="8">
        <v>-9.7333000000000003E-3</v>
      </c>
      <c r="Y423" s="8">
        <v>-5.2141000000000002E-3</v>
      </c>
    </row>
    <row r="424" spans="1:25" x14ac:dyDescent="0.25">
      <c r="A424" s="30" t="s">
        <v>258</v>
      </c>
      <c r="B424" s="12">
        <v>0.97809999999999997</v>
      </c>
      <c r="C424" s="12">
        <v>-0.21890999999999999</v>
      </c>
      <c r="D424" s="8">
        <v>-1.4067000000000001</v>
      </c>
      <c r="E424" s="8">
        <v>0.29249000000000003</v>
      </c>
      <c r="F424" s="8">
        <v>-0.61443999999999999</v>
      </c>
      <c r="G424" s="8">
        <v>0.13145999999999999</v>
      </c>
      <c r="H424" s="8">
        <v>0.32439000000000001</v>
      </c>
      <c r="I424" s="8">
        <v>0.31419999999999998</v>
      </c>
      <c r="J424" s="8">
        <v>-6.4006000000000002E-3</v>
      </c>
      <c r="K424" s="8">
        <v>5.3837999999999997E-2</v>
      </c>
      <c r="L424" s="8">
        <v>0.15956000000000001</v>
      </c>
      <c r="M424" s="8">
        <v>7.4410000000000004E-2</v>
      </c>
      <c r="N424" s="8">
        <v>-1.9598000000000001E-2</v>
      </c>
      <c r="O424" s="8">
        <v>-8.9104000000000006E-3</v>
      </c>
      <c r="P424" s="8">
        <v>7.4407000000000001E-2</v>
      </c>
      <c r="Q424" s="8">
        <v>3.2833000000000001E-2</v>
      </c>
      <c r="R424" s="8">
        <v>-5.0741000000000001E-2</v>
      </c>
      <c r="S424" s="8">
        <v>1.5502999999999999E-2</v>
      </c>
      <c r="T424" s="8">
        <v>-1.9730999999999999E-2</v>
      </c>
      <c r="U424" s="8">
        <v>5.4371000000000003E-3</v>
      </c>
      <c r="V424" s="8">
        <v>-7.9964999999999995E-4</v>
      </c>
      <c r="W424" s="8">
        <v>-1.4832999999999999E-3</v>
      </c>
      <c r="X424" s="8">
        <v>-9.7733999999999998E-3</v>
      </c>
      <c r="Y424" s="8">
        <v>-3.3379E-3</v>
      </c>
    </row>
    <row r="425" spans="1:25" x14ac:dyDescent="0.25">
      <c r="A425" s="30" t="s">
        <v>259</v>
      </c>
      <c r="B425" s="12">
        <v>0.98897000000000002</v>
      </c>
      <c r="C425" s="12">
        <v>-0.30368000000000001</v>
      </c>
      <c r="D425" s="8">
        <v>-1.355</v>
      </c>
      <c r="E425" s="8">
        <v>0.18138000000000001</v>
      </c>
      <c r="F425" s="8">
        <v>-0.51637</v>
      </c>
      <c r="G425" s="8">
        <v>-0.11236</v>
      </c>
      <c r="H425" s="8">
        <v>0.41647000000000001</v>
      </c>
      <c r="I425" s="8">
        <v>0.13864000000000001</v>
      </c>
      <c r="J425" s="8">
        <v>-0.14968000000000001</v>
      </c>
      <c r="K425" s="8">
        <v>-1.9199000000000001E-2</v>
      </c>
      <c r="L425" s="8">
        <v>0.18951999999999999</v>
      </c>
      <c r="M425" s="8">
        <v>-3.9389E-2</v>
      </c>
      <c r="N425" s="8">
        <v>-4.5253000000000002E-2</v>
      </c>
      <c r="O425" s="8">
        <v>2.3817999999999999E-2</v>
      </c>
      <c r="P425" s="8">
        <v>-3.8629999999999998E-2</v>
      </c>
      <c r="Q425" s="8">
        <v>-6.4645999999999995E-2</v>
      </c>
      <c r="R425" s="8">
        <v>1.6076E-2</v>
      </c>
      <c r="S425" s="8">
        <v>-2.2870000000000001E-2</v>
      </c>
      <c r="T425" s="8">
        <v>7.0793999999999996E-3</v>
      </c>
      <c r="U425" s="8">
        <v>2.3823E-4</v>
      </c>
      <c r="V425" s="8">
        <v>-4.8728E-3</v>
      </c>
      <c r="W425" s="8">
        <v>3.6828E-3</v>
      </c>
      <c r="X425" s="8">
        <v>8.2707000000000006E-3</v>
      </c>
      <c r="Y425" s="8">
        <v>1.4403E-3</v>
      </c>
    </row>
    <row r="426" spans="1:25" x14ac:dyDescent="0.25">
      <c r="A426" s="30" t="s">
        <v>260</v>
      </c>
      <c r="B426" s="12">
        <v>1.0476000000000001</v>
      </c>
      <c r="C426" s="12">
        <v>-0.37386999999999998</v>
      </c>
      <c r="D426" s="8">
        <v>-1.2853000000000001</v>
      </c>
      <c r="E426" s="8">
        <v>-6.9034999999999999E-3</v>
      </c>
      <c r="F426" s="8">
        <v>-0.17054</v>
      </c>
      <c r="G426" s="8">
        <v>-0.20080000000000001</v>
      </c>
      <c r="H426" s="8">
        <v>0.66032000000000002</v>
      </c>
      <c r="I426" s="8">
        <v>-4.0721000000000004E-3</v>
      </c>
      <c r="J426" s="8">
        <v>-0.32513999999999998</v>
      </c>
      <c r="K426" s="8">
        <v>-0.19189999999999999</v>
      </c>
      <c r="L426" s="8">
        <v>0.10462</v>
      </c>
      <c r="M426" s="8">
        <v>-7.4248999999999996E-2</v>
      </c>
      <c r="N426" s="8">
        <v>3.8130999999999998E-2</v>
      </c>
      <c r="O426" s="8">
        <v>-1.4486E-3</v>
      </c>
      <c r="P426" s="8">
        <v>-7.3788999999999999E-3</v>
      </c>
      <c r="Q426" s="8">
        <v>2.8916000000000001E-2</v>
      </c>
      <c r="R426" s="8">
        <v>-6.6343000000000001E-3</v>
      </c>
      <c r="S426" s="8">
        <v>-1.1291000000000001E-2</v>
      </c>
      <c r="T426" s="8">
        <v>-1.0527999999999999E-2</v>
      </c>
      <c r="U426" s="8">
        <v>-1.2648E-2</v>
      </c>
      <c r="V426" s="8">
        <v>-8.4913999999999996E-3</v>
      </c>
      <c r="W426" s="8">
        <v>3.0528E-3</v>
      </c>
      <c r="X426" s="8">
        <v>-5.1977999999999996E-4</v>
      </c>
      <c r="Y426" s="8">
        <v>-1.0143000000000001E-3</v>
      </c>
    </row>
    <row r="427" spans="1:25" x14ac:dyDescent="0.25">
      <c r="A427" s="30" t="s">
        <v>261</v>
      </c>
      <c r="B427" s="12">
        <v>0.92849999999999999</v>
      </c>
      <c r="C427" s="12">
        <v>-0.31684000000000001</v>
      </c>
      <c r="D427" s="8">
        <v>-1.3638999999999999</v>
      </c>
      <c r="E427" s="8">
        <v>0.26200000000000001</v>
      </c>
      <c r="F427" s="8">
        <v>-0.83106999999999998</v>
      </c>
      <c r="G427" s="8">
        <v>-0.29472999999999999</v>
      </c>
      <c r="H427" s="8">
        <v>0.21995999999999999</v>
      </c>
      <c r="I427" s="8">
        <v>3.6495E-2</v>
      </c>
      <c r="J427" s="8">
        <v>-0.15984999999999999</v>
      </c>
      <c r="K427" s="8">
        <v>-1.4239999999999999E-2</v>
      </c>
      <c r="L427" s="8">
        <v>0.15268000000000001</v>
      </c>
      <c r="M427" s="8">
        <v>2.2242E-3</v>
      </c>
      <c r="N427" s="8">
        <v>-3.1252000000000002E-2</v>
      </c>
      <c r="O427" s="8">
        <v>7.7292E-2</v>
      </c>
      <c r="P427" s="8">
        <v>-1.9342999999999999E-2</v>
      </c>
      <c r="Q427" s="8">
        <v>4.1203999999999998E-3</v>
      </c>
      <c r="R427" s="8">
        <v>-1.7314E-2</v>
      </c>
      <c r="S427" s="8">
        <v>2.7005000000000001E-2</v>
      </c>
      <c r="T427" s="8">
        <v>1.4907E-2</v>
      </c>
      <c r="U427" s="8">
        <v>-8.9624000000000006E-3</v>
      </c>
      <c r="V427" s="8">
        <v>4.5151999999999996E-3</v>
      </c>
      <c r="W427" s="8">
        <v>-3.9677000000000002E-3</v>
      </c>
      <c r="X427" s="8">
        <v>-4.9389000000000004E-3</v>
      </c>
      <c r="Y427" s="8">
        <v>-1.0769E-3</v>
      </c>
    </row>
    <row r="428" spans="1:25" x14ac:dyDescent="0.25">
      <c r="A428" s="30" t="s">
        <v>262</v>
      </c>
      <c r="B428" s="12">
        <v>0.90808</v>
      </c>
      <c r="C428" s="12">
        <v>-0.38551000000000002</v>
      </c>
      <c r="D428" s="8">
        <v>-1.3188</v>
      </c>
      <c r="E428" s="8">
        <v>0.19708999999999999</v>
      </c>
      <c r="F428" s="8">
        <v>-0.91086999999999996</v>
      </c>
      <c r="G428" s="8">
        <v>-0.54330000000000001</v>
      </c>
      <c r="H428" s="8">
        <v>0.19517999999999999</v>
      </c>
      <c r="I428" s="8">
        <v>-0.21579000000000001</v>
      </c>
      <c r="J428" s="8">
        <v>-0.30036000000000002</v>
      </c>
      <c r="K428" s="8">
        <v>-0.14882000000000001</v>
      </c>
      <c r="L428" s="8">
        <v>6.0545000000000002E-2</v>
      </c>
      <c r="M428" s="8">
        <v>6.2123999999999999E-2</v>
      </c>
      <c r="N428" s="8">
        <v>1.7659999999999999E-2</v>
      </c>
      <c r="O428" s="8">
        <v>7.0680000000000007E-2</v>
      </c>
      <c r="P428" s="8">
        <v>8.2065999999999997E-4</v>
      </c>
      <c r="Q428" s="8">
        <v>5.1489E-2</v>
      </c>
      <c r="R428" s="8">
        <v>-4.7292000000000002E-3</v>
      </c>
      <c r="S428" s="8">
        <v>2.0826999999999998E-2</v>
      </c>
      <c r="T428" s="8">
        <v>-7.1932999999999997E-3</v>
      </c>
      <c r="U428" s="8">
        <v>-5.8760000000000001E-3</v>
      </c>
      <c r="V428" s="8">
        <v>-1.2461E-2</v>
      </c>
      <c r="W428" s="8">
        <v>-4.6299999999999996E-3</v>
      </c>
      <c r="X428" s="8">
        <v>-3.0062999999999999E-3</v>
      </c>
      <c r="Y428" s="8">
        <v>5.9831999999999995E-4</v>
      </c>
    </row>
    <row r="429" spans="1:25" x14ac:dyDescent="0.25">
      <c r="A429" s="30" t="s">
        <v>263</v>
      </c>
      <c r="B429" s="12">
        <v>0.98043000000000002</v>
      </c>
      <c r="C429" s="12">
        <v>-0.23099</v>
      </c>
      <c r="D429" s="8">
        <v>-1.3937999999999999</v>
      </c>
      <c r="E429" s="8">
        <v>0.26711000000000001</v>
      </c>
      <c r="F429" s="8">
        <v>-0.60141999999999995</v>
      </c>
      <c r="G429" s="8">
        <v>0.11118</v>
      </c>
      <c r="H429" s="8">
        <v>0.32678000000000001</v>
      </c>
      <c r="I429" s="8">
        <v>0.23436999999999999</v>
      </c>
      <c r="J429" s="8">
        <v>-4.0261999999999999E-2</v>
      </c>
      <c r="K429" s="8">
        <v>2.3425000000000001E-2</v>
      </c>
      <c r="L429" s="8">
        <v>0.14291000000000001</v>
      </c>
      <c r="M429" s="8">
        <v>8.2460000000000006E-2</v>
      </c>
      <c r="N429" s="8">
        <v>2.7049E-2</v>
      </c>
      <c r="O429" s="8">
        <v>4.3115999999999996E-3</v>
      </c>
      <c r="P429" s="8">
        <v>-1.5344E-2</v>
      </c>
      <c r="Q429" s="8">
        <v>8.8742999999999999E-3</v>
      </c>
      <c r="R429" s="8">
        <v>4.5443999999999997E-3</v>
      </c>
      <c r="S429" s="8">
        <v>-1.7596000000000001E-2</v>
      </c>
      <c r="T429" s="8">
        <v>-6.5703000000000003E-3</v>
      </c>
      <c r="U429" s="8">
        <v>1.6947E-2</v>
      </c>
      <c r="V429" s="8">
        <v>-8.2124999999999993E-3</v>
      </c>
      <c r="W429" s="8">
        <v>-3.3687999999999999E-3</v>
      </c>
      <c r="X429" s="8">
        <v>-1.7286999999999999E-3</v>
      </c>
      <c r="Y429" s="8">
        <v>-1.1203000000000001E-3</v>
      </c>
    </row>
    <row r="430" spans="1:25" x14ac:dyDescent="0.25">
      <c r="A430" s="30" t="s">
        <v>264</v>
      </c>
      <c r="B430" s="12">
        <v>0.96728000000000003</v>
      </c>
      <c r="C430" s="12">
        <v>-0.26857999999999999</v>
      </c>
      <c r="D430" s="8">
        <v>-1.3645</v>
      </c>
      <c r="E430" s="8">
        <v>0.21587999999999999</v>
      </c>
      <c r="F430" s="8">
        <v>-0.65286999999999995</v>
      </c>
      <c r="G430" s="8">
        <v>1.7576000000000001E-2</v>
      </c>
      <c r="H430" s="8">
        <v>0.27899000000000002</v>
      </c>
      <c r="I430" s="8">
        <v>-9.7804999999999993E-3</v>
      </c>
      <c r="J430" s="8">
        <v>-9.9637000000000003E-2</v>
      </c>
      <c r="K430" s="8">
        <v>-0.10301</v>
      </c>
      <c r="L430" s="8">
        <v>0.10192</v>
      </c>
      <c r="M430" s="8">
        <v>9.7531000000000007E-2</v>
      </c>
      <c r="N430" s="8">
        <v>-8.8234000000000007E-2</v>
      </c>
      <c r="O430" s="8">
        <v>1.5398E-2</v>
      </c>
      <c r="P430" s="8">
        <v>4.0243000000000001E-2</v>
      </c>
      <c r="Q430" s="8">
        <v>4.8852E-2</v>
      </c>
      <c r="R430" s="8">
        <v>1.4453000000000001E-2</v>
      </c>
      <c r="S430" s="8">
        <v>-2.6185000000000002E-3</v>
      </c>
      <c r="T430" s="8">
        <v>-1.6302000000000001E-2</v>
      </c>
      <c r="U430" s="8">
        <v>-1.7749E-3</v>
      </c>
      <c r="V430" s="8">
        <v>-2.0983000000000002E-2</v>
      </c>
      <c r="W430" s="8">
        <v>4.5123000000000003E-3</v>
      </c>
      <c r="X430" s="8">
        <v>4.7524999999999998E-4</v>
      </c>
      <c r="Y430" s="8">
        <v>1.6000000000000001E-3</v>
      </c>
    </row>
    <row r="431" spans="1:25" x14ac:dyDescent="0.25">
      <c r="A431" s="30" t="s">
        <v>265</v>
      </c>
      <c r="B431" s="12">
        <v>1.0412999999999999</v>
      </c>
      <c r="C431" s="12">
        <v>-0.33062000000000002</v>
      </c>
      <c r="D431" s="8">
        <v>-1.2908999999999999</v>
      </c>
      <c r="E431" s="8">
        <v>1.2044000000000001E-4</v>
      </c>
      <c r="F431" s="8">
        <v>-0.23877999999999999</v>
      </c>
      <c r="G431" s="8">
        <v>2.9633E-2</v>
      </c>
      <c r="H431" s="8">
        <v>0.55444000000000004</v>
      </c>
      <c r="I431" s="8">
        <v>-0.20285</v>
      </c>
      <c r="J431" s="8">
        <v>-0.27251999999999998</v>
      </c>
      <c r="K431" s="8">
        <v>-0.28956999999999999</v>
      </c>
      <c r="L431" s="8">
        <v>3.0082999999999999E-2</v>
      </c>
      <c r="M431" s="8">
        <v>6.3572000000000004E-2</v>
      </c>
      <c r="N431" s="8">
        <v>3.8911000000000001E-2</v>
      </c>
      <c r="O431" s="8">
        <v>-2.4518999999999999E-2</v>
      </c>
      <c r="P431" s="8">
        <v>2.9391999999999999E-3</v>
      </c>
      <c r="Q431" s="8">
        <v>6.3032000000000001E-3</v>
      </c>
      <c r="R431" s="8">
        <v>-4.8418000000000003E-2</v>
      </c>
      <c r="S431" s="8">
        <v>8.2690000000000003E-3</v>
      </c>
      <c r="T431" s="8">
        <v>-4.9095E-2</v>
      </c>
      <c r="U431" s="8">
        <v>2.6827000000000001E-3</v>
      </c>
      <c r="V431" s="8">
        <v>-4.7996999999999996E-3</v>
      </c>
      <c r="W431" s="8">
        <v>-4.2069000000000004E-3</v>
      </c>
      <c r="X431" s="8">
        <v>-6.8469000000000004E-3</v>
      </c>
      <c r="Y431" s="8">
        <v>-8.2173999999999995E-4</v>
      </c>
    </row>
    <row r="432" spans="1:25" x14ac:dyDescent="0.25">
      <c r="A432" s="30" t="s">
        <v>266</v>
      </c>
      <c r="B432" s="12">
        <v>1.0437000000000001</v>
      </c>
      <c r="C432" s="12">
        <v>-0.29298999999999997</v>
      </c>
      <c r="D432" s="8">
        <v>-1.3352999999999999</v>
      </c>
      <c r="E432" s="8">
        <v>9.7448999999999994E-2</v>
      </c>
      <c r="F432" s="8">
        <v>-0.21659999999999999</v>
      </c>
      <c r="G432" s="8">
        <v>2.8375000000000001E-2</v>
      </c>
      <c r="H432" s="8">
        <v>0.59252000000000005</v>
      </c>
      <c r="I432" s="8">
        <v>0.22289</v>
      </c>
      <c r="J432" s="8">
        <v>-0.11859</v>
      </c>
      <c r="K432" s="8">
        <v>-4.0332E-2</v>
      </c>
      <c r="L432" s="8">
        <v>0.13485</v>
      </c>
      <c r="M432" s="8">
        <v>0.12792999999999999</v>
      </c>
      <c r="N432" s="8">
        <v>-0.13821</v>
      </c>
      <c r="O432" s="8">
        <v>2.6606999999999999E-2</v>
      </c>
      <c r="P432" s="8">
        <v>-1.8197000000000001E-2</v>
      </c>
      <c r="Q432" s="8">
        <v>-8.9401999999999995E-2</v>
      </c>
      <c r="R432" s="8">
        <v>-1.8041999999999999E-2</v>
      </c>
      <c r="S432" s="8">
        <v>-6.1043000000000002E-4</v>
      </c>
      <c r="T432" s="8">
        <v>3.2578000000000003E-2</v>
      </c>
      <c r="U432" s="8">
        <v>1.1091E-3</v>
      </c>
      <c r="V432" s="8">
        <v>-1.4648E-2</v>
      </c>
      <c r="W432" s="8">
        <v>3.0266999999999998E-3</v>
      </c>
      <c r="X432" s="8">
        <v>4.5278999999999996E-3</v>
      </c>
      <c r="Y432" s="8">
        <v>2.4521E-3</v>
      </c>
    </row>
    <row r="433" spans="1:25" x14ac:dyDescent="0.25">
      <c r="A433" s="30" t="s">
        <v>267</v>
      </c>
      <c r="B433" s="12">
        <v>1.3358000000000001</v>
      </c>
      <c r="C433" s="12">
        <v>-1.3734999999999999</v>
      </c>
      <c r="D433" s="8">
        <v>2.4160999999999998E-2</v>
      </c>
      <c r="E433" s="8">
        <v>-0.86616000000000004</v>
      </c>
      <c r="F433" s="8">
        <v>0.74580999999999997</v>
      </c>
      <c r="G433" s="8">
        <v>-0.21174999999999999</v>
      </c>
      <c r="H433" s="8">
        <v>0.31657999999999997</v>
      </c>
      <c r="I433" s="8">
        <v>0.31891999999999998</v>
      </c>
      <c r="J433" s="8">
        <v>6.5201999999999996E-2</v>
      </c>
      <c r="K433" s="8">
        <v>0.27821000000000001</v>
      </c>
      <c r="L433" s="8">
        <v>0.12228</v>
      </c>
      <c r="M433" s="8">
        <v>-0.14351</v>
      </c>
      <c r="N433" s="8">
        <v>0.20698</v>
      </c>
      <c r="O433" s="8">
        <v>0.10573</v>
      </c>
      <c r="P433" s="8">
        <v>7.7858999999999998E-2</v>
      </c>
      <c r="Q433" s="8">
        <v>-7.4967000000000006E-2</v>
      </c>
      <c r="R433" s="8">
        <v>8.3555999999999995E-3</v>
      </c>
      <c r="S433" s="8">
        <v>-2.9308000000000001E-2</v>
      </c>
      <c r="T433" s="8">
        <v>-1.6906000000000001E-2</v>
      </c>
      <c r="U433" s="8">
        <v>5.0594999999999998E-3</v>
      </c>
      <c r="V433" s="8">
        <v>-2.4017E-2</v>
      </c>
      <c r="W433" s="8">
        <v>1.0873000000000001E-2</v>
      </c>
      <c r="X433" s="8">
        <v>-1.1450999999999999E-2</v>
      </c>
      <c r="Y433" s="8">
        <v>1.0021E-2</v>
      </c>
    </row>
    <row r="434" spans="1:25" x14ac:dyDescent="0.25">
      <c r="A434" s="30" t="s">
        <v>68</v>
      </c>
      <c r="B434" s="12">
        <v>1.1541999999999999</v>
      </c>
      <c r="C434" s="12">
        <v>-1.3458000000000001</v>
      </c>
      <c r="D434" s="8">
        <v>-4.5156000000000002E-2</v>
      </c>
      <c r="E434" s="8">
        <v>-0.56093000000000004</v>
      </c>
      <c r="F434" s="8">
        <v>-0.24954000000000001</v>
      </c>
      <c r="G434" s="8">
        <v>-0.48280000000000001</v>
      </c>
      <c r="H434" s="8">
        <v>-0.33234000000000002</v>
      </c>
      <c r="I434" s="8">
        <v>6.3229999999999995E-2</v>
      </c>
      <c r="J434" s="8">
        <v>0.15348999999999999</v>
      </c>
      <c r="K434" s="8">
        <v>0.36225000000000002</v>
      </c>
      <c r="L434" s="8">
        <v>9.7448999999999994E-2</v>
      </c>
      <c r="M434" s="8">
        <v>-2.0417000000000001E-2</v>
      </c>
      <c r="N434" s="8">
        <v>0.2283</v>
      </c>
      <c r="O434" s="8">
        <v>0.16539000000000001</v>
      </c>
      <c r="P434" s="8">
        <v>3.7034999999999998E-2</v>
      </c>
      <c r="Q434" s="8">
        <v>-6.3217999999999996E-2</v>
      </c>
      <c r="R434" s="8">
        <v>-3.4415000000000001E-2</v>
      </c>
      <c r="S434" s="8">
        <v>1.472E-2</v>
      </c>
      <c r="T434" s="8">
        <v>2.6301000000000001E-2</v>
      </c>
      <c r="U434" s="8">
        <v>2.4740000000000001E-3</v>
      </c>
      <c r="V434" s="8">
        <v>-2.3996E-2</v>
      </c>
      <c r="W434" s="8">
        <v>1.6518999999999999E-2</v>
      </c>
      <c r="X434" s="8">
        <v>-1.4903E-2</v>
      </c>
      <c r="Y434" s="8">
        <v>7.6420999999999998E-3</v>
      </c>
    </row>
    <row r="435" spans="1:25" x14ac:dyDescent="0.25">
      <c r="A435" s="30" t="s">
        <v>67</v>
      </c>
      <c r="B435" s="12">
        <v>1.1916</v>
      </c>
      <c r="C435" s="12">
        <v>-1.2343999999999999</v>
      </c>
      <c r="D435" s="8">
        <v>-5.1192000000000001E-2</v>
      </c>
      <c r="E435" s="8">
        <v>-0.63834000000000002</v>
      </c>
      <c r="F435" s="8">
        <v>-0.14655000000000001</v>
      </c>
      <c r="G435" s="8">
        <v>0.28824</v>
      </c>
      <c r="H435" s="8">
        <v>-0.46149000000000001</v>
      </c>
      <c r="I435" s="8">
        <v>-0.48842999999999998</v>
      </c>
      <c r="J435" s="8">
        <v>0.25956000000000001</v>
      </c>
      <c r="K435" s="8">
        <v>5.1715999999999998E-2</v>
      </c>
      <c r="L435" s="8">
        <v>3.8075999999999999E-2</v>
      </c>
      <c r="M435" s="8">
        <v>-4.5002E-2</v>
      </c>
      <c r="N435" s="8">
        <v>7.1887000000000006E-2</v>
      </c>
      <c r="O435" s="8">
        <v>3.1836000000000003E-2</v>
      </c>
      <c r="P435" s="8">
        <v>-8.1070000000000003E-2</v>
      </c>
      <c r="Q435" s="8">
        <v>5.9687999999999998E-2</v>
      </c>
      <c r="R435" s="8">
        <v>-3.7121000000000001E-2</v>
      </c>
      <c r="S435" s="8">
        <v>1.2977000000000001E-2</v>
      </c>
      <c r="T435" s="8">
        <v>6.7935999999999996E-2</v>
      </c>
      <c r="U435" s="8">
        <v>8.5330000000000007E-3</v>
      </c>
      <c r="V435" s="8">
        <v>-1.8987E-2</v>
      </c>
      <c r="W435" s="8">
        <v>6.8320999999999998E-3</v>
      </c>
      <c r="X435" s="8">
        <v>-1.3387E-2</v>
      </c>
      <c r="Y435" s="8">
        <v>1.8658999999999999E-4</v>
      </c>
    </row>
    <row r="436" spans="1:25" x14ac:dyDescent="0.25">
      <c r="A436" s="30" t="s">
        <v>66</v>
      </c>
      <c r="B436" s="12">
        <v>1.3407</v>
      </c>
      <c r="C436" s="12">
        <v>-1.2366999999999999</v>
      </c>
      <c r="D436" s="8">
        <v>-1.3043000000000001E-2</v>
      </c>
      <c r="E436" s="8">
        <v>-0.85768</v>
      </c>
      <c r="F436" s="8">
        <v>0.65517999999999998</v>
      </c>
      <c r="G436" s="8">
        <v>0.56223999999999996</v>
      </c>
      <c r="H436" s="8">
        <v>8.1192E-2</v>
      </c>
      <c r="I436" s="8">
        <v>-0.17838000000000001</v>
      </c>
      <c r="J436" s="8">
        <v>0.21423</v>
      </c>
      <c r="K436" s="8">
        <v>3.1125E-2</v>
      </c>
      <c r="L436" s="8">
        <v>8.5675000000000001E-2</v>
      </c>
      <c r="M436" s="8">
        <v>-0.15004999999999999</v>
      </c>
      <c r="N436" s="8">
        <v>8.0524999999999999E-2</v>
      </c>
      <c r="O436" s="8">
        <v>-0.10397000000000001</v>
      </c>
      <c r="P436" s="8">
        <v>-6.0996000000000002E-2</v>
      </c>
      <c r="Q436" s="8">
        <v>4.5574000000000003E-2</v>
      </c>
      <c r="R436" s="8">
        <v>1.5223E-2</v>
      </c>
      <c r="S436" s="8">
        <v>1.6473000000000002E-2</v>
      </c>
      <c r="T436" s="8">
        <v>1.6972000000000001E-2</v>
      </c>
      <c r="U436" s="8">
        <v>-4.5747000000000002E-4</v>
      </c>
      <c r="V436" s="8">
        <v>-5.0705000000000004E-3</v>
      </c>
      <c r="W436" s="8">
        <v>-3.2648999999999998E-3</v>
      </c>
      <c r="X436" s="8">
        <v>-5.5409999999999999E-3</v>
      </c>
      <c r="Y436" s="8">
        <v>-5.2852999999999997E-3</v>
      </c>
    </row>
    <row r="437" spans="1:25" x14ac:dyDescent="0.25">
      <c r="A437" s="30" t="s">
        <v>268</v>
      </c>
      <c r="B437" s="12">
        <v>1.2904</v>
      </c>
      <c r="C437" s="12">
        <v>-1.3365</v>
      </c>
      <c r="D437" s="8">
        <v>5.8053999999999996E-3</v>
      </c>
      <c r="E437" s="8">
        <v>-0.81389999999999996</v>
      </c>
      <c r="F437" s="8">
        <v>0.46095000000000003</v>
      </c>
      <c r="G437" s="8">
        <v>-7.4691999999999995E-2</v>
      </c>
      <c r="H437" s="8">
        <v>9.4144000000000005E-2</v>
      </c>
      <c r="I437" s="8">
        <v>3.4061000000000001E-2</v>
      </c>
      <c r="J437" s="8">
        <v>8.7021000000000001E-2</v>
      </c>
      <c r="K437" s="8">
        <v>0.17005999999999999</v>
      </c>
      <c r="L437" s="8">
        <v>5.7319000000000002E-2</v>
      </c>
      <c r="M437" s="8">
        <v>-6.2782000000000004E-2</v>
      </c>
      <c r="N437" s="8">
        <v>0.13783000000000001</v>
      </c>
      <c r="O437" s="8">
        <v>-5.5406999999999998E-2</v>
      </c>
      <c r="P437" s="8">
        <v>-6.1606000000000001E-2</v>
      </c>
      <c r="Q437" s="8">
        <v>9.5480999999999996E-2</v>
      </c>
      <c r="R437" s="8">
        <v>-1.8062000000000002E-2</v>
      </c>
      <c r="S437" s="8">
        <v>4.5650000000000003E-2</v>
      </c>
      <c r="T437" s="8">
        <v>4.2773000000000004E-3</v>
      </c>
      <c r="U437" s="8">
        <v>-6.9224999999999998E-3</v>
      </c>
      <c r="V437" s="8">
        <v>5.9122000000000003E-3</v>
      </c>
      <c r="W437" s="8">
        <v>6.0045999999999997E-3</v>
      </c>
      <c r="X437" s="8">
        <v>-1.6571999999999999E-3</v>
      </c>
      <c r="Y437" s="8">
        <v>-3.5793999999999999E-3</v>
      </c>
    </row>
    <row r="438" spans="1:25" x14ac:dyDescent="0.25">
      <c r="A438" s="30" t="s">
        <v>269</v>
      </c>
      <c r="B438" s="12">
        <v>1.2295</v>
      </c>
      <c r="C438" s="12">
        <v>-1.3323</v>
      </c>
      <c r="D438" s="8">
        <v>4.9620999999999997E-3</v>
      </c>
      <c r="E438" s="8">
        <v>-0.75792000000000004</v>
      </c>
      <c r="F438" s="8">
        <v>0.13377</v>
      </c>
      <c r="G438" s="8">
        <v>-0.11087</v>
      </c>
      <c r="H438" s="8">
        <v>-0.1757</v>
      </c>
      <c r="I438" s="8">
        <v>-0.27468999999999999</v>
      </c>
      <c r="J438" s="8">
        <v>0.12970999999999999</v>
      </c>
      <c r="K438" s="8">
        <v>8.9339000000000002E-2</v>
      </c>
      <c r="L438" s="8">
        <v>-8.4051999999999998E-3</v>
      </c>
      <c r="M438" s="8">
        <v>0.10024</v>
      </c>
      <c r="N438" s="8">
        <v>-2.7025E-2</v>
      </c>
      <c r="O438" s="8">
        <v>2.1503000000000001E-2</v>
      </c>
      <c r="P438" s="8">
        <v>-7.3005E-2</v>
      </c>
      <c r="Q438" s="8">
        <v>8.8863999999999999E-2</v>
      </c>
      <c r="R438" s="8">
        <v>-4.0140000000000002E-3</v>
      </c>
      <c r="S438" s="8">
        <v>2.5458000000000001E-2</v>
      </c>
      <c r="T438" s="8">
        <v>3.8150999999999997E-2</v>
      </c>
      <c r="U438" s="8">
        <v>1.9914999999999999E-2</v>
      </c>
      <c r="V438" s="8">
        <v>-5.6293999999999997E-3</v>
      </c>
      <c r="W438" s="8">
        <v>-5.4372999999999999E-3</v>
      </c>
      <c r="X438" s="8">
        <v>-1.0173E-4</v>
      </c>
      <c r="Y438" s="8">
        <v>-1.8691000000000001E-3</v>
      </c>
    </row>
    <row r="439" spans="1:25" x14ac:dyDescent="0.25">
      <c r="A439" s="30" t="s">
        <v>270</v>
      </c>
      <c r="B439" s="12">
        <v>1.2075</v>
      </c>
      <c r="C439" s="12">
        <v>-1.3243</v>
      </c>
      <c r="D439" s="8">
        <v>-2.2682000000000001E-2</v>
      </c>
      <c r="E439" s="8">
        <v>-0.67549999999999999</v>
      </c>
      <c r="F439" s="8">
        <v>2.2849999999999999E-2</v>
      </c>
      <c r="G439" s="8">
        <v>-0.20419999999999999</v>
      </c>
      <c r="H439" s="8">
        <v>-0.21809999999999999</v>
      </c>
      <c r="I439" s="8">
        <v>-7.8288999999999997E-2</v>
      </c>
      <c r="J439" s="8">
        <v>0.17555999999999999</v>
      </c>
      <c r="K439" s="8">
        <v>0.22019</v>
      </c>
      <c r="L439" s="8">
        <v>4.7618000000000001E-2</v>
      </c>
      <c r="M439" s="8">
        <v>6.0249999999999998E-2</v>
      </c>
      <c r="N439" s="8">
        <v>-2.6824000000000001E-2</v>
      </c>
      <c r="O439" s="8">
        <v>6.0451999999999999E-2</v>
      </c>
      <c r="P439" s="8">
        <v>-3.9220999999999999E-2</v>
      </c>
      <c r="Q439" s="8">
        <v>7.4204000000000006E-2</v>
      </c>
      <c r="R439" s="8">
        <v>-5.0340000000000003E-2</v>
      </c>
      <c r="S439" s="8">
        <v>3.0707000000000002E-2</v>
      </c>
      <c r="T439" s="8">
        <v>4.0023999999999997E-2</v>
      </c>
      <c r="U439" s="8">
        <v>2.1094999999999999E-2</v>
      </c>
      <c r="V439" s="8">
        <v>7.6766999999999998E-3</v>
      </c>
      <c r="W439" s="8">
        <v>-6.1479000000000004E-3</v>
      </c>
      <c r="X439" s="8">
        <v>-4.4101000000000001E-3</v>
      </c>
      <c r="Y439" s="8">
        <v>-2.5880999999999999E-3</v>
      </c>
    </row>
    <row r="440" spans="1:25" x14ac:dyDescent="0.25">
      <c r="A440" s="30" t="s">
        <v>271</v>
      </c>
      <c r="B440" s="12">
        <v>1.3332999999999999</v>
      </c>
      <c r="C440" s="12">
        <v>-1.3403</v>
      </c>
      <c r="D440" s="8">
        <v>2.1173000000000001E-2</v>
      </c>
      <c r="E440" s="8">
        <v>-0.86973999999999996</v>
      </c>
      <c r="F440" s="8">
        <v>0.72019</v>
      </c>
      <c r="G440" s="8">
        <v>-5.6663999999999999E-2</v>
      </c>
      <c r="H440" s="8">
        <v>0.25248999999999999</v>
      </c>
      <c r="I440" s="8">
        <v>0.21024000000000001</v>
      </c>
      <c r="J440" s="8">
        <v>0.13619999999999999</v>
      </c>
      <c r="K440" s="8">
        <v>0.20791000000000001</v>
      </c>
      <c r="L440" s="8">
        <v>3.6617999999999998E-2</v>
      </c>
      <c r="M440" s="8">
        <v>8.7994000000000003E-2</v>
      </c>
      <c r="N440" s="8">
        <v>-5.6748E-2</v>
      </c>
      <c r="O440" s="8">
        <v>2.8213999999999999E-2</v>
      </c>
      <c r="P440" s="8">
        <v>-5.5807000000000001E-3</v>
      </c>
      <c r="Q440" s="8">
        <v>7.7352000000000004E-2</v>
      </c>
      <c r="R440" s="8">
        <v>9.7420000000000007E-3</v>
      </c>
      <c r="S440" s="8">
        <v>-1.2608000000000001E-3</v>
      </c>
      <c r="T440" s="8">
        <v>-1.0463999999999999E-2</v>
      </c>
      <c r="U440" s="8">
        <v>-9.7306000000000007E-3</v>
      </c>
      <c r="V440" s="8">
        <v>9.6968999999999996E-3</v>
      </c>
      <c r="W440" s="8">
        <v>9.4983999999999997E-5</v>
      </c>
      <c r="X440" s="8">
        <v>-7.5533999999999996E-4</v>
      </c>
      <c r="Y440" s="8">
        <v>-1.0277E-2</v>
      </c>
    </row>
    <row r="441" spans="1:25" x14ac:dyDescent="0.25">
      <c r="A441" s="30" t="s">
        <v>272</v>
      </c>
      <c r="B441" s="12">
        <v>1.3389</v>
      </c>
      <c r="C441" s="12">
        <v>-1.3517999999999999</v>
      </c>
      <c r="D441" s="8">
        <v>2.9028999999999999E-2</v>
      </c>
      <c r="E441" s="8">
        <v>-0.90227999999999997</v>
      </c>
      <c r="F441" s="8">
        <v>0.74046999999999996</v>
      </c>
      <c r="G441" s="8">
        <v>-4.0948999999999999E-2</v>
      </c>
      <c r="H441" s="8">
        <v>0.27722000000000002</v>
      </c>
      <c r="I441" s="8">
        <v>0.12152</v>
      </c>
      <c r="J441" s="8">
        <v>8.4796999999999997E-2</v>
      </c>
      <c r="K441" s="8">
        <v>0.16122</v>
      </c>
      <c r="L441" s="8">
        <v>6.1120000000000001E-2</v>
      </c>
      <c r="M441" s="8">
        <v>-1.0609E-2</v>
      </c>
      <c r="N441" s="8">
        <v>-4.9864999999999996E-3</v>
      </c>
      <c r="O441" s="8">
        <v>-5.5847000000000001E-2</v>
      </c>
      <c r="P441" s="8">
        <v>-4.8196999999999997E-2</v>
      </c>
      <c r="Q441" s="8">
        <v>5.4015000000000001E-2</v>
      </c>
      <c r="R441" s="8">
        <v>-1.9619999999999999E-2</v>
      </c>
      <c r="S441" s="8">
        <v>1.0106E-2</v>
      </c>
      <c r="T441" s="8">
        <v>-2.9565999999999999E-2</v>
      </c>
      <c r="U441" s="8">
        <v>1.7389000000000002E-2</v>
      </c>
      <c r="V441" s="8">
        <v>1.1996E-2</v>
      </c>
      <c r="W441" s="8">
        <v>6.8513999999999997E-3</v>
      </c>
      <c r="X441" s="8">
        <v>4.2005999999999996E-3</v>
      </c>
      <c r="Y441" s="8">
        <v>-2.8352999999999998E-3</v>
      </c>
    </row>
    <row r="442" spans="1:25" x14ac:dyDescent="0.25">
      <c r="A442" s="30" t="s">
        <v>273</v>
      </c>
      <c r="B442" s="12">
        <v>1.3178000000000001</v>
      </c>
      <c r="C442" s="12">
        <v>-1.3628</v>
      </c>
      <c r="D442" s="8">
        <v>3.8011000000000003E-2</v>
      </c>
      <c r="E442" s="8">
        <v>-0.91003000000000001</v>
      </c>
      <c r="F442" s="8">
        <v>0.61175999999999997</v>
      </c>
      <c r="G442" s="8">
        <v>-3.8897000000000001E-2</v>
      </c>
      <c r="H442" s="8">
        <v>0.18303</v>
      </c>
      <c r="I442" s="8">
        <v>-0.12329</v>
      </c>
      <c r="J442" s="8">
        <v>3.0738999999999999E-2</v>
      </c>
      <c r="K442" s="8">
        <v>6.8166000000000004E-2</v>
      </c>
      <c r="L442" s="8">
        <v>5.6859E-2</v>
      </c>
      <c r="M442" s="8">
        <v>-7.5311000000000003E-2</v>
      </c>
      <c r="N442" s="8">
        <v>0.14157</v>
      </c>
      <c r="O442" s="8">
        <v>-7.4410000000000004E-2</v>
      </c>
      <c r="P442" s="8">
        <v>-2.1656999999999999E-2</v>
      </c>
      <c r="Q442" s="8">
        <v>-5.5953000000000003E-2</v>
      </c>
      <c r="R442" s="8">
        <v>2.9822999999999999E-2</v>
      </c>
      <c r="S442" s="8">
        <v>-4.6109999999999996E-3</v>
      </c>
      <c r="T442" s="8">
        <v>-1.8775E-2</v>
      </c>
      <c r="U442" s="8">
        <v>2.3839999999999998E-3</v>
      </c>
      <c r="V442" s="8">
        <v>-1.6244000000000001E-2</v>
      </c>
      <c r="W442" s="8">
        <v>-4.8218000000000002E-3</v>
      </c>
      <c r="X442" s="8">
        <v>-4.5517999999999999E-3</v>
      </c>
      <c r="Y442" s="8">
        <v>-3.7778999999999998E-3</v>
      </c>
    </row>
    <row r="443" spans="1:25" x14ac:dyDescent="0.25">
      <c r="A443" s="30" t="s">
        <v>274</v>
      </c>
      <c r="B443" s="12">
        <v>1.3241000000000001</v>
      </c>
      <c r="C443" s="12">
        <v>-1.2396</v>
      </c>
      <c r="D443" s="8">
        <v>-2.8805999999999998E-2</v>
      </c>
      <c r="E443" s="8">
        <v>-0.79310999999999998</v>
      </c>
      <c r="F443" s="8">
        <v>0.58626</v>
      </c>
      <c r="G443" s="8">
        <v>0.42970999999999998</v>
      </c>
      <c r="H443" s="8">
        <v>6.6957000000000003E-2</v>
      </c>
      <c r="I443" s="8">
        <v>2.7376000000000001E-2</v>
      </c>
      <c r="J443" s="8">
        <v>0.25890999999999997</v>
      </c>
      <c r="K443" s="8">
        <v>0.14910999999999999</v>
      </c>
      <c r="L443" s="8">
        <v>0.10677</v>
      </c>
      <c r="M443" s="8">
        <v>-9.5866999999999994E-2</v>
      </c>
      <c r="N443" s="8">
        <v>7.8875000000000001E-2</v>
      </c>
      <c r="O443" s="8">
        <v>-9.5729000000000005E-3</v>
      </c>
      <c r="P443" s="8">
        <v>7.1908E-2</v>
      </c>
      <c r="Q443" s="8">
        <v>-3.2314000000000002E-2</v>
      </c>
      <c r="R443" s="8">
        <v>-1.2026999999999999E-2</v>
      </c>
      <c r="S443" s="8">
        <v>1.4500000000000001E-2</v>
      </c>
      <c r="T443" s="8">
        <v>-4.3194000000000003E-2</v>
      </c>
      <c r="U443" s="8">
        <v>6.8877999999999995E-4</v>
      </c>
      <c r="V443" s="8">
        <v>-5.9400000000000002E-4</v>
      </c>
      <c r="W443" s="8">
        <v>-1.1198E-3</v>
      </c>
      <c r="X443" s="8">
        <v>2.6445000000000001E-3</v>
      </c>
      <c r="Y443" s="8">
        <v>1.1079E-3</v>
      </c>
    </row>
    <row r="444" spans="1:25" x14ac:dyDescent="0.25">
      <c r="A444" s="30" t="s">
        <v>275</v>
      </c>
      <c r="B444" s="12">
        <v>1.2988</v>
      </c>
      <c r="C444" s="12">
        <v>-1.2364999999999999</v>
      </c>
      <c r="D444" s="8">
        <v>-4.5338999999999997E-2</v>
      </c>
      <c r="E444" s="8">
        <v>-0.71409</v>
      </c>
      <c r="F444" s="8">
        <v>0.46250000000000002</v>
      </c>
      <c r="G444" s="8">
        <v>0.27361000000000002</v>
      </c>
      <c r="H444" s="8">
        <v>1.4344000000000001E-2</v>
      </c>
      <c r="I444" s="8">
        <v>0.21168999999999999</v>
      </c>
      <c r="J444" s="8">
        <v>0.27013999999999999</v>
      </c>
      <c r="K444" s="8">
        <v>0.26128000000000001</v>
      </c>
      <c r="L444" s="8">
        <v>6.794E-2</v>
      </c>
      <c r="M444" s="8">
        <v>-1.9217999999999999E-2</v>
      </c>
      <c r="N444" s="8">
        <v>0.16866999999999999</v>
      </c>
      <c r="O444" s="8">
        <v>4.8508000000000003E-2</v>
      </c>
      <c r="P444" s="8">
        <v>-2.1214E-2</v>
      </c>
      <c r="Q444" s="8">
        <v>0.12280000000000001</v>
      </c>
      <c r="R444" s="8">
        <v>4.5439E-2</v>
      </c>
      <c r="S444" s="8">
        <v>1.5744000000000001E-2</v>
      </c>
      <c r="T444" s="8">
        <v>9.4500999999999995E-3</v>
      </c>
      <c r="U444" s="8">
        <v>1.4735E-2</v>
      </c>
      <c r="V444" s="8">
        <v>-1.2652999999999999E-2</v>
      </c>
      <c r="W444" s="8">
        <v>-5.8491000000000003E-3</v>
      </c>
      <c r="X444" s="8">
        <v>-4.1389E-3</v>
      </c>
      <c r="Y444" s="8">
        <v>-1.3594E-3</v>
      </c>
    </row>
    <row r="445" spans="1:25" x14ac:dyDescent="0.25">
      <c r="A445" s="30" t="s">
        <v>276</v>
      </c>
      <c r="B445" s="12">
        <v>1.2493000000000001</v>
      </c>
      <c r="C445" s="12">
        <v>-1.2970999999999999</v>
      </c>
      <c r="D445" s="8">
        <v>-8.4571999999999998E-3</v>
      </c>
      <c r="E445" s="8">
        <v>-0.75305</v>
      </c>
      <c r="F445" s="8">
        <v>0.20760999999999999</v>
      </c>
      <c r="G445" s="8">
        <v>8.2030000000000006E-2</v>
      </c>
      <c r="H445" s="8">
        <v>-0.14504</v>
      </c>
      <c r="I445" s="8">
        <v>-0.2424</v>
      </c>
      <c r="J445" s="8">
        <v>0.14496000000000001</v>
      </c>
      <c r="K445" s="8">
        <v>7.5568999999999997E-2</v>
      </c>
      <c r="L445" s="8">
        <v>1.5801000000000001E-3</v>
      </c>
      <c r="M445" s="8">
        <v>1.2429000000000001E-2</v>
      </c>
      <c r="N445" s="8">
        <v>0.1976</v>
      </c>
      <c r="O445" s="8">
        <v>1.9172999999999999E-2</v>
      </c>
      <c r="P445" s="8">
        <v>3.9273000000000002E-2</v>
      </c>
      <c r="Q445" s="8">
        <v>2.2231999999999998E-2</v>
      </c>
      <c r="R445" s="8">
        <v>-8.8488000000000004E-3</v>
      </c>
      <c r="S445" s="8">
        <v>8.2734000000000002E-3</v>
      </c>
      <c r="T445" s="8">
        <v>-3.3137E-2</v>
      </c>
      <c r="U445" s="8">
        <v>2.9472999999999999E-3</v>
      </c>
      <c r="V445" s="8">
        <v>6.5236000000000001E-3</v>
      </c>
      <c r="W445" s="8">
        <v>9.8063999999999998E-3</v>
      </c>
      <c r="X445" s="8">
        <v>-2.3831999999999998E-3</v>
      </c>
      <c r="Y445" s="8">
        <v>2.5244999999999998E-4</v>
      </c>
    </row>
    <row r="446" spans="1:25" x14ac:dyDescent="0.25">
      <c r="A446" s="30" t="s">
        <v>277</v>
      </c>
      <c r="B446" s="12">
        <v>-1.8751</v>
      </c>
      <c r="C446" s="12">
        <v>-0.80318999999999996</v>
      </c>
      <c r="D446" s="8">
        <v>0.68049000000000004</v>
      </c>
      <c r="E446" s="8">
        <v>-6.6892999999999994E-2</v>
      </c>
      <c r="F446" s="8">
        <v>-0.74021999999999999</v>
      </c>
      <c r="G446" s="8">
        <v>3.0356999999999999E-2</v>
      </c>
      <c r="H446" s="8">
        <v>0.37064000000000002</v>
      </c>
      <c r="I446" s="8">
        <v>0.55525999999999998</v>
      </c>
      <c r="J446" s="8">
        <v>0.36792999999999998</v>
      </c>
      <c r="K446" s="8">
        <v>3.8772000000000001E-2</v>
      </c>
      <c r="L446" s="8">
        <v>-1.9635E-2</v>
      </c>
      <c r="M446" s="8">
        <v>5.1884E-2</v>
      </c>
      <c r="N446" s="8">
        <v>4.1739999999999999E-2</v>
      </c>
      <c r="O446" s="8">
        <v>-7.5832999999999998E-2</v>
      </c>
      <c r="P446" s="8">
        <v>8.6570999999999995E-2</v>
      </c>
      <c r="Q446" s="8">
        <v>1.6036000000000002E-2</v>
      </c>
      <c r="R446" s="8">
        <v>4.9373000000000004E-3</v>
      </c>
      <c r="S446" s="8">
        <v>1.799E-3</v>
      </c>
      <c r="T446" s="8">
        <v>1.6570000000000001E-2</v>
      </c>
      <c r="U446" s="8">
        <v>2.8787999999999999E-3</v>
      </c>
      <c r="V446" s="8">
        <v>2.3774E-2</v>
      </c>
      <c r="W446" s="8">
        <v>-4.3318000000000002E-3</v>
      </c>
      <c r="X446" s="8">
        <v>3.2881999999999998E-3</v>
      </c>
      <c r="Y446" s="8">
        <v>3.7369999999999999E-3</v>
      </c>
    </row>
    <row r="447" spans="1:25" x14ac:dyDescent="0.25">
      <c r="A447" s="30" t="s">
        <v>278</v>
      </c>
      <c r="B447" s="12">
        <v>-1.7965</v>
      </c>
      <c r="C447" s="12">
        <v>-0.80618999999999996</v>
      </c>
      <c r="D447" s="8">
        <v>0.73748000000000002</v>
      </c>
      <c r="E447" s="8">
        <v>-0.25438</v>
      </c>
      <c r="F447" s="8">
        <v>-0.33467000000000002</v>
      </c>
      <c r="G447" s="8">
        <v>0.29965000000000003</v>
      </c>
      <c r="H447" s="8">
        <v>0.56325999999999998</v>
      </c>
      <c r="I447" s="8">
        <v>0.29647000000000001</v>
      </c>
      <c r="J447" s="8">
        <v>0.27206999999999998</v>
      </c>
      <c r="K447" s="8">
        <v>-0.19994999999999999</v>
      </c>
      <c r="L447" s="8">
        <v>-0.14732999999999999</v>
      </c>
      <c r="M447" s="8">
        <v>5.7606999999999998E-2</v>
      </c>
      <c r="N447" s="8">
        <v>0.20146</v>
      </c>
      <c r="O447" s="8">
        <v>-6.7224000000000006E-2</v>
      </c>
      <c r="P447" s="8">
        <v>6.6852999999999996E-2</v>
      </c>
      <c r="Q447" s="8">
        <v>0.11018</v>
      </c>
      <c r="R447" s="8">
        <v>1.6405E-3</v>
      </c>
      <c r="S447" s="8">
        <v>9.4324000000000005E-3</v>
      </c>
      <c r="T447" s="8">
        <v>1.3883E-2</v>
      </c>
      <c r="U447" s="8">
        <v>9.5247999999999999E-3</v>
      </c>
      <c r="V447" s="8">
        <v>4.4856000000000002E-3</v>
      </c>
      <c r="W447" s="8">
        <v>1.3476E-2</v>
      </c>
      <c r="X447" s="8">
        <v>1.3356E-2</v>
      </c>
      <c r="Y447" s="8">
        <v>2.7439999999999999E-3</v>
      </c>
    </row>
    <row r="448" spans="1:25" x14ac:dyDescent="0.25">
      <c r="A448" s="30" t="s">
        <v>279</v>
      </c>
      <c r="B448" s="12">
        <v>-1.8481000000000001</v>
      </c>
      <c r="C448" s="12">
        <v>-0.81860999999999995</v>
      </c>
      <c r="D448" s="8">
        <v>0.72704999999999997</v>
      </c>
      <c r="E448" s="8">
        <v>-0.19059000000000001</v>
      </c>
      <c r="F448" s="8">
        <v>-0.60389999999999999</v>
      </c>
      <c r="G448" s="8">
        <v>0.18021000000000001</v>
      </c>
      <c r="H448" s="8">
        <v>0.38051000000000001</v>
      </c>
      <c r="I448" s="8">
        <v>0.16389000000000001</v>
      </c>
      <c r="J448" s="8">
        <v>0.30891000000000002</v>
      </c>
      <c r="K448" s="8">
        <v>-0.16238</v>
      </c>
      <c r="L448" s="8">
        <v>-8.8290999999999994E-2</v>
      </c>
      <c r="M448" s="8">
        <v>7.2603000000000001E-2</v>
      </c>
      <c r="N448" s="8">
        <v>3.5631000000000003E-2</v>
      </c>
      <c r="O448" s="8">
        <v>-1.0541E-2</v>
      </c>
      <c r="P448" s="8">
        <v>-2.9284000000000001E-2</v>
      </c>
      <c r="Q448" s="8">
        <v>-6.6277000000000003E-2</v>
      </c>
      <c r="R448" s="8">
        <v>-1.2356000000000001E-2</v>
      </c>
      <c r="S448" s="8">
        <v>2.1113E-3</v>
      </c>
      <c r="T448" s="8">
        <v>-3.2777000000000001E-3</v>
      </c>
      <c r="U448" s="8">
        <v>1.468E-2</v>
      </c>
      <c r="V448" s="8">
        <v>-1.0122000000000001E-2</v>
      </c>
      <c r="W448" s="8">
        <v>7.0835000000000004E-3</v>
      </c>
      <c r="X448" s="8">
        <v>5.9040999999999998E-3</v>
      </c>
      <c r="Y448" s="8">
        <v>-7.3790000000000001E-3</v>
      </c>
    </row>
    <row r="449" spans="1:25" x14ac:dyDescent="0.25">
      <c r="A449" s="30" t="s">
        <v>280</v>
      </c>
      <c r="B449" s="12">
        <v>-1.8656999999999999</v>
      </c>
      <c r="C449" s="12">
        <v>-0.79693999999999998</v>
      </c>
      <c r="D449" s="8">
        <v>0.71177000000000001</v>
      </c>
      <c r="E449" s="8">
        <v>-0.14632999999999999</v>
      </c>
      <c r="F449" s="8">
        <v>-0.71435000000000004</v>
      </c>
      <c r="G449" s="8">
        <v>0.25629000000000002</v>
      </c>
      <c r="H449" s="8">
        <v>0.26912000000000003</v>
      </c>
      <c r="I449" s="8">
        <v>8.4668999999999994E-2</v>
      </c>
      <c r="J449" s="8">
        <v>0.33999000000000001</v>
      </c>
      <c r="K449" s="8">
        <v>-0.17047000000000001</v>
      </c>
      <c r="L449" s="8">
        <v>-5.4567999999999998E-2</v>
      </c>
      <c r="M449" s="8">
        <v>-4.9521000000000003E-2</v>
      </c>
      <c r="N449" s="8">
        <v>9.0051000000000006E-2</v>
      </c>
      <c r="O449" s="8">
        <v>6.0562999999999999E-2</v>
      </c>
      <c r="P449" s="8">
        <v>7.5299E-3</v>
      </c>
      <c r="Q449" s="8">
        <v>-5.9466999999999999E-2</v>
      </c>
      <c r="R449" s="8">
        <v>9.8282000000000005E-3</v>
      </c>
      <c r="S449" s="8">
        <v>3.4916999999999997E-2</v>
      </c>
      <c r="T449" s="8">
        <v>2.0743999999999999E-2</v>
      </c>
      <c r="U449" s="8">
        <v>1.8474999999999998E-2</v>
      </c>
      <c r="V449" s="8">
        <v>-1.1797999999999999E-2</v>
      </c>
      <c r="W449" s="8">
        <v>3.6609000000000001E-4</v>
      </c>
      <c r="X449" s="8">
        <v>-6.5039999999999998E-4</v>
      </c>
      <c r="Y449" s="8">
        <v>-1.6012999999999999E-3</v>
      </c>
    </row>
    <row r="450" spans="1:25" x14ac:dyDescent="0.25">
      <c r="A450" s="30" t="s">
        <v>281</v>
      </c>
      <c r="B450" s="12">
        <v>-1.8143</v>
      </c>
      <c r="C450" s="12">
        <v>-0.81030999999999997</v>
      </c>
      <c r="D450" s="8">
        <v>0.73941999999999997</v>
      </c>
      <c r="E450" s="8">
        <v>-0.24093000000000001</v>
      </c>
      <c r="F450" s="8">
        <v>-0.42398000000000002</v>
      </c>
      <c r="G450" s="8">
        <v>0.27371000000000001</v>
      </c>
      <c r="H450" s="8">
        <v>0.48126999999999998</v>
      </c>
      <c r="I450" s="8">
        <v>0.20118</v>
      </c>
      <c r="J450" s="8">
        <v>0.31702999999999998</v>
      </c>
      <c r="K450" s="8">
        <v>-0.17959</v>
      </c>
      <c r="L450" s="8">
        <v>-0.12275999999999999</v>
      </c>
      <c r="M450" s="8">
        <v>0.15833</v>
      </c>
      <c r="N450" s="8">
        <v>4.1763000000000002E-2</v>
      </c>
      <c r="O450" s="8">
        <v>-5.0924000000000004E-3</v>
      </c>
      <c r="P450" s="8">
        <v>-6.5494999999999998E-2</v>
      </c>
      <c r="Q450" s="8">
        <v>-7.4167999999999998E-2</v>
      </c>
      <c r="R450" s="8">
        <v>6.8177000000000001E-2</v>
      </c>
      <c r="S450" s="8">
        <v>-2.5446E-2</v>
      </c>
      <c r="T450" s="8">
        <v>1.3965999999999999E-2</v>
      </c>
      <c r="U450" s="8">
        <v>2.1073999999999999E-2</v>
      </c>
      <c r="V450" s="8">
        <v>-1.9262999999999999E-2</v>
      </c>
      <c r="W450" s="8">
        <v>6.5702E-3</v>
      </c>
      <c r="X450" s="8">
        <v>7.3584000000000002E-3</v>
      </c>
      <c r="Y450" s="8">
        <v>-2.1565E-3</v>
      </c>
    </row>
    <row r="451" spans="1:25" x14ac:dyDescent="0.25">
      <c r="A451" s="30" t="s">
        <v>282</v>
      </c>
      <c r="B451" s="12">
        <v>-1.9003000000000001</v>
      </c>
      <c r="C451" s="12">
        <v>-0.82325000000000004</v>
      </c>
      <c r="D451" s="8">
        <v>0.70365999999999995</v>
      </c>
      <c r="E451" s="8">
        <v>-0.10317999999999999</v>
      </c>
      <c r="F451" s="8">
        <v>-0.88649999999999995</v>
      </c>
      <c r="G451" s="8">
        <v>6.1443999999999999E-2</v>
      </c>
      <c r="H451" s="8">
        <v>0.2024</v>
      </c>
      <c r="I451" s="8">
        <v>0.10154000000000001</v>
      </c>
      <c r="J451" s="8">
        <v>0.29116999999999998</v>
      </c>
      <c r="K451" s="8">
        <v>-0.15318999999999999</v>
      </c>
      <c r="L451" s="8">
        <v>-2.9048999999999998E-2</v>
      </c>
      <c r="M451" s="8">
        <v>-0.15090000000000001</v>
      </c>
      <c r="N451" s="8">
        <v>5.9762000000000003E-2</v>
      </c>
      <c r="O451" s="8">
        <v>-2.3795999999999999E-3</v>
      </c>
      <c r="P451" s="8">
        <v>1.4336E-2</v>
      </c>
      <c r="Q451" s="8">
        <v>9.4185000000000005E-2</v>
      </c>
      <c r="R451" s="8">
        <v>2.785E-2</v>
      </c>
      <c r="S451" s="8">
        <v>6.9725999999999998E-3</v>
      </c>
      <c r="T451" s="8">
        <v>-1.5959000000000001E-2</v>
      </c>
      <c r="U451" s="8">
        <v>3.0974000000000002E-3</v>
      </c>
      <c r="V451" s="8">
        <v>4.3270000000000001E-3</v>
      </c>
      <c r="W451" s="8">
        <v>1.3853000000000001E-2</v>
      </c>
      <c r="X451" s="8">
        <v>-8.0385999999999999E-3</v>
      </c>
      <c r="Y451" s="8">
        <v>5.7933999999999998E-3</v>
      </c>
    </row>
    <row r="452" spans="1:25" x14ac:dyDescent="0.25">
      <c r="A452" s="30" t="s">
        <v>283</v>
      </c>
      <c r="B452" s="12">
        <v>-1.8847</v>
      </c>
      <c r="C452" s="12">
        <v>-0.88454999999999995</v>
      </c>
      <c r="D452" s="8">
        <v>0.73351999999999995</v>
      </c>
      <c r="E452" s="8">
        <v>-0.16084000000000001</v>
      </c>
      <c r="F452" s="8">
        <v>-0.75387000000000004</v>
      </c>
      <c r="G452" s="8">
        <v>-0.18281</v>
      </c>
      <c r="H452" s="8">
        <v>0.33872000000000002</v>
      </c>
      <c r="I452" s="8">
        <v>0.20594999999999999</v>
      </c>
      <c r="J452" s="8">
        <v>0.2419</v>
      </c>
      <c r="K452" s="8">
        <v>-9.0374999999999997E-2</v>
      </c>
      <c r="L452" s="8">
        <v>4.6398999999999998E-3</v>
      </c>
      <c r="M452" s="8">
        <v>-0.11271</v>
      </c>
      <c r="N452" s="8">
        <v>-1.9623000000000002E-2</v>
      </c>
      <c r="O452" s="8">
        <v>8.0811999999999995E-2</v>
      </c>
      <c r="P452" s="8">
        <v>1.5056E-2</v>
      </c>
      <c r="Q452" s="8">
        <v>-9.8674999999999999E-2</v>
      </c>
      <c r="R452" s="8">
        <v>-9.9264999999999996E-3</v>
      </c>
      <c r="S452" s="8">
        <v>-1.3220000000000001E-2</v>
      </c>
      <c r="T452" s="8">
        <v>-1.4308E-2</v>
      </c>
      <c r="U452" s="8">
        <v>4.7356000000000004E-3</v>
      </c>
      <c r="V452" s="8">
        <v>-1.4049000000000001E-2</v>
      </c>
      <c r="W452" s="8">
        <v>3.1905000000000002E-3</v>
      </c>
      <c r="X452" s="8">
        <v>6.8865999999999997E-3</v>
      </c>
      <c r="Y452" s="8">
        <v>-1.1789999999999999E-3</v>
      </c>
    </row>
    <row r="453" spans="1:25" x14ac:dyDescent="0.25">
      <c r="A453" s="30" t="s">
        <v>284</v>
      </c>
      <c r="B453" s="12">
        <v>-1.8935999999999999</v>
      </c>
      <c r="C453" s="12">
        <v>-0.80098000000000003</v>
      </c>
      <c r="D453" s="8">
        <v>0.69847000000000004</v>
      </c>
      <c r="E453" s="8">
        <v>-0.10695</v>
      </c>
      <c r="F453" s="8">
        <v>-0.86538999999999999</v>
      </c>
      <c r="G453" s="8">
        <v>0.18883</v>
      </c>
      <c r="H453" s="8">
        <v>0.19114</v>
      </c>
      <c r="I453" s="8">
        <v>5.7826000000000002E-2</v>
      </c>
      <c r="J453" s="8">
        <v>0.33029999999999998</v>
      </c>
      <c r="K453" s="8">
        <v>-0.16916</v>
      </c>
      <c r="L453" s="8">
        <v>-3.6559000000000001E-2</v>
      </c>
      <c r="M453" s="8">
        <v>-9.4367000000000006E-2</v>
      </c>
      <c r="N453" s="8">
        <v>4.1501000000000003E-2</v>
      </c>
      <c r="O453" s="8">
        <v>-3.5886999999999998E-3</v>
      </c>
      <c r="P453" s="8">
        <v>-8.4697000000000001E-3</v>
      </c>
      <c r="Q453" s="8">
        <v>1.4641E-2</v>
      </c>
      <c r="R453" s="8">
        <v>2.8639000000000001E-2</v>
      </c>
      <c r="S453" s="8">
        <v>9.7655999999999993E-3</v>
      </c>
      <c r="T453" s="8">
        <v>-3.1181999999999998E-3</v>
      </c>
      <c r="U453" s="8">
        <v>-8.5686999999999999E-2</v>
      </c>
      <c r="V453" s="8">
        <v>1.489E-2</v>
      </c>
      <c r="W453" s="8">
        <v>2.3843E-2</v>
      </c>
      <c r="X453" s="8">
        <v>-1.3993999999999999E-2</v>
      </c>
      <c r="Y453" s="8">
        <v>7.9594999999999996E-3</v>
      </c>
    </row>
    <row r="454" spans="1:25" x14ac:dyDescent="0.25">
      <c r="A454" s="30" t="s">
        <v>285</v>
      </c>
      <c r="B454" s="12">
        <v>-1.8965000000000001</v>
      </c>
      <c r="C454" s="12">
        <v>-0.89842999999999995</v>
      </c>
      <c r="D454" s="8">
        <v>0.73504999999999998</v>
      </c>
      <c r="E454" s="8">
        <v>-0.14646000000000001</v>
      </c>
      <c r="F454" s="8">
        <v>-0.80911</v>
      </c>
      <c r="G454" s="8">
        <v>-0.30087000000000003</v>
      </c>
      <c r="H454" s="8">
        <v>0.33476</v>
      </c>
      <c r="I454" s="8">
        <v>0.25119000000000002</v>
      </c>
      <c r="J454" s="8">
        <v>0.20319999999999999</v>
      </c>
      <c r="K454" s="8">
        <v>-7.1861999999999995E-2</v>
      </c>
      <c r="L454" s="8">
        <v>-3.3641999999999998E-2</v>
      </c>
      <c r="M454" s="8">
        <v>-6.8737999999999994E-2</v>
      </c>
      <c r="N454" s="8">
        <v>4.3906000000000001E-2</v>
      </c>
      <c r="O454" s="8">
        <v>4.8570000000000002E-2</v>
      </c>
      <c r="P454" s="8">
        <v>-3.1126000000000001E-2</v>
      </c>
      <c r="Q454" s="8">
        <v>5.1132E-3</v>
      </c>
      <c r="R454" s="8">
        <v>1.4361000000000001E-2</v>
      </c>
      <c r="S454" s="8">
        <v>-1.6209000000000001E-2</v>
      </c>
      <c r="T454" s="8">
        <v>-5.8911E-4</v>
      </c>
      <c r="U454" s="8">
        <v>1.5982999999999999E-4</v>
      </c>
      <c r="V454" s="8">
        <v>2.1996999999999999E-2</v>
      </c>
      <c r="W454" s="8">
        <v>-4.5310999999999997E-3</v>
      </c>
      <c r="X454" s="8">
        <v>-1.2069E-2</v>
      </c>
      <c r="Y454" s="8">
        <v>6.7222999999999996E-3</v>
      </c>
    </row>
    <row r="455" spans="1:25" x14ac:dyDescent="0.25">
      <c r="A455" s="30" t="s">
        <v>286</v>
      </c>
      <c r="B455" s="12">
        <v>-1.8839999999999999</v>
      </c>
      <c r="C455" s="12">
        <v>-0.78415999999999997</v>
      </c>
      <c r="D455" s="8">
        <v>0.69491999999999998</v>
      </c>
      <c r="E455" s="8">
        <v>-0.10186000000000001</v>
      </c>
      <c r="F455" s="8">
        <v>-0.82626999999999995</v>
      </c>
      <c r="G455" s="8">
        <v>0.24748999999999999</v>
      </c>
      <c r="H455" s="8">
        <v>0.22478000000000001</v>
      </c>
      <c r="I455" s="8">
        <v>0.12501999999999999</v>
      </c>
      <c r="J455" s="8">
        <v>0.33865000000000001</v>
      </c>
      <c r="K455" s="8">
        <v>-0.15623999999999999</v>
      </c>
      <c r="L455" s="8">
        <v>-7.7867000000000006E-2</v>
      </c>
      <c r="M455" s="8">
        <v>-1.0553999999999999E-2</v>
      </c>
      <c r="N455" s="8">
        <v>0.15723000000000001</v>
      </c>
      <c r="O455" s="8">
        <v>-3.9740999999999999E-2</v>
      </c>
      <c r="P455" s="8">
        <v>2.4601999999999999E-2</v>
      </c>
      <c r="Q455" s="8">
        <v>6.9258999999999996E-3</v>
      </c>
      <c r="R455" s="8">
        <v>-2.0386000000000001E-2</v>
      </c>
      <c r="S455" s="8">
        <v>2.6623999999999998E-2</v>
      </c>
      <c r="T455" s="8">
        <v>-1.6333E-2</v>
      </c>
      <c r="U455" s="8">
        <v>3.9675999999999999E-3</v>
      </c>
      <c r="V455" s="8">
        <v>8.2018000000000004E-3</v>
      </c>
      <c r="W455" s="8">
        <v>-1.0799E-2</v>
      </c>
      <c r="X455" s="8">
        <v>4.0504E-3</v>
      </c>
      <c r="Y455" s="8">
        <v>-6.0349000000000002E-3</v>
      </c>
    </row>
    <row r="456" spans="1:25" x14ac:dyDescent="0.25">
      <c r="A456" s="30" t="s">
        <v>287</v>
      </c>
      <c r="B456" s="12">
        <v>-1.8314999999999999</v>
      </c>
      <c r="C456" s="12">
        <v>-0.88849</v>
      </c>
      <c r="D456" s="8">
        <v>0.77586999999999995</v>
      </c>
      <c r="E456" s="8">
        <v>-0.30609999999999998</v>
      </c>
      <c r="F456" s="8">
        <v>-0.49113000000000001</v>
      </c>
      <c r="G456" s="8">
        <v>3.6684000000000001E-2</v>
      </c>
      <c r="H456" s="8">
        <v>0.46222999999999997</v>
      </c>
      <c r="I456" s="8">
        <v>-6.5546999999999994E-2</v>
      </c>
      <c r="J456" s="8">
        <v>0.15334999999999999</v>
      </c>
      <c r="K456" s="8">
        <v>-0.29247000000000001</v>
      </c>
      <c r="L456" s="8">
        <v>-7.3182999999999998E-2</v>
      </c>
      <c r="M456" s="8">
        <v>-0.13161999999999999</v>
      </c>
      <c r="N456" s="8">
        <v>0.11469</v>
      </c>
      <c r="O456" s="8">
        <v>1.9002000000000002E-2</v>
      </c>
      <c r="P456" s="8">
        <v>-5.0167999999999997E-2</v>
      </c>
      <c r="Q456" s="8">
        <v>-8.3091999999999999E-2</v>
      </c>
      <c r="R456" s="8">
        <v>1.4397E-2</v>
      </c>
      <c r="S456" s="8">
        <v>-1.0184E-3</v>
      </c>
      <c r="T456" s="8">
        <v>-2.3459000000000001E-2</v>
      </c>
      <c r="U456" s="8">
        <v>-7.1517000000000004E-3</v>
      </c>
      <c r="V456" s="8">
        <v>-9.5951999999999999E-3</v>
      </c>
      <c r="W456" s="8">
        <v>-9.2875000000000006E-3</v>
      </c>
      <c r="X456" s="8">
        <v>3.6248000000000001E-3</v>
      </c>
      <c r="Y456" s="8">
        <v>-3.1178E-3</v>
      </c>
    </row>
    <row r="459" spans="1:25" x14ac:dyDescent="0.25">
      <c r="B459" s="11" t="s">
        <v>65</v>
      </c>
      <c r="C459" s="11" t="s">
        <v>64</v>
      </c>
      <c r="D459" s="11" t="s">
        <v>63</v>
      </c>
      <c r="E459" s="11" t="s">
        <v>62</v>
      </c>
      <c r="F459" s="11" t="s">
        <v>61</v>
      </c>
      <c r="G459" s="11" t="s">
        <v>60</v>
      </c>
      <c r="H459" s="11" t="s">
        <v>59</v>
      </c>
      <c r="I459" s="11" t="s">
        <v>58</v>
      </c>
      <c r="J459" s="11" t="s">
        <v>57</v>
      </c>
      <c r="K459" s="11" t="s">
        <v>56</v>
      </c>
      <c r="L459" s="11" t="s">
        <v>55</v>
      </c>
      <c r="M459" s="11" t="s">
        <v>54</v>
      </c>
      <c r="N459" s="11" t="s">
        <v>53</v>
      </c>
      <c r="O459" s="11" t="s">
        <v>52</v>
      </c>
      <c r="P459" s="11" t="s">
        <v>51</v>
      </c>
      <c r="Q459" s="11" t="s">
        <v>50</v>
      </c>
      <c r="R459" s="11" t="s">
        <v>49</v>
      </c>
      <c r="S459" s="11" t="s">
        <v>48</v>
      </c>
      <c r="T459" s="11" t="s">
        <v>47</v>
      </c>
      <c r="U459" s="11" t="s">
        <v>46</v>
      </c>
      <c r="V459" s="11" t="s">
        <v>45</v>
      </c>
      <c r="W459" s="11" t="s">
        <v>44</v>
      </c>
      <c r="X459" s="11" t="s">
        <v>43</v>
      </c>
      <c r="Y459" s="11" t="s">
        <v>42</v>
      </c>
    </row>
    <row r="460" spans="1:25" x14ac:dyDescent="0.25">
      <c r="A460" s="25" t="s">
        <v>18</v>
      </c>
      <c r="B460" s="14">
        <v>-1.2024999999999999E-2</v>
      </c>
      <c r="C460" s="14">
        <v>0.12673999999999999</v>
      </c>
      <c r="D460" s="15">
        <v>-0.11982</v>
      </c>
      <c r="E460" s="15">
        <v>0.25109999999999999</v>
      </c>
      <c r="F460" s="15">
        <v>-0.10922999999999999</v>
      </c>
      <c r="G460" s="15">
        <v>0.21989</v>
      </c>
      <c r="H460" s="15">
        <v>-3.6366000000000002E-2</v>
      </c>
      <c r="I460" s="15">
        <v>0.74036000000000002</v>
      </c>
      <c r="J460" s="15">
        <v>0.28552</v>
      </c>
      <c r="K460" s="15">
        <v>0.41493000000000002</v>
      </c>
      <c r="L460" s="15">
        <v>0.1867</v>
      </c>
      <c r="M460" s="15">
        <v>-2.9517000000000002E-2</v>
      </c>
      <c r="N460" s="15">
        <v>-4.0654000000000003E-2</v>
      </c>
      <c r="O460" s="15">
        <v>-5.4522000000000001E-2</v>
      </c>
      <c r="P460" s="15">
        <v>1.9072E-3</v>
      </c>
      <c r="Q460" s="15">
        <v>-3.6187999999999998E-2</v>
      </c>
      <c r="R460" s="15">
        <v>2.9786E-2</v>
      </c>
      <c r="S460" s="15">
        <v>-5.4039999999999999E-3</v>
      </c>
      <c r="T460" s="15">
        <v>7.8904999999999999E-3</v>
      </c>
      <c r="U460" s="15">
        <v>1.5410999999999999E-2</v>
      </c>
      <c r="V460" s="15">
        <v>4.7447000000000001E-3</v>
      </c>
      <c r="W460" s="15">
        <v>-6.3065999999999999E-3</v>
      </c>
      <c r="X460" s="15">
        <v>2.2006999999999999E-3</v>
      </c>
      <c r="Y460" s="15">
        <v>-1.8336000000000001E-4</v>
      </c>
    </row>
    <row r="461" spans="1:25" x14ac:dyDescent="0.25">
      <c r="A461" s="25" t="s">
        <v>20</v>
      </c>
      <c r="B461" s="14">
        <v>3.5035000000000001E-3</v>
      </c>
      <c r="C461" s="14">
        <v>3.1342000000000002E-3</v>
      </c>
      <c r="D461" s="15">
        <v>4.4875999999999996E-3</v>
      </c>
      <c r="E461" s="15">
        <v>2.2215E-3</v>
      </c>
      <c r="F461" s="15">
        <v>1.6410999999999999E-2</v>
      </c>
      <c r="G461" s="15">
        <v>8.8667999999999993E-3</v>
      </c>
      <c r="H461" s="15">
        <v>-9.0293000000000005E-3</v>
      </c>
      <c r="I461" s="15">
        <v>7.2876E-3</v>
      </c>
      <c r="J461" s="15">
        <v>-1.0784999999999999E-2</v>
      </c>
      <c r="K461" s="15">
        <v>2.6252000000000001E-2</v>
      </c>
      <c r="L461" s="15">
        <v>-2.2072999999999999E-2</v>
      </c>
      <c r="M461" s="15">
        <v>-1.0076999999999999E-2</v>
      </c>
      <c r="N461" s="15">
        <v>9.2876E-2</v>
      </c>
      <c r="O461" s="15">
        <v>7.2769E-2</v>
      </c>
      <c r="P461" s="15">
        <v>-6.5349000000000004E-2</v>
      </c>
      <c r="Q461" s="15">
        <v>4.5725000000000002E-2</v>
      </c>
      <c r="R461" s="15">
        <v>5.8932000000000003E-3</v>
      </c>
      <c r="S461" s="15">
        <v>7.6296000000000003E-2</v>
      </c>
      <c r="T461" s="15">
        <v>-4.1932999999999998E-2</v>
      </c>
      <c r="U461" s="15">
        <v>0.12021</v>
      </c>
      <c r="V461" s="15">
        <v>0.54390000000000005</v>
      </c>
      <c r="W461" s="15">
        <v>0.55642999999999998</v>
      </c>
      <c r="X461" s="15">
        <v>-0.45963999999999999</v>
      </c>
      <c r="Y461" s="15">
        <v>0.37286000000000002</v>
      </c>
    </row>
    <row r="462" spans="1:25" x14ac:dyDescent="0.25">
      <c r="A462" s="25" t="s">
        <v>40</v>
      </c>
      <c r="B462" s="14">
        <v>1.6246E-5</v>
      </c>
      <c r="C462" s="14">
        <v>9.6603000000000001E-3</v>
      </c>
      <c r="D462" s="15">
        <v>-1.3925999999999999E-3</v>
      </c>
      <c r="E462" s="15">
        <v>2.5624000000000001E-2</v>
      </c>
      <c r="F462" s="15">
        <v>-6.4016999999999998E-3</v>
      </c>
      <c r="G462" s="15">
        <v>2.9583000000000002E-2</v>
      </c>
      <c r="H462" s="15">
        <v>1.7821E-2</v>
      </c>
      <c r="I462" s="15">
        <v>5.8816E-2</v>
      </c>
      <c r="J462" s="15">
        <v>-1.5917000000000001E-2</v>
      </c>
      <c r="K462" s="15">
        <v>6.2807E-4</v>
      </c>
      <c r="L462" s="15">
        <v>-8.0206E-2</v>
      </c>
      <c r="M462" s="15">
        <v>6.3438000000000001E-3</v>
      </c>
      <c r="N462" s="15">
        <v>0.47203000000000001</v>
      </c>
      <c r="O462" s="15">
        <v>0.16564999999999999</v>
      </c>
      <c r="P462" s="15">
        <v>0.49775000000000003</v>
      </c>
      <c r="Q462" s="15">
        <v>-0.25184000000000001</v>
      </c>
      <c r="R462" s="15">
        <v>-0.59253999999999996</v>
      </c>
      <c r="S462" s="15">
        <v>0.24149999999999999</v>
      </c>
      <c r="T462" s="15">
        <v>-9.5294000000000004E-2</v>
      </c>
      <c r="U462" s="15">
        <v>-5.0280999999999998E-3</v>
      </c>
      <c r="V462" s="15">
        <v>-7.7797000000000005E-2</v>
      </c>
      <c r="W462" s="15">
        <v>3.5083999999999997E-2</v>
      </c>
      <c r="X462" s="15">
        <v>2.3875E-2</v>
      </c>
      <c r="Y462" s="15">
        <v>3.1871999999999998E-3</v>
      </c>
    </row>
    <row r="463" spans="1:25" x14ac:dyDescent="0.25">
      <c r="A463" s="25" t="s">
        <v>39</v>
      </c>
      <c r="B463" s="14">
        <v>4.6062999999999998E-3</v>
      </c>
      <c r="C463" s="14">
        <v>7.8922999999999997E-3</v>
      </c>
      <c r="D463" s="15">
        <v>8.6288000000000007E-3</v>
      </c>
      <c r="E463" s="15">
        <v>2.0455999999999998E-2</v>
      </c>
      <c r="F463" s="15">
        <v>2.5342E-2</v>
      </c>
      <c r="G463" s="15">
        <v>-4.7647999999999996E-3</v>
      </c>
      <c r="H463" s="15">
        <v>-2.7521E-2</v>
      </c>
      <c r="I463" s="15">
        <v>2.3116000000000001E-2</v>
      </c>
      <c r="J463" s="15">
        <v>7.9670999999999995E-4</v>
      </c>
      <c r="K463" s="15">
        <v>-2.3560000000000001E-2</v>
      </c>
      <c r="L463" s="15">
        <v>-3.5438999999999998E-2</v>
      </c>
      <c r="M463" s="15">
        <v>1.2347E-2</v>
      </c>
      <c r="N463" s="15">
        <v>0.43212</v>
      </c>
      <c r="O463" s="15">
        <v>0.26238</v>
      </c>
      <c r="P463" s="15">
        <v>0.38124999999999998</v>
      </c>
      <c r="Q463" s="15">
        <v>-0.15579000000000001</v>
      </c>
      <c r="R463" s="15">
        <v>0.71909000000000001</v>
      </c>
      <c r="S463" s="15">
        <v>-0.22961999999999999</v>
      </c>
      <c r="T463" s="15">
        <v>-2.8379999999999998E-3</v>
      </c>
      <c r="U463" s="15">
        <v>5.4413999999999999E-3</v>
      </c>
      <c r="V463" s="15">
        <v>-1.5617000000000001E-2</v>
      </c>
      <c r="W463" s="15">
        <v>-7.7612000000000002E-3</v>
      </c>
      <c r="X463" s="15">
        <v>-3.4937000000000002E-3</v>
      </c>
      <c r="Y463" s="15">
        <v>-1.1856E-2</v>
      </c>
    </row>
    <row r="464" spans="1:25" x14ac:dyDescent="0.25">
      <c r="A464" s="25" t="s">
        <v>15</v>
      </c>
      <c r="B464" s="14">
        <v>5.9192000000000003E-3</v>
      </c>
      <c r="C464" s="14">
        <v>7.3251999999999996E-3</v>
      </c>
      <c r="D464" s="15">
        <v>1.5941E-2</v>
      </c>
      <c r="E464" s="15">
        <v>1.0655E-2</v>
      </c>
      <c r="F464" s="15">
        <v>4.4312999999999998E-2</v>
      </c>
      <c r="G464" s="15">
        <v>-1.4265999999999999E-2</v>
      </c>
      <c r="H464" s="15">
        <v>-2.1833999999999999E-2</v>
      </c>
      <c r="I464" s="15">
        <v>-1.3559999999999999E-4</v>
      </c>
      <c r="J464" s="15">
        <v>3.8721999999999999E-2</v>
      </c>
      <c r="K464" s="15">
        <v>2.1503000000000001E-2</v>
      </c>
      <c r="L464" s="15">
        <v>-1.0217E-2</v>
      </c>
      <c r="M464" s="15">
        <v>7.0045000000000003E-3</v>
      </c>
      <c r="N464" s="15">
        <v>2.2686000000000001E-2</v>
      </c>
      <c r="O464" s="15">
        <v>0.17949000000000001</v>
      </c>
      <c r="P464" s="15">
        <v>-0.14646999999999999</v>
      </c>
      <c r="Q464" s="15">
        <v>0.11654</v>
      </c>
      <c r="R464" s="15">
        <v>0.29893999999999998</v>
      </c>
      <c r="S464" s="15">
        <v>0.88590000000000002</v>
      </c>
      <c r="T464" s="15">
        <v>-0.1381</v>
      </c>
      <c r="U464" s="15">
        <v>3.6767000000000001E-2</v>
      </c>
      <c r="V464" s="15">
        <v>-0.17509</v>
      </c>
      <c r="W464" s="15">
        <v>-3.6498000000000003E-2</v>
      </c>
      <c r="X464" s="15">
        <v>5.8719000000000002E-3</v>
      </c>
      <c r="Y464" s="15">
        <v>1.9768000000000001E-2</v>
      </c>
    </row>
    <row r="465" spans="1:25" x14ac:dyDescent="0.25">
      <c r="A465" s="25" t="s">
        <v>13</v>
      </c>
      <c r="B465" s="14">
        <v>3.2897999999999998E-3</v>
      </c>
      <c r="C465" s="14">
        <v>2.1405999999999999E-3</v>
      </c>
      <c r="D465" s="15">
        <v>1.8044999999999999E-2</v>
      </c>
      <c r="E465" s="15">
        <v>2.5555999999999999E-3</v>
      </c>
      <c r="F465" s="15">
        <v>1.9958E-2</v>
      </c>
      <c r="G465" s="15">
        <v>-1.2113000000000001E-2</v>
      </c>
      <c r="H465" s="15">
        <v>-3.0419999999999999E-2</v>
      </c>
      <c r="I465" s="15">
        <v>-1.8985999999999999E-2</v>
      </c>
      <c r="J465" s="15">
        <v>1.0864E-2</v>
      </c>
      <c r="K465" s="15">
        <v>2.3406E-2</v>
      </c>
      <c r="L465" s="15">
        <v>-8.0154000000000006E-3</v>
      </c>
      <c r="M465" s="15">
        <v>1.1169E-2</v>
      </c>
      <c r="N465" s="15">
        <v>4.2477000000000001E-2</v>
      </c>
      <c r="O465" s="15">
        <v>5.3635000000000002E-2</v>
      </c>
      <c r="P465" s="15">
        <v>-3.5018000000000001E-2</v>
      </c>
      <c r="Q465" s="15">
        <v>5.4440000000000002E-2</v>
      </c>
      <c r="R465" s="15">
        <v>-4.6059000000000003E-2</v>
      </c>
      <c r="S465" s="15">
        <v>-6.3256999999999994E-2</v>
      </c>
      <c r="T465" s="15">
        <v>0.14482999999999999</v>
      </c>
      <c r="U465" s="15">
        <v>0.96511000000000002</v>
      </c>
      <c r="V465" s="15">
        <v>-0.14629</v>
      </c>
      <c r="W465" s="15">
        <v>-6.3500000000000001E-2</v>
      </c>
      <c r="X465" s="15">
        <v>4.4975000000000001E-2</v>
      </c>
      <c r="Y465" s="15">
        <v>4.5795000000000002E-2</v>
      </c>
    </row>
    <row r="466" spans="1:25" x14ac:dyDescent="0.25">
      <c r="A466" s="25" t="s">
        <v>38</v>
      </c>
      <c r="B466" s="14">
        <v>1.5066E-2</v>
      </c>
      <c r="C466" s="14">
        <v>1.9806000000000001E-2</v>
      </c>
      <c r="D466" s="15">
        <v>1.2600999999999999E-2</v>
      </c>
      <c r="E466" s="15">
        <v>2.8910000000000002E-2</v>
      </c>
      <c r="F466" s="15">
        <v>0.12720000000000001</v>
      </c>
      <c r="G466" s="15">
        <v>3.5722000000000002E-3</v>
      </c>
      <c r="H466" s="15">
        <v>-9.5235E-2</v>
      </c>
      <c r="I466" s="15">
        <v>7.9467999999999997E-2</v>
      </c>
      <c r="J466" s="15">
        <v>7.0498000000000005E-2</v>
      </c>
      <c r="K466" s="15">
        <v>4.3702999999999999E-2</v>
      </c>
      <c r="L466" s="15">
        <v>-0.16389000000000001</v>
      </c>
      <c r="M466" s="15">
        <v>-1.0732999999999999E-2</v>
      </c>
      <c r="N466" s="15">
        <v>3.9521000000000001E-2</v>
      </c>
      <c r="O466" s="15">
        <v>0.76526000000000005</v>
      </c>
      <c r="P466" s="15">
        <v>-0.21289</v>
      </c>
      <c r="Q466" s="15">
        <v>0.44280000000000003</v>
      </c>
      <c r="R466" s="15">
        <v>-0.17907000000000001</v>
      </c>
      <c r="S466" s="15">
        <v>-0.20973</v>
      </c>
      <c r="T466" s="15">
        <v>-1.3766E-2</v>
      </c>
      <c r="U466" s="15">
        <v>-0.11784</v>
      </c>
      <c r="V466" s="15">
        <v>-1.4317E-2</v>
      </c>
      <c r="W466" s="15">
        <v>-9.1141E-2</v>
      </c>
      <c r="X466" s="15">
        <v>6.1969999999999997E-2</v>
      </c>
      <c r="Y466" s="15">
        <v>4.3464000000000003E-2</v>
      </c>
    </row>
    <row r="467" spans="1:25" x14ac:dyDescent="0.25">
      <c r="A467" s="25" t="s">
        <v>10</v>
      </c>
      <c r="B467" s="14">
        <v>-4.3172000000000002E-3</v>
      </c>
      <c r="C467" s="14">
        <v>2.366E-2</v>
      </c>
      <c r="D467" s="15">
        <v>-1.9966999999999999E-2</v>
      </c>
      <c r="E467" s="15">
        <v>2.4098000000000001E-2</v>
      </c>
      <c r="F467" s="15">
        <v>-4.0863999999999998E-2</v>
      </c>
      <c r="G467" s="15">
        <v>2.8510000000000001E-2</v>
      </c>
      <c r="H467" s="15">
        <v>3.1683000000000003E-2</v>
      </c>
      <c r="I467" s="15">
        <v>0.12307999999999999</v>
      </c>
      <c r="J467" s="15">
        <v>-7.6175000000000007E-2</v>
      </c>
      <c r="K467" s="15">
        <v>-0.13502</v>
      </c>
      <c r="L467" s="15">
        <v>-0.13411999999999999</v>
      </c>
      <c r="M467" s="15">
        <v>-6.8798999999999999E-2</v>
      </c>
      <c r="N467" s="15">
        <v>9.2564999999999995E-2</v>
      </c>
      <c r="O467" s="15">
        <v>-0.35037000000000001</v>
      </c>
      <c r="P467" s="15">
        <v>0.40366999999999997</v>
      </c>
      <c r="Q467" s="15">
        <v>0.78193999999999997</v>
      </c>
      <c r="R467" s="15">
        <v>2.3130000000000001E-2</v>
      </c>
      <c r="S467" s="15">
        <v>2.7799999999999998E-2</v>
      </c>
      <c r="T467" s="15">
        <v>-4.1420999999999999E-2</v>
      </c>
      <c r="U467" s="15">
        <v>6.7942999999999996E-3</v>
      </c>
      <c r="V467" s="15">
        <v>1.9217999999999999E-2</v>
      </c>
      <c r="W467" s="15">
        <v>-9.7962999999999995E-2</v>
      </c>
      <c r="X467" s="15">
        <v>-0.11747</v>
      </c>
      <c r="Y467" s="15">
        <v>-2.2457999999999999E-2</v>
      </c>
    </row>
    <row r="468" spans="1:25" x14ac:dyDescent="0.25">
      <c r="A468" s="25" t="s">
        <v>9</v>
      </c>
      <c r="B468" s="14">
        <v>1.7648E-3</v>
      </c>
      <c r="C468" s="14">
        <v>1.8287E-6</v>
      </c>
      <c r="D468" s="15">
        <v>4.4961999999999997E-3</v>
      </c>
      <c r="E468" s="15">
        <v>-5.2490000000000002E-4</v>
      </c>
      <c r="F468" s="15">
        <v>1.8265E-2</v>
      </c>
      <c r="G468" s="15">
        <v>-2.7512999999999999E-3</v>
      </c>
      <c r="H468" s="15">
        <v>-1.3023E-2</v>
      </c>
      <c r="I468" s="15">
        <v>-2.085E-3</v>
      </c>
      <c r="J468" s="15">
        <v>9.2390000000000007E-3</v>
      </c>
      <c r="K468" s="15">
        <v>1.2657E-2</v>
      </c>
      <c r="L468" s="15">
        <v>-4.9766000000000003E-3</v>
      </c>
      <c r="M468" s="15">
        <v>-5.8875999999999998E-3</v>
      </c>
      <c r="N468" s="15">
        <v>-3.2010999999999998E-2</v>
      </c>
      <c r="O468" s="15">
        <v>8.9949000000000001E-2</v>
      </c>
      <c r="P468" s="15">
        <v>2.7650000000000001E-2</v>
      </c>
      <c r="Q468" s="15">
        <v>3.9163999999999997E-2</v>
      </c>
      <c r="R468" s="15">
        <v>1.4824E-3</v>
      </c>
      <c r="S468" s="15">
        <v>7.8392000000000003E-2</v>
      </c>
      <c r="T468" s="15">
        <v>-4.4551E-2</v>
      </c>
      <c r="U468" s="15">
        <v>0.11846</v>
      </c>
      <c r="V468" s="15">
        <v>0.42431999999999997</v>
      </c>
      <c r="W468" s="15">
        <v>0.21523</v>
      </c>
      <c r="X468" s="15">
        <v>0.13092000000000001</v>
      </c>
      <c r="Y468" s="15">
        <v>-0.84974000000000005</v>
      </c>
    </row>
    <row r="469" spans="1:25" x14ac:dyDescent="0.25">
      <c r="A469" s="25" t="s">
        <v>36</v>
      </c>
      <c r="B469" s="14">
        <v>9.8258999999999998E-4</v>
      </c>
      <c r="C469" s="14">
        <v>-6.3955000000000001E-3</v>
      </c>
      <c r="D469" s="15">
        <v>1.8429E-3</v>
      </c>
      <c r="E469" s="15">
        <v>-1.0489E-2</v>
      </c>
      <c r="F469" s="15">
        <v>5.4124999999999998E-3</v>
      </c>
      <c r="G469" s="15">
        <v>-3.0506999999999999E-3</v>
      </c>
      <c r="H469" s="15">
        <v>-6.0946999999999998E-3</v>
      </c>
      <c r="I469" s="15">
        <v>-2.5665E-2</v>
      </c>
      <c r="J469" s="15">
        <v>1.5416E-3</v>
      </c>
      <c r="K469" s="15">
        <v>1.7502E-2</v>
      </c>
      <c r="L469" s="15">
        <v>2.836E-2</v>
      </c>
      <c r="M469" s="15">
        <v>6.7076999999999996E-3</v>
      </c>
      <c r="N469" s="15">
        <v>-3.3028000000000002E-2</v>
      </c>
      <c r="O469" s="15">
        <v>1.1981E-2</v>
      </c>
      <c r="P469" s="15">
        <v>9.1824000000000003E-2</v>
      </c>
      <c r="Q469" s="15">
        <v>-5.6676999999999998E-2</v>
      </c>
      <c r="R469" s="15">
        <v>9.7882999999999998E-3</v>
      </c>
      <c r="S469" s="15">
        <v>0.11995</v>
      </c>
      <c r="T469" s="15">
        <v>1.5398999999999999E-2</v>
      </c>
      <c r="U469" s="15">
        <v>4.9035000000000002E-2</v>
      </c>
      <c r="V469" s="15">
        <v>0.67761000000000005</v>
      </c>
      <c r="W469" s="15">
        <v>-0.56511</v>
      </c>
      <c r="X469" s="15">
        <v>0.34266000000000002</v>
      </c>
      <c r="Y469" s="15">
        <v>0.26839000000000002</v>
      </c>
    </row>
    <row r="470" spans="1:25" x14ac:dyDescent="0.25">
      <c r="A470" s="25" t="s">
        <v>8</v>
      </c>
      <c r="B470" s="14">
        <v>-6.1190999999999997E-3</v>
      </c>
      <c r="C470" s="14">
        <v>-2.4695999999999999E-2</v>
      </c>
      <c r="D470" s="15">
        <v>1.4429000000000001E-2</v>
      </c>
      <c r="E470" s="15">
        <v>-1.8134999999999998E-2</v>
      </c>
      <c r="F470" s="15">
        <v>3.9831999999999999E-2</v>
      </c>
      <c r="G470" s="15">
        <v>-6.9142999999999996E-2</v>
      </c>
      <c r="H470" s="15">
        <v>-5.2461000000000001E-2</v>
      </c>
      <c r="I470" s="15">
        <v>-4.3778999999999998E-2</v>
      </c>
      <c r="J470" s="15">
        <v>0.14601</v>
      </c>
      <c r="K470" s="15">
        <v>-4.1951000000000002E-2</v>
      </c>
      <c r="L470" s="15">
        <v>9.2367000000000005E-2</v>
      </c>
      <c r="M470" s="15">
        <v>-9.3632000000000003E-3</v>
      </c>
      <c r="N470" s="15">
        <v>-0.71597</v>
      </c>
      <c r="O470" s="15">
        <v>0.26893</v>
      </c>
      <c r="P470" s="15">
        <v>0.58377000000000001</v>
      </c>
      <c r="Q470" s="15">
        <v>-5.96E-2</v>
      </c>
      <c r="R470" s="15">
        <v>2.2998000000000001E-2</v>
      </c>
      <c r="S470" s="15">
        <v>3.6878000000000001E-2</v>
      </c>
      <c r="T470" s="15">
        <v>-3.5117000000000002E-2</v>
      </c>
      <c r="U470" s="15">
        <v>4.3867999999999997E-2</v>
      </c>
      <c r="V470" s="15">
        <v>-5.3247999999999997E-2</v>
      </c>
      <c r="W470" s="15">
        <v>9.1198000000000001E-2</v>
      </c>
      <c r="X470" s="15">
        <v>-7.5064000000000006E-2</v>
      </c>
      <c r="Y470" s="15">
        <v>7.0583999999999994E-2</v>
      </c>
    </row>
    <row r="471" spans="1:25" x14ac:dyDescent="0.25">
      <c r="A471" s="25" t="s">
        <v>31</v>
      </c>
      <c r="B471" s="14">
        <v>7.8978999999999996E-4</v>
      </c>
      <c r="C471" s="14">
        <v>8.8940000000000009E-3</v>
      </c>
      <c r="D471" s="15">
        <v>-1.9824999999999999E-3</v>
      </c>
      <c r="E471" s="15">
        <v>-9.2723999999999997E-4</v>
      </c>
      <c r="F471" s="15">
        <v>4.6830999999999999E-3</v>
      </c>
      <c r="G471" s="15">
        <v>1.2501E-2</v>
      </c>
      <c r="H471" s="15">
        <v>1.3041000000000001E-2</v>
      </c>
      <c r="I471" s="15">
        <v>1.1283E-2</v>
      </c>
      <c r="J471" s="15">
        <v>3.0200000000000001E-3</v>
      </c>
      <c r="K471" s="15">
        <v>-1.5358999999999999E-2</v>
      </c>
      <c r="L471" s="15">
        <v>-2.1485000000000001E-2</v>
      </c>
      <c r="M471" s="15">
        <v>1.0055000000000001E-3</v>
      </c>
      <c r="N471" s="15">
        <v>1.328E-2</v>
      </c>
      <c r="O471" s="15">
        <v>-5.5256E-2</v>
      </c>
      <c r="P471" s="15">
        <v>6.3025999999999999E-2</v>
      </c>
      <c r="Q471" s="15">
        <v>0.13053000000000001</v>
      </c>
      <c r="R471" s="15">
        <v>3.4901000000000001E-2</v>
      </c>
      <c r="S471" s="15">
        <v>4.8786000000000003E-2</v>
      </c>
      <c r="T471" s="15">
        <v>0.30463000000000001</v>
      </c>
      <c r="U471" s="15">
        <v>-5.7081E-2</v>
      </c>
      <c r="V471" s="15">
        <v>-2.8211E-2</v>
      </c>
      <c r="W471" s="15">
        <v>0.52586999999999995</v>
      </c>
      <c r="X471" s="15">
        <v>0.74231000000000003</v>
      </c>
      <c r="Y471" s="15">
        <v>0.21557000000000001</v>
      </c>
    </row>
    <row r="472" spans="1:25" x14ac:dyDescent="0.25">
      <c r="A472" s="25" t="s">
        <v>30</v>
      </c>
      <c r="B472" s="14">
        <v>0.13769999999999999</v>
      </c>
      <c r="C472" s="14">
        <v>-2.5614000000000001E-2</v>
      </c>
      <c r="D472" s="15">
        <v>5.3587999999999997E-2</v>
      </c>
      <c r="E472" s="15">
        <v>-0.23186999999999999</v>
      </c>
      <c r="F472" s="15">
        <v>0.75848000000000004</v>
      </c>
      <c r="G472" s="15">
        <v>0.18279000000000001</v>
      </c>
      <c r="H472" s="15">
        <v>0.49962000000000001</v>
      </c>
      <c r="I472" s="15">
        <v>0.20791999999999999</v>
      </c>
      <c r="J472" s="15">
        <v>-6.6397999999999999E-2</v>
      </c>
      <c r="K472" s="15">
        <v>-4.5135000000000002E-2</v>
      </c>
      <c r="L472" s="15">
        <v>3.2163999999999998E-2</v>
      </c>
      <c r="M472" s="15">
        <v>-9.6156000000000005E-2</v>
      </c>
      <c r="N472" s="15">
        <v>-2.9330999999999999E-2</v>
      </c>
      <c r="O472" s="15">
        <v>-3.7606000000000001E-2</v>
      </c>
      <c r="P472" s="15">
        <v>3.5401999999999999E-3</v>
      </c>
      <c r="Q472" s="15">
        <v>-4.4110999999999997E-2</v>
      </c>
      <c r="R472" s="15">
        <v>1.0113E-2</v>
      </c>
      <c r="S472" s="15">
        <v>-1.1055000000000001E-2</v>
      </c>
      <c r="T472" s="15">
        <v>-2.5555999999999999E-2</v>
      </c>
      <c r="U472" s="15">
        <v>1.7204000000000001E-2</v>
      </c>
      <c r="V472" s="15">
        <v>-5.2843999999999999E-3</v>
      </c>
      <c r="W472" s="15">
        <v>-5.1982E-3</v>
      </c>
      <c r="X472" s="15">
        <v>9.0914000000000001E-4</v>
      </c>
      <c r="Y472" s="15">
        <v>1.4679000000000001E-3</v>
      </c>
    </row>
    <row r="473" spans="1:25" x14ac:dyDescent="0.25">
      <c r="A473" s="25" t="s">
        <v>29</v>
      </c>
      <c r="B473" s="14">
        <v>5.6788999999999997E-3</v>
      </c>
      <c r="C473" s="14">
        <v>9.2641000000000008E-3</v>
      </c>
      <c r="D473" s="15">
        <v>5.2350000000000001E-3</v>
      </c>
      <c r="E473" s="15">
        <v>-1.8464000000000001E-2</v>
      </c>
      <c r="F473" s="15">
        <v>4.2625000000000003E-2</v>
      </c>
      <c r="G473" s="15">
        <v>2.3369999999999998E-2</v>
      </c>
      <c r="H473" s="15">
        <v>5.1736999999999998E-3</v>
      </c>
      <c r="I473" s="15">
        <v>-3.0155999999999999E-2</v>
      </c>
      <c r="J473" s="15">
        <v>3.5140999999999999E-2</v>
      </c>
      <c r="K473" s="15">
        <v>4.3930999999999998E-2</v>
      </c>
      <c r="L473" s="15">
        <v>-6.6798999999999999E-3</v>
      </c>
      <c r="M473" s="15">
        <v>3.6956999999999997E-2</v>
      </c>
      <c r="N473" s="15">
        <v>2.9763000000000001E-2</v>
      </c>
      <c r="O473" s="15">
        <v>5.6659000000000001E-2</v>
      </c>
      <c r="P473" s="15">
        <v>5.7554000000000001E-2</v>
      </c>
      <c r="Q473" s="15">
        <v>-4.2862999999999998E-3</v>
      </c>
      <c r="R473" s="15">
        <v>-1.9824000000000001E-2</v>
      </c>
      <c r="S473" s="15">
        <v>0.15279999999999999</v>
      </c>
      <c r="T473" s="15">
        <v>0.91798000000000002</v>
      </c>
      <c r="U473" s="15">
        <v>-0.11977</v>
      </c>
      <c r="V473" s="15">
        <v>2.9000000000000001E-2</v>
      </c>
      <c r="W473" s="15">
        <v>-0.12268</v>
      </c>
      <c r="X473" s="15">
        <v>-0.27778999999999998</v>
      </c>
      <c r="Y473" s="15">
        <v>-0.1019</v>
      </c>
    </row>
    <row r="474" spans="1:25" x14ac:dyDescent="0.25">
      <c r="A474" s="25" t="s">
        <v>288</v>
      </c>
      <c r="B474" s="14">
        <v>3.3146999999999999E-3</v>
      </c>
      <c r="C474" s="14">
        <v>-5.3461000000000003E-3</v>
      </c>
      <c r="D474" s="15">
        <v>3.0348E-2</v>
      </c>
      <c r="E474" s="15">
        <v>-2.1918E-2</v>
      </c>
      <c r="F474" s="15">
        <v>5.0353000000000002E-2</v>
      </c>
      <c r="G474" s="15">
        <v>-0.15242</v>
      </c>
      <c r="H474" s="15">
        <v>8.8173000000000001E-2</v>
      </c>
      <c r="I474" s="15">
        <v>0.16031000000000001</v>
      </c>
      <c r="J474" s="15">
        <v>3.2759000000000003E-2</v>
      </c>
      <c r="K474" s="15">
        <v>1.4940999999999999E-2</v>
      </c>
      <c r="L474" s="15">
        <v>-0.33134000000000002</v>
      </c>
      <c r="M474" s="15">
        <v>0.90537999999999996</v>
      </c>
      <c r="N474" s="15">
        <v>-5.9351000000000001E-2</v>
      </c>
      <c r="O474" s="15">
        <v>-5.8640999999999999E-2</v>
      </c>
      <c r="P474" s="15">
        <v>7.0615000000000001E-3</v>
      </c>
      <c r="Q474" s="15">
        <v>-1.5415999999999999E-2</v>
      </c>
      <c r="R474" s="15">
        <v>1.2718999999999999E-2</v>
      </c>
      <c r="S474" s="15">
        <v>-5.4720999999999997E-3</v>
      </c>
      <c r="T474" s="15">
        <v>-2.9578E-2</v>
      </c>
      <c r="U474" s="15">
        <v>2.6327E-3</v>
      </c>
      <c r="V474" s="15">
        <v>1.2841E-2</v>
      </c>
      <c r="W474" s="15">
        <v>4.6476E-3</v>
      </c>
      <c r="X474" s="15">
        <v>-4.2096E-3</v>
      </c>
      <c r="Y474" s="15">
        <v>1.8209000000000001E-4</v>
      </c>
    </row>
    <row r="475" spans="1:25" x14ac:dyDescent="0.25">
      <c r="A475" s="25" t="s">
        <v>289</v>
      </c>
      <c r="B475" s="14">
        <v>2.7366999999999999E-2</v>
      </c>
      <c r="C475" s="14">
        <v>0.16841</v>
      </c>
      <c r="D475" s="15">
        <v>-4.5367999999999999E-2</v>
      </c>
      <c r="E475" s="15">
        <v>3.3442E-2</v>
      </c>
      <c r="F475" s="15">
        <v>3.3089E-2</v>
      </c>
      <c r="G475" s="15">
        <v>0.85779000000000005</v>
      </c>
      <c r="H475" s="15">
        <v>-0.17760999999999999</v>
      </c>
      <c r="I475" s="15">
        <v>-0.27977000000000002</v>
      </c>
      <c r="J475" s="15">
        <v>0.23465</v>
      </c>
      <c r="K475" s="15">
        <v>-0.16281999999999999</v>
      </c>
      <c r="L475" s="15">
        <v>-8.7057999999999996E-2</v>
      </c>
      <c r="M475" s="15">
        <v>0.17030000000000001</v>
      </c>
      <c r="N475" s="15">
        <v>-1.8960999999999999E-2</v>
      </c>
      <c r="O475" s="15">
        <v>-2.9170000000000001E-2</v>
      </c>
      <c r="P475" s="15">
        <v>4.4020999999999999E-3</v>
      </c>
      <c r="Q475" s="15">
        <v>-6.1969E-3</v>
      </c>
      <c r="R475" s="15">
        <v>8.5576000000000003E-3</v>
      </c>
      <c r="S475" s="15">
        <v>-3.3205999999999999E-3</v>
      </c>
      <c r="T475" s="15">
        <v>-3.7956999999999998E-2</v>
      </c>
      <c r="U475" s="15">
        <v>6.7356999999999998E-3</v>
      </c>
      <c r="V475" s="15">
        <v>-5.4905999999999998E-4</v>
      </c>
      <c r="W475" s="15">
        <v>7.7736000000000002E-5</v>
      </c>
      <c r="X475" s="15">
        <v>-1.8165E-3</v>
      </c>
      <c r="Y475" s="15">
        <v>1.8228999999999999E-4</v>
      </c>
    </row>
    <row r="476" spans="1:25" x14ac:dyDescent="0.25">
      <c r="A476" s="25" t="s">
        <v>95</v>
      </c>
      <c r="B476" s="14">
        <v>0.95130999999999999</v>
      </c>
      <c r="C476" s="14">
        <v>-4.1932999999999998E-2</v>
      </c>
      <c r="D476" s="15">
        <v>-0.18562999999999999</v>
      </c>
      <c r="E476" s="15">
        <v>-2.0017E-2</v>
      </c>
      <c r="F476" s="15">
        <v>-0.11218</v>
      </c>
      <c r="G476" s="15">
        <v>-7.8410999999999995E-2</v>
      </c>
      <c r="H476" s="15">
        <v>-7.8897999999999996E-2</v>
      </c>
      <c r="I476" s="15">
        <v>4.9973999999999998E-2</v>
      </c>
      <c r="J476" s="15">
        <v>9.2005000000000003E-2</v>
      </c>
      <c r="K476" s="15">
        <v>-0.14638999999999999</v>
      </c>
      <c r="L476" s="15">
        <v>-9.7727999999999999E-3</v>
      </c>
      <c r="M476" s="15">
        <v>-1.0453E-2</v>
      </c>
      <c r="N476" s="15">
        <v>6.2334000000000001E-3</v>
      </c>
      <c r="O476" s="15">
        <v>-5.3562999999999996E-3</v>
      </c>
      <c r="P476" s="15">
        <v>-1.6150999999999999E-2</v>
      </c>
      <c r="Q476" s="15">
        <v>-1.8815999999999999E-2</v>
      </c>
      <c r="R476" s="15">
        <v>-5.1012000000000002E-3</v>
      </c>
      <c r="S476" s="15">
        <v>4.15E-3</v>
      </c>
      <c r="T476" s="15">
        <v>8.4650999999999997E-3</v>
      </c>
      <c r="U476" s="15">
        <v>2.8538000000000001E-3</v>
      </c>
      <c r="V476" s="15">
        <v>4.9944000000000004E-3</v>
      </c>
      <c r="W476" s="15">
        <v>1.4244E-4</v>
      </c>
      <c r="X476" s="15">
        <v>-9.0479000000000004E-4</v>
      </c>
      <c r="Y476" s="15">
        <v>-5.9155999999999998E-4</v>
      </c>
    </row>
    <row r="477" spans="1:25" x14ac:dyDescent="0.25">
      <c r="A477" s="25" t="s">
        <v>96</v>
      </c>
      <c r="B477" s="14">
        <v>0.19578999999999999</v>
      </c>
      <c r="C477" s="14">
        <v>0.68301999999999996</v>
      </c>
      <c r="D477" s="15">
        <v>0.48752000000000001</v>
      </c>
      <c r="E477" s="15">
        <v>0.10184</v>
      </c>
      <c r="F477" s="15">
        <v>1.8568000000000001E-2</v>
      </c>
      <c r="G477" s="15">
        <v>-7.6282000000000003E-2</v>
      </c>
      <c r="H477" s="15">
        <v>4.4269999999999997E-2</v>
      </c>
      <c r="I477" s="15">
        <v>-0.15432999999999999</v>
      </c>
      <c r="J477" s="15">
        <v>-9.5051999999999998E-2</v>
      </c>
      <c r="K477" s="15">
        <v>0.35414000000000001</v>
      </c>
      <c r="L477" s="15">
        <v>-0.246</v>
      </c>
      <c r="M477" s="15">
        <v>-0.10273</v>
      </c>
      <c r="N477" s="15">
        <v>-5.8590999999999997E-2</v>
      </c>
      <c r="O477" s="15">
        <v>-5.4885000000000003E-2</v>
      </c>
      <c r="P477" s="15">
        <v>4.1465000000000002E-2</v>
      </c>
      <c r="Q477" s="15">
        <v>-2.3139E-2</v>
      </c>
      <c r="R477" s="15">
        <v>1.4008E-2</v>
      </c>
      <c r="S477" s="15">
        <v>-1.0812E-2</v>
      </c>
      <c r="T477" s="15">
        <v>-2.0274E-2</v>
      </c>
      <c r="U477" s="15">
        <v>-1.2806E-2</v>
      </c>
      <c r="V477" s="15">
        <v>-6.7977999999999997E-3</v>
      </c>
      <c r="W477" s="15">
        <v>-2.0658E-3</v>
      </c>
      <c r="X477" s="15">
        <v>2.2945000000000001E-3</v>
      </c>
      <c r="Y477" s="15">
        <v>1.0858E-3</v>
      </c>
    </row>
    <row r="478" spans="1:25" x14ac:dyDescent="0.25">
      <c r="A478" s="25" t="s">
        <v>28</v>
      </c>
      <c r="B478" s="14">
        <v>0.11633</v>
      </c>
      <c r="C478" s="14">
        <v>-0.44627</v>
      </c>
      <c r="D478" s="15">
        <v>0.63102000000000003</v>
      </c>
      <c r="E478" s="15">
        <v>0.54593000000000003</v>
      </c>
      <c r="F478" s="15">
        <v>0.16405</v>
      </c>
      <c r="G478" s="15">
        <v>4.2201000000000002E-2</v>
      </c>
      <c r="H478" s="15">
        <v>-0.12861</v>
      </c>
      <c r="I478" s="15">
        <v>-1.1424999999999999E-2</v>
      </c>
      <c r="J478" s="15">
        <v>2.9232999999999999E-2</v>
      </c>
      <c r="K478" s="15">
        <v>-7.1264999999999995E-2</v>
      </c>
      <c r="L478" s="15">
        <v>0.17316000000000001</v>
      </c>
      <c r="M478" s="15">
        <v>6.4654000000000003E-2</v>
      </c>
      <c r="N478" s="15">
        <v>3.3366E-2</v>
      </c>
      <c r="O478" s="15">
        <v>-5.3046999999999997E-2</v>
      </c>
      <c r="P478" s="15">
        <v>-2.1335E-3</v>
      </c>
      <c r="Q478" s="15">
        <v>2.8154999999999999E-2</v>
      </c>
      <c r="R478" s="15">
        <v>-2.002E-2</v>
      </c>
      <c r="S478" s="15">
        <v>-8.9005000000000004E-3</v>
      </c>
      <c r="T478" s="15">
        <v>4.6689000000000001E-3</v>
      </c>
      <c r="U478" s="15">
        <v>-1.9487000000000001E-2</v>
      </c>
      <c r="V478" s="15">
        <v>3.3617E-3</v>
      </c>
      <c r="W478" s="15">
        <v>1.2255E-3</v>
      </c>
      <c r="X478" s="15">
        <v>-2.9751999999999999E-5</v>
      </c>
      <c r="Y478" s="15">
        <v>-1.0518000000000001E-3</v>
      </c>
    </row>
    <row r="479" spans="1:25" x14ac:dyDescent="0.25">
      <c r="A479" s="273" t="s">
        <v>290</v>
      </c>
      <c r="B479" s="14">
        <v>9.5616999999999994E-2</v>
      </c>
      <c r="C479" s="14">
        <v>-1.3497E-2</v>
      </c>
      <c r="D479" s="15">
        <v>-0.18497</v>
      </c>
      <c r="E479" s="15">
        <v>0.30301</v>
      </c>
      <c r="F479" s="15">
        <v>-0.25313000000000002</v>
      </c>
      <c r="G479" s="15">
        <v>0.17272999999999999</v>
      </c>
      <c r="H479" s="15">
        <v>0.56384999999999996</v>
      </c>
      <c r="I479" s="15">
        <v>-0.24379999999999999</v>
      </c>
      <c r="J479" s="15">
        <v>-0.36675999999999997</v>
      </c>
      <c r="K479" s="15">
        <v>0.23665</v>
      </c>
      <c r="L479" s="15">
        <v>0.34656999999999999</v>
      </c>
      <c r="M479" s="15">
        <v>0.19178000000000001</v>
      </c>
      <c r="N479" s="15">
        <v>-2.0716999999999999E-2</v>
      </c>
      <c r="O479" s="15">
        <v>0.16975999999999999</v>
      </c>
      <c r="P479" s="15">
        <v>4.6935999999999999E-2</v>
      </c>
      <c r="Q479" s="15">
        <v>0.1187</v>
      </c>
      <c r="R479" s="15">
        <v>3.5539E-3</v>
      </c>
      <c r="S479" s="15">
        <v>-6.2126999999999998E-3</v>
      </c>
      <c r="T479" s="15">
        <v>-9.2654999999999994E-3</v>
      </c>
      <c r="U479" s="15">
        <v>7.4580000000000002E-3</v>
      </c>
      <c r="V479" s="15">
        <v>-1.4614E-2</v>
      </c>
      <c r="W479" s="15">
        <v>3.2824999999999998E-3</v>
      </c>
      <c r="X479" s="15">
        <v>-1.8485000000000001E-3</v>
      </c>
      <c r="Y479" s="15">
        <v>1.1241999999999999E-3</v>
      </c>
    </row>
    <row r="480" spans="1:25" x14ac:dyDescent="0.25">
      <c r="A480" s="25" t="s">
        <v>97</v>
      </c>
      <c r="B480" s="14">
        <v>-5.4146E-2</v>
      </c>
      <c r="C480" s="14">
        <v>0.10448</v>
      </c>
      <c r="D480" s="15">
        <v>0.27524999999999999</v>
      </c>
      <c r="E480" s="15">
        <v>-0.11831</v>
      </c>
      <c r="F480" s="15">
        <v>-0.30771999999999999</v>
      </c>
      <c r="G480" s="15">
        <v>-0.10118000000000001</v>
      </c>
      <c r="H480" s="15">
        <v>0.50666</v>
      </c>
      <c r="I480" s="15">
        <v>-1.9628E-2</v>
      </c>
      <c r="J480" s="15">
        <v>0.63753000000000004</v>
      </c>
      <c r="K480" s="15">
        <v>-0.30741000000000002</v>
      </c>
      <c r="L480" s="15">
        <v>0.1265</v>
      </c>
      <c r="M480" s="15">
        <v>-1.8558000000000002E-2</v>
      </c>
      <c r="N480" s="15">
        <v>9.3385999999999997E-2</v>
      </c>
      <c r="O480" s="15">
        <v>4.8312000000000001E-2</v>
      </c>
      <c r="P480" s="15">
        <v>-5.5294999999999997E-2</v>
      </c>
      <c r="Q480" s="15">
        <v>4.4576999999999999E-2</v>
      </c>
      <c r="R480" s="15">
        <v>-1.4215999999999999E-2</v>
      </c>
      <c r="S480" s="15">
        <v>-1.5556E-2</v>
      </c>
      <c r="T480" s="15">
        <v>-1.1931000000000001E-3</v>
      </c>
      <c r="U480" s="15">
        <v>7.5164000000000003E-3</v>
      </c>
      <c r="V480" s="15">
        <v>2.0753000000000001E-2</v>
      </c>
      <c r="W480" s="15">
        <v>-5.7492999999999997E-3</v>
      </c>
      <c r="X480" s="15">
        <v>-4.1190999999999997E-3</v>
      </c>
      <c r="Y480" s="15">
        <v>-1.0717999999999999E-3</v>
      </c>
    </row>
    <row r="481" spans="1:25" x14ac:dyDescent="0.25">
      <c r="A481" s="25" t="s">
        <v>27</v>
      </c>
      <c r="B481" s="14">
        <v>7.0283999999999999E-2</v>
      </c>
      <c r="C481" s="14">
        <v>-0.18401000000000001</v>
      </c>
      <c r="D481" s="15">
        <v>-1.3642000000000001E-3</v>
      </c>
      <c r="E481" s="15">
        <v>-0.33033000000000001</v>
      </c>
      <c r="F481" s="15">
        <v>0.16879</v>
      </c>
      <c r="G481" s="15">
        <v>-8.4303000000000003E-2</v>
      </c>
      <c r="H481" s="15">
        <v>-0.14163999999999999</v>
      </c>
      <c r="I481" s="15">
        <v>-0.34549000000000002</v>
      </c>
      <c r="J481" s="15">
        <v>0.35949999999999999</v>
      </c>
      <c r="K481" s="15">
        <v>0.59970000000000001</v>
      </c>
      <c r="L481" s="15">
        <v>0.29763000000000001</v>
      </c>
      <c r="M481" s="15">
        <v>0.13192000000000001</v>
      </c>
      <c r="N481" s="15">
        <v>0.15121999999999999</v>
      </c>
      <c r="O481" s="15">
        <v>-0.10647</v>
      </c>
      <c r="P481" s="15">
        <v>8.2632999999999998E-2</v>
      </c>
      <c r="Q481" s="15">
        <v>0.18154999999999999</v>
      </c>
      <c r="R481" s="15">
        <v>-2.5647E-2</v>
      </c>
      <c r="S481" s="15">
        <v>-3.3061E-2</v>
      </c>
      <c r="T481" s="15">
        <v>-6.744E-2</v>
      </c>
      <c r="U481" s="15">
        <v>-3.6428000000000002E-2</v>
      </c>
      <c r="V481" s="15">
        <v>-2.2280999999999999E-2</v>
      </c>
      <c r="W481" s="15">
        <v>8.6327999999999995E-3</v>
      </c>
      <c r="X481" s="15">
        <v>1.4387E-3</v>
      </c>
      <c r="Y481" s="15">
        <v>-1.8189E-3</v>
      </c>
    </row>
    <row r="482" spans="1:25" x14ac:dyDescent="0.25">
      <c r="A482" s="25" t="s">
        <v>98</v>
      </c>
      <c r="B482" s="14">
        <v>4.1638999999999999E-3</v>
      </c>
      <c r="C482" s="14">
        <v>0.38027</v>
      </c>
      <c r="D482" s="15">
        <v>0.16353000000000001</v>
      </c>
      <c r="E482" s="15">
        <v>-0.22841</v>
      </c>
      <c r="F482" s="15">
        <v>5.3761000000000003E-2</v>
      </c>
      <c r="G482" s="15">
        <v>-3.6360999999999997E-2</v>
      </c>
      <c r="H482" s="15">
        <v>-0.27034000000000002</v>
      </c>
      <c r="I482" s="15">
        <v>0.15151000000000001</v>
      </c>
      <c r="J482" s="15">
        <v>-0.22678000000000001</v>
      </c>
      <c r="K482" s="15">
        <v>-0.29479</v>
      </c>
      <c r="L482" s="15">
        <v>0.67510999999999999</v>
      </c>
      <c r="M482" s="15">
        <v>0.25291000000000002</v>
      </c>
      <c r="N482" s="15">
        <v>7.6741000000000004E-2</v>
      </c>
      <c r="O482" s="15">
        <v>6.0474E-2</v>
      </c>
      <c r="P482" s="15">
        <v>-7.1072000000000001E-3</v>
      </c>
      <c r="Q482" s="15">
        <v>7.9732999999999998E-2</v>
      </c>
      <c r="R482" s="15">
        <v>-4.4526999999999997E-2</v>
      </c>
      <c r="S482" s="15">
        <v>-8.4373999999999999E-6</v>
      </c>
      <c r="T482" s="15">
        <v>4.9841E-3</v>
      </c>
      <c r="U482" s="15">
        <v>-1.2036E-2</v>
      </c>
      <c r="V482" s="15">
        <v>-1.5192000000000001E-3</v>
      </c>
      <c r="W482" s="15">
        <v>6.1614E-3</v>
      </c>
      <c r="X482" s="15">
        <v>-2.9050999999999999E-3</v>
      </c>
      <c r="Y482" s="15">
        <v>-1.2116E-3</v>
      </c>
    </row>
    <row r="483" spans="1:25" x14ac:dyDescent="0.25">
      <c r="A483" s="25" t="s">
        <v>99</v>
      </c>
      <c r="B483" s="14">
        <v>-7.6411000000000007E-2</v>
      </c>
      <c r="C483" s="14">
        <v>0.30969000000000002</v>
      </c>
      <c r="D483" s="15">
        <v>-0.41382999999999998</v>
      </c>
      <c r="E483" s="15">
        <v>0.54979999999999996</v>
      </c>
      <c r="F483" s="15">
        <v>0.39268999999999998</v>
      </c>
      <c r="G483" s="15">
        <v>-0.29881999999999997</v>
      </c>
      <c r="H483" s="15">
        <v>-3.8115000000000003E-2</v>
      </c>
      <c r="I483" s="15">
        <v>-0.21582999999999999</v>
      </c>
      <c r="J483" s="15">
        <v>0.28727999999999998</v>
      </c>
      <c r="K483" s="15">
        <v>-0.15268000000000001</v>
      </c>
      <c r="L483" s="15">
        <v>0.11235000000000001</v>
      </c>
      <c r="M483" s="15">
        <v>3.1484999999999999E-2</v>
      </c>
      <c r="N483" s="15">
        <v>6.8701999999999999E-2</v>
      </c>
      <c r="O483" s="15">
        <v>-8.6277999999999994E-2</v>
      </c>
      <c r="P483" s="15">
        <v>-1.4128E-2</v>
      </c>
      <c r="Q483" s="15">
        <v>1.4055E-2</v>
      </c>
      <c r="R483" s="15">
        <v>-2.7178000000000001E-2</v>
      </c>
      <c r="S483" s="15">
        <v>-1.2300999999999999E-2</v>
      </c>
      <c r="T483" s="15">
        <v>-7.7291E-3</v>
      </c>
      <c r="U483" s="15">
        <v>-9.0191000000000004E-3</v>
      </c>
      <c r="V483" s="15">
        <v>1.125E-2</v>
      </c>
      <c r="W483" s="15">
        <v>4.3255000000000002E-4</v>
      </c>
      <c r="X483" s="15">
        <v>-2.7661999999999999E-3</v>
      </c>
      <c r="Y483" s="15">
        <v>-4.5787999999999997E-4</v>
      </c>
    </row>
    <row r="526" spans="4:4" x14ac:dyDescent="0.25">
      <c r="D526" s="7" t="s">
        <v>362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Data to PCA</vt:lpstr>
      <vt:lpstr>Correlation</vt:lpstr>
      <vt:lpstr>PCA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Bugaj-Nawrocka</dc:creator>
  <cp:lastModifiedBy>MDPI</cp:lastModifiedBy>
  <dcterms:created xsi:type="dcterms:W3CDTF">2024-06-20T19:47:51Z</dcterms:created>
  <dcterms:modified xsi:type="dcterms:W3CDTF">2024-07-21T09:05:29Z</dcterms:modified>
</cp:coreProperties>
</file>