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E:\稿子\2024\3月稿子\3.21\microorganisms-2887499 conversion\"/>
    </mc:Choice>
  </mc:AlternateContent>
  <xr:revisionPtr revIDLastSave="0" documentId="13_ncr:1_{552B6AD3-B277-486F-9FF2-58BF172628DF}" xr6:coauthVersionLast="47" xr6:coauthVersionMax="47" xr10:uidLastSave="{00000000-0000-0000-0000-000000000000}"/>
  <bookViews>
    <workbookView xWindow="-120" yWindow="-120" windowWidth="29040" windowHeight="15840" xr2:uid="{DD7A4BEC-B3D8-47E2-9F4D-BB3AB83ED330}"/>
  </bookViews>
  <sheets>
    <sheet name="Figure S1" sheetId="2" r:id="rId1"/>
    <sheet name="Figure S2" sheetId="1" r:id="rId2"/>
    <sheet name="Table S1" sheetId="3" r:id="rId3"/>
    <sheet name="Table S2" sheetId="4" r:id="rId4"/>
  </sheets>
  <externalReferences>
    <externalReference r:id="rId5"/>
  </externalReferenc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I146" i="3" l="1"/>
  <c r="BH146" i="3"/>
  <c r="BG146" i="3"/>
  <c r="BF146" i="3"/>
  <c r="BE146" i="3"/>
  <c r="BD146" i="3"/>
  <c r="BC146" i="3"/>
  <c r="BB146" i="3"/>
  <c r="BA146" i="3"/>
  <c r="AZ146" i="3"/>
  <c r="AY146" i="3"/>
  <c r="AX146" i="3"/>
  <c r="AW146" i="3"/>
  <c r="K146" i="3"/>
  <c r="J146" i="3"/>
  <c r="I146" i="3"/>
  <c r="G146" i="3"/>
  <c r="D146" i="3"/>
  <c r="BN144" i="3"/>
  <c r="BH144" i="3"/>
  <c r="BG144" i="3"/>
  <c r="BD144" i="3"/>
  <c r="BC144" i="3"/>
  <c r="BB144" i="3"/>
  <c r="BA144" i="3"/>
  <c r="AZ144" i="3"/>
  <c r="AX144" i="3"/>
  <c r="AW144" i="3"/>
  <c r="H144" i="3"/>
  <c r="BN141" i="3"/>
  <c r="BF139" i="3"/>
  <c r="BC139" i="3"/>
  <c r="BB139" i="3"/>
  <c r="BA139" i="3"/>
  <c r="AZ139" i="3"/>
  <c r="AY139" i="3"/>
  <c r="AX139" i="3"/>
  <c r="AW139" i="3"/>
  <c r="BF136" i="3"/>
  <c r="BJ135" i="3"/>
  <c r="BF135" i="3"/>
  <c r="BN133" i="3"/>
  <c r="BI133" i="3"/>
  <c r="BH133" i="3"/>
  <c r="BG133" i="3"/>
  <c r="BF133" i="3"/>
  <c r="BD133" i="3"/>
  <c r="BC133" i="3"/>
  <c r="BB133" i="3"/>
  <c r="BA133" i="3"/>
  <c r="AZ133" i="3"/>
  <c r="AY133" i="3"/>
  <c r="AX133" i="3"/>
  <c r="AW133" i="3"/>
  <c r="G133" i="3"/>
  <c r="BN128" i="3"/>
  <c r="BE128" i="3"/>
  <c r="BA124" i="3"/>
  <c r="AZ124" i="3"/>
  <c r="L124" i="3"/>
  <c r="K124" i="3"/>
  <c r="J124" i="3"/>
  <c r="I124" i="3"/>
  <c r="AW123" i="3"/>
  <c r="G122" i="3"/>
  <c r="D122" i="3"/>
  <c r="C122" i="3"/>
  <c r="BG121" i="3"/>
  <c r="BA121" i="3"/>
  <c r="AW121" i="3"/>
  <c r="D121" i="3"/>
  <c r="K118" i="3"/>
  <c r="I118" i="3"/>
  <c r="BE117" i="3"/>
  <c r="K117" i="3"/>
  <c r="J117" i="3"/>
  <c r="D117" i="3"/>
  <c r="BF115" i="3"/>
  <c r="BE115" i="3"/>
  <c r="BN114" i="3"/>
  <c r="BH114" i="3"/>
  <c r="BG114" i="3"/>
  <c r="BF114" i="3"/>
  <c r="BE114" i="3"/>
  <c r="AW114" i="3"/>
  <c r="C113" i="3"/>
  <c r="BN112" i="3"/>
  <c r="H112" i="3"/>
  <c r="BN111" i="3"/>
  <c r="BH111" i="3"/>
  <c r="AZ111" i="3"/>
  <c r="K111" i="3"/>
  <c r="J111" i="3"/>
  <c r="I111" i="3"/>
  <c r="G111" i="3"/>
  <c r="D111" i="3"/>
  <c r="C111" i="3"/>
  <c r="BH110" i="3"/>
  <c r="BA110" i="3"/>
  <c r="AZ110" i="3"/>
  <c r="G110" i="3"/>
  <c r="BN108" i="3"/>
  <c r="BH108" i="3"/>
  <c r="BC108" i="3"/>
  <c r="H108" i="3"/>
  <c r="C108" i="3"/>
  <c r="BN107" i="3"/>
  <c r="BH107" i="3"/>
  <c r="BF107" i="3"/>
  <c r="BE107" i="3"/>
  <c r="BC107" i="3"/>
  <c r="BB107" i="3"/>
  <c r="BA107" i="3"/>
  <c r="AZ107" i="3"/>
  <c r="AY107" i="3"/>
  <c r="BF104" i="3"/>
  <c r="BH101" i="3"/>
  <c r="BG101" i="3"/>
  <c r="BF101" i="3"/>
  <c r="AW101" i="3"/>
  <c r="K101" i="3"/>
  <c r="J101" i="3"/>
  <c r="I101" i="3"/>
  <c r="D101" i="3"/>
  <c r="C101" i="3"/>
  <c r="BN99" i="3"/>
  <c r="BH99" i="3"/>
  <c r="BG99" i="3"/>
  <c r="BF99" i="3"/>
  <c r="BE99" i="3"/>
  <c r="BD99" i="3"/>
  <c r="BB99" i="3"/>
  <c r="BA99" i="3"/>
  <c r="AZ99" i="3"/>
  <c r="AY99" i="3"/>
  <c r="AX99" i="3"/>
  <c r="H99" i="3"/>
  <c r="G99" i="3"/>
  <c r="BN98" i="3"/>
  <c r="H96" i="3"/>
  <c r="G96" i="3"/>
  <c r="BH95" i="3"/>
  <c r="BG95" i="3"/>
  <c r="BF95" i="3"/>
  <c r="BE95" i="3"/>
  <c r="I91" i="3"/>
  <c r="BG90" i="3"/>
  <c r="BE90" i="3"/>
  <c r="BD90" i="3"/>
  <c r="AX90" i="3"/>
  <c r="H90" i="3"/>
  <c r="G90" i="3"/>
  <c r="BH89" i="3"/>
  <c r="BG89" i="3"/>
  <c r="BF89" i="3"/>
  <c r="BE89" i="3"/>
  <c r="I89" i="3"/>
  <c r="H84" i="3"/>
  <c r="H83" i="3"/>
  <c r="G83" i="3"/>
  <c r="D83" i="3"/>
  <c r="C83" i="3"/>
  <c r="BD82" i="3"/>
  <c r="BC82" i="3"/>
  <c r="AY82" i="3"/>
  <c r="AX82" i="3"/>
  <c r="AW82" i="3"/>
  <c r="G82" i="3"/>
  <c r="D82" i="3"/>
  <c r="H81" i="3"/>
  <c r="BF80" i="3"/>
  <c r="BE80" i="3"/>
  <c r="H80" i="3"/>
  <c r="BI79" i="3"/>
  <c r="BH79" i="3"/>
  <c r="BG79" i="3"/>
  <c r="BF79" i="3"/>
  <c r="BE79" i="3"/>
  <c r="BB79" i="3"/>
  <c r="BA79" i="3"/>
  <c r="AZ79" i="3"/>
  <c r="AY79" i="3"/>
  <c r="AX79" i="3"/>
  <c r="AW79" i="3"/>
  <c r="L79" i="3"/>
  <c r="K79" i="3"/>
  <c r="J79" i="3"/>
  <c r="I79" i="3"/>
  <c r="G79" i="3"/>
  <c r="D79" i="3"/>
  <c r="C79" i="3"/>
  <c r="BN78" i="3"/>
  <c r="BH78" i="3"/>
  <c r="BE78" i="3"/>
  <c r="BB78" i="3"/>
  <c r="AZ78" i="3"/>
  <c r="AY78" i="3"/>
  <c r="AX78" i="3"/>
  <c r="AW78" i="3"/>
  <c r="BF77" i="3"/>
  <c r="BE77" i="3"/>
  <c r="BD77" i="3"/>
  <c r="BC77" i="3"/>
  <c r="BA77" i="3"/>
  <c r="AY77" i="3"/>
  <c r="AX77" i="3"/>
  <c r="L77" i="3"/>
  <c r="K77" i="3"/>
  <c r="J77" i="3"/>
  <c r="I77" i="3"/>
  <c r="G77" i="3"/>
  <c r="D77" i="3"/>
  <c r="C77" i="3"/>
  <c r="BI75" i="3"/>
  <c r="BH75" i="3"/>
  <c r="BE75" i="3"/>
  <c r="AZ75" i="3"/>
  <c r="AX75" i="3"/>
  <c r="L75" i="3"/>
  <c r="K75" i="3"/>
  <c r="J75" i="3"/>
  <c r="I75" i="3"/>
  <c r="G75" i="3"/>
  <c r="C75" i="3"/>
  <c r="BI74" i="3"/>
  <c r="BD74" i="3"/>
  <c r="BC74" i="3"/>
  <c r="BB74" i="3"/>
  <c r="BA74" i="3"/>
  <c r="AY74" i="3"/>
  <c r="AX74" i="3"/>
  <c r="AW74" i="3"/>
  <c r="H74" i="3"/>
  <c r="G74" i="3"/>
  <c r="D74" i="3"/>
  <c r="C74" i="3"/>
  <c r="AZ73" i="3"/>
  <c r="L73" i="3"/>
  <c r="K73" i="3"/>
  <c r="J73" i="3"/>
  <c r="I73" i="3"/>
  <c r="G73" i="3"/>
  <c r="I72" i="3"/>
  <c r="BN71" i="3"/>
  <c r="BI71" i="3"/>
  <c r="BD71" i="3"/>
  <c r="BC71" i="3"/>
  <c r="K71" i="3"/>
  <c r="BH69" i="3"/>
  <c r="BG69" i="3"/>
  <c r="BD69" i="3"/>
  <c r="K69" i="3"/>
  <c r="K66" i="3"/>
  <c r="I63" i="3"/>
  <c r="G62" i="3"/>
  <c r="BN61" i="3"/>
  <c r="BI61" i="3"/>
  <c r="BH61" i="3"/>
  <c r="L61" i="3"/>
  <c r="K61" i="3"/>
  <c r="I61" i="3"/>
  <c r="H61" i="3"/>
  <c r="K59" i="3"/>
  <c r="I59" i="3"/>
  <c r="G59" i="3"/>
  <c r="K58" i="3"/>
  <c r="J58" i="3"/>
  <c r="I58" i="3"/>
  <c r="H58" i="3"/>
  <c r="BD57" i="3"/>
  <c r="AY57" i="3"/>
  <c r="AW57" i="3"/>
  <c r="K57" i="3"/>
  <c r="J57" i="3"/>
  <c r="I57" i="3"/>
  <c r="H57" i="3"/>
  <c r="G57" i="3"/>
  <c r="C57" i="3"/>
  <c r="I56" i="3"/>
  <c r="BN54" i="3"/>
  <c r="J54" i="3"/>
  <c r="BH53" i="3"/>
  <c r="BC53" i="3"/>
  <c r="AW53" i="3"/>
  <c r="BG51" i="3"/>
  <c r="BE51" i="3"/>
  <c r="BD51" i="3"/>
  <c r="BD50" i="3"/>
  <c r="BC50" i="3"/>
  <c r="BA50" i="3"/>
  <c r="AZ50" i="3"/>
  <c r="BI44" i="3"/>
  <c r="BH44" i="3"/>
  <c r="AX44" i="3"/>
  <c r="AW44" i="3"/>
  <c r="BN43" i="3"/>
  <c r="BI43" i="3"/>
  <c r="BH43" i="3"/>
  <c r="BE43" i="3"/>
  <c r="AY43" i="3"/>
  <c r="AX43" i="3"/>
  <c r="L43" i="3"/>
  <c r="K43" i="3"/>
  <c r="J43" i="3"/>
  <c r="I43" i="3"/>
  <c r="BN42" i="3"/>
  <c r="K42" i="3"/>
  <c r="J42" i="3"/>
  <c r="I42" i="3"/>
  <c r="G41" i="3"/>
  <c r="H40" i="3"/>
  <c r="BI37" i="3"/>
  <c r="BG37" i="3"/>
  <c r="BD37" i="3"/>
  <c r="AW37" i="3"/>
  <c r="BN34" i="3"/>
  <c r="BN33" i="3"/>
  <c r="BJ33" i="3"/>
  <c r="BI33" i="3"/>
  <c r="BH33" i="3"/>
  <c r="BG33" i="3"/>
  <c r="BF33" i="3"/>
  <c r="K33" i="3"/>
  <c r="J33" i="3"/>
  <c r="H33" i="3"/>
  <c r="C32" i="3"/>
  <c r="D31" i="3"/>
  <c r="BE30" i="3"/>
  <c r="I29" i="3"/>
  <c r="H29" i="3"/>
  <c r="G29" i="3"/>
  <c r="BJ28" i="3"/>
  <c r="BH28" i="3"/>
  <c r="BF28" i="3"/>
  <c r="BE28" i="3"/>
  <c r="BD28" i="3"/>
  <c r="AY28" i="3"/>
  <c r="J28" i="3"/>
  <c r="BN26" i="3"/>
  <c r="BI26" i="3"/>
  <c r="BH26" i="3"/>
  <c r="BG26" i="3"/>
  <c r="BF26" i="3"/>
  <c r="BE26" i="3"/>
  <c r="BD25" i="3"/>
  <c r="I25" i="3"/>
  <c r="L24" i="3"/>
  <c r="K24" i="3"/>
  <c r="J24" i="3"/>
  <c r="H24" i="3"/>
  <c r="AY22" i="3"/>
  <c r="BF21" i="3"/>
  <c r="E21" i="3"/>
  <c r="BN19" i="3"/>
  <c r="BG19" i="3"/>
  <c r="BF19" i="3"/>
  <c r="BD19" i="3"/>
  <c r="C19" i="3"/>
  <c r="BI14" i="3"/>
  <c r="BD13" i="3"/>
  <c r="BJ12" i="3"/>
  <c r="AY11" i="3"/>
  <c r="AW11" i="3"/>
  <c r="L11" i="3"/>
  <c r="K11" i="3"/>
  <c r="BE7" i="3"/>
  <c r="BD7" i="3"/>
  <c r="L7" i="3"/>
  <c r="K7" i="3"/>
  <c r="J7" i="3"/>
  <c r="C6" i="3"/>
  <c r="AW5" i="3"/>
  <c r="C5" i="3"/>
</calcChain>
</file>

<file path=xl/sharedStrings.xml><?xml version="1.0" encoding="utf-8"?>
<sst xmlns="http://schemas.openxmlformats.org/spreadsheetml/2006/main" count="741" uniqueCount="620">
  <si>
    <r>
      <t>Figure S1</t>
    </r>
    <r>
      <rPr>
        <sz val="12"/>
        <color rgb="FF000000"/>
        <rFont val="Times New Roman"/>
        <family val="1"/>
      </rPr>
      <t xml:space="preserve">. Monthly change of environmental factors in 2010, Long Island Sound. A) Monthly changes of Chlorophyll </t>
    </r>
    <r>
      <rPr>
        <i/>
        <sz val="12"/>
        <color rgb="FF000000"/>
        <rFont val="Times New Roman"/>
        <family val="1"/>
      </rPr>
      <t>a</t>
    </r>
    <r>
      <rPr>
        <sz val="12"/>
        <color rgb="FF000000"/>
        <rFont val="Times New Roman"/>
        <family val="1"/>
      </rPr>
      <t>, temperature and salinity. B) monthly changes of concentration of ammonium, nitrate + nitrite, orthophosphate, total dissolved nitrogen and total dissolved phosphorus in 2010 Long Island Sound. C) monthly changes of biogenic silica and dissolved silica concentration in 2010, Long Island Sound.</t>
    </r>
  </si>
  <si>
    <t>Table S1. 2010 Long Island Sound phytoplankton cell count for 10 stations</t>
  </si>
  <si>
    <t>Phylum</t>
  </si>
  <si>
    <t>Species</t>
  </si>
  <si>
    <t>A4</t>
  </si>
  <si>
    <t>B3</t>
  </si>
  <si>
    <t>C1</t>
  </si>
  <si>
    <t>D3</t>
  </si>
  <si>
    <t>E1</t>
  </si>
  <si>
    <t>F2</t>
  </si>
  <si>
    <t>H4</t>
  </si>
  <si>
    <t>I2</t>
  </si>
  <si>
    <t>J2</t>
  </si>
  <si>
    <t>K2</t>
  </si>
  <si>
    <t>A4</t>
    <phoneticPr fontId="0" type="noConversion"/>
  </si>
  <si>
    <t>B3</t>
    <phoneticPr fontId="0" type="noConversion"/>
  </si>
  <si>
    <t>C1</t>
    <phoneticPr fontId="0" type="noConversion"/>
  </si>
  <si>
    <t>D3</t>
    <phoneticPr fontId="0" type="noConversion"/>
  </si>
  <si>
    <t>E1</t>
    <phoneticPr fontId="0" type="noConversion"/>
  </si>
  <si>
    <t>F2</t>
    <phoneticPr fontId="0" type="noConversion"/>
  </si>
  <si>
    <t>H4</t>
    <phoneticPr fontId="0" type="noConversion"/>
  </si>
  <si>
    <t>I2</t>
    <phoneticPr fontId="0" type="noConversion"/>
  </si>
  <si>
    <t>J2</t>
    <phoneticPr fontId="0" type="noConversion"/>
  </si>
  <si>
    <t>K2</t>
    <phoneticPr fontId="0" type="noConversion"/>
  </si>
  <si>
    <t>Genus</t>
  </si>
  <si>
    <t>Diatom</t>
  </si>
  <si>
    <t>Actinotychus senarius</t>
  </si>
  <si>
    <t>Amphiprora</t>
  </si>
  <si>
    <t>Amphiprora sp</t>
  </si>
  <si>
    <t>Asterionella</t>
  </si>
  <si>
    <t>Asterionellopsis glacialis</t>
  </si>
  <si>
    <t>Attheya</t>
  </si>
  <si>
    <t>Attheya decora</t>
  </si>
  <si>
    <t>Bacteriastrum</t>
  </si>
  <si>
    <t>Bacteriastrum delicatulum</t>
  </si>
  <si>
    <t>Bacteriastrum hyalinum</t>
  </si>
  <si>
    <t>Cerataulina</t>
  </si>
  <si>
    <t>Cerataulina pelagica</t>
  </si>
  <si>
    <t>Chaetoceros</t>
  </si>
  <si>
    <t>Chaetoceros constrictus</t>
  </si>
  <si>
    <t>Chaetoceros eibenii</t>
  </si>
  <si>
    <t>Chaetoceros lorenzianus</t>
  </si>
  <si>
    <t>Chaetoceros pseudocurvisetus</t>
    <phoneticPr fontId="0" type="noConversion"/>
  </si>
  <si>
    <t>Chaetoceros rostratus</t>
  </si>
  <si>
    <t>Chaetoceros simplex</t>
    <phoneticPr fontId="0" type="noConversion"/>
  </si>
  <si>
    <t>Chaetoceros teres</t>
  </si>
  <si>
    <t>Chaetoceros spp.</t>
  </si>
  <si>
    <t>Climacosphenia</t>
  </si>
  <si>
    <t>Climacosphenia moniligera</t>
  </si>
  <si>
    <t>Corethron</t>
  </si>
  <si>
    <t>Corethron hystrix</t>
  </si>
  <si>
    <t>Coscinodiscus</t>
  </si>
  <si>
    <t>Coscinodiscus concinus</t>
  </si>
  <si>
    <t>Coscinodiscus lineatus</t>
  </si>
  <si>
    <t>Coscinodiscus radiatus</t>
  </si>
  <si>
    <t>Coscinodiscus sp</t>
  </si>
  <si>
    <t>Cyclindrotheca</t>
  </si>
  <si>
    <t>Cyclindrotheca closterium</t>
  </si>
  <si>
    <t>Cyclotella</t>
  </si>
  <si>
    <t>Cyclotella sp</t>
  </si>
  <si>
    <t>Dactyliosolen</t>
  </si>
  <si>
    <t>Dactyliosolen fragilissimus</t>
  </si>
  <si>
    <t>Delphineis</t>
  </si>
  <si>
    <t>Delphineis surriella</t>
  </si>
  <si>
    <t xml:space="preserve">Delphineis sp. </t>
  </si>
  <si>
    <t>Detonula</t>
  </si>
  <si>
    <t>Detonula confervacea</t>
  </si>
  <si>
    <t>Diatoma</t>
  </si>
  <si>
    <t>Diatoma vulgaris</t>
  </si>
  <si>
    <t>Ditylum</t>
  </si>
  <si>
    <t>Ditylum brightwellii</t>
  </si>
  <si>
    <t>Eucampia</t>
  </si>
  <si>
    <t>Eucampia zodiacus</t>
    <phoneticPr fontId="0" type="noConversion"/>
  </si>
  <si>
    <t>Fragilaria sp.</t>
    <phoneticPr fontId="0" type="noConversion"/>
  </si>
  <si>
    <t>Grammatophora</t>
  </si>
  <si>
    <t>Grammatophora marina</t>
  </si>
  <si>
    <t>Guinardia</t>
  </si>
  <si>
    <t>Guinardia delicatula</t>
  </si>
  <si>
    <t>Guinardia striata</t>
  </si>
  <si>
    <t>Guinardia flaccida</t>
  </si>
  <si>
    <t>Haslea sp.</t>
  </si>
  <si>
    <t>Hemidiscus</t>
  </si>
  <si>
    <t>Hemidiscus cuneiformis</t>
  </si>
  <si>
    <t>Lauderia</t>
  </si>
  <si>
    <t>Lauderia annulata</t>
  </si>
  <si>
    <t>Leptocylindrus</t>
  </si>
  <si>
    <t>Leptocylindrus danicus</t>
  </si>
  <si>
    <t>Leptocylindrus minius</t>
  </si>
  <si>
    <t>Licmophora flagellata</t>
    <phoneticPr fontId="0" type="noConversion"/>
  </si>
  <si>
    <t>Lioloma</t>
  </si>
  <si>
    <t>Lioloma pacificum</t>
  </si>
  <si>
    <t>Lithodesmium</t>
  </si>
  <si>
    <t>Lithodesmium undulatum</t>
  </si>
  <si>
    <t>Melosia</t>
  </si>
  <si>
    <t>Melosira nummuloides</t>
  </si>
  <si>
    <t>Melosia sp</t>
  </si>
  <si>
    <t>Navicula</t>
  </si>
  <si>
    <t>Navicula ambigua</t>
  </si>
  <si>
    <t>Navicula sp</t>
  </si>
  <si>
    <t>Neodelphineis</t>
  </si>
  <si>
    <t>Neodelphineis sp.</t>
  </si>
  <si>
    <t>Nitzschia</t>
  </si>
  <si>
    <t>Nitzschia sp</t>
  </si>
  <si>
    <t>Odontella</t>
  </si>
  <si>
    <t>Odontella aurita</t>
  </si>
  <si>
    <t>Odontella sinensis</t>
  </si>
  <si>
    <t>Odontella mobiliensis</t>
  </si>
  <si>
    <t>Paralia</t>
  </si>
  <si>
    <t>Paralia sulcata</t>
  </si>
  <si>
    <t>Pleurosigma</t>
  </si>
  <si>
    <t>Pleurosigma directum</t>
    <phoneticPr fontId="0" type="noConversion"/>
  </si>
  <si>
    <t>Pleurosigma normanii</t>
  </si>
  <si>
    <t>Pleurosigma sp</t>
  </si>
  <si>
    <t>Pseudonitzschia</t>
  </si>
  <si>
    <t>Pseudonitzschia sp</t>
  </si>
  <si>
    <t>Rhaponeis</t>
  </si>
  <si>
    <t>Rhaponeis amphiceros</t>
  </si>
  <si>
    <t>Rhizosolenia</t>
  </si>
  <si>
    <t>Rhizosolenia alata</t>
  </si>
  <si>
    <t>Rhizosolenia longiseta</t>
  </si>
  <si>
    <t>Rhizosolenia pungens</t>
  </si>
  <si>
    <t>Rhizosolenia setigera</t>
  </si>
  <si>
    <t>Rhizosolenia stolterfothii</t>
  </si>
  <si>
    <t>Rhizosolenia styliformis</t>
  </si>
  <si>
    <t>Rhizosolenia sp</t>
  </si>
  <si>
    <t>Rhoicosphenia</t>
  </si>
  <si>
    <t>Rhoicosphenia curvata</t>
  </si>
  <si>
    <t>Skeletonema</t>
  </si>
  <si>
    <t>Skeletonema costatum</t>
  </si>
  <si>
    <t>Stephanopyxis</t>
  </si>
  <si>
    <t>Stephanopyxis turris</t>
  </si>
  <si>
    <t>Thalassionema</t>
  </si>
  <si>
    <t>Thalassionema frauenfeldii</t>
  </si>
  <si>
    <t>Thalassionema nitzschiodes</t>
  </si>
  <si>
    <t>Thalassiosira</t>
  </si>
  <si>
    <t>Thalassiosira angulata(large)</t>
  </si>
  <si>
    <t>Thalassiosira bioculata</t>
  </si>
  <si>
    <t>Thalassiosira sp1.(medium)-bigger</t>
  </si>
  <si>
    <t>Thalassiosira sp2.(medium)-smaller</t>
  </si>
  <si>
    <t>Thalassiosira sp.(small)</t>
  </si>
  <si>
    <t>Thalassiosira eccentrica</t>
  </si>
  <si>
    <t>Thalassiosira hyalina</t>
  </si>
  <si>
    <t>Thalassiosira weissflogii</t>
  </si>
  <si>
    <t>Thalassiothrix</t>
  </si>
  <si>
    <t>Thalassiothrix longissimum</t>
  </si>
  <si>
    <t>Triceratium</t>
  </si>
  <si>
    <t>Triceratium sp</t>
  </si>
  <si>
    <t>Other diatoms</t>
  </si>
  <si>
    <t>Dinoflagellate</t>
  </si>
  <si>
    <t>Akashiwo</t>
  </si>
  <si>
    <t>Akashiwo sanguinea</t>
  </si>
  <si>
    <t>Alexandrium</t>
  </si>
  <si>
    <t>Alexandrium sp.</t>
    <phoneticPr fontId="0" type="noConversion"/>
  </si>
  <si>
    <t>Amphidinium</t>
  </si>
  <si>
    <t>Amphidinium crassum</t>
  </si>
  <si>
    <t>Ceratium</t>
  </si>
  <si>
    <t>Ceratium furca</t>
  </si>
  <si>
    <t>Ceratium fusus</t>
  </si>
  <si>
    <t>Ceratium sp.</t>
    <phoneticPr fontId="0" type="noConversion"/>
  </si>
  <si>
    <t>Cochlodinium</t>
  </si>
  <si>
    <t>Cochlodinium sp</t>
  </si>
  <si>
    <t>Dinophysis</t>
  </si>
  <si>
    <t>Dinophysis acuminata</t>
  </si>
  <si>
    <t>Dinophysis norvegica</t>
  </si>
  <si>
    <t>Diplopsalis lenticula</t>
  </si>
  <si>
    <t>Gonyaulax polygramma</t>
    <phoneticPr fontId="0" type="noConversion"/>
  </si>
  <si>
    <t>Gymnodinium</t>
  </si>
  <si>
    <t>Gymnodinium sp</t>
  </si>
  <si>
    <t>Gyrodinium</t>
  </si>
  <si>
    <t>Gyrodinium spirale</t>
  </si>
  <si>
    <t>Heterocapsa</t>
  </si>
  <si>
    <t>Heterocapsa triquetra</t>
  </si>
  <si>
    <t>Noctiluca</t>
  </si>
  <si>
    <t>Nocticula scintillans</t>
  </si>
  <si>
    <t>Oxyrrhis</t>
  </si>
  <si>
    <t>Oxyrrhis marina</t>
  </si>
  <si>
    <t>Oxytoxum</t>
  </si>
  <si>
    <t>Oxytoxum sp</t>
  </si>
  <si>
    <t>Peridiniella</t>
  </si>
  <si>
    <t>Peridiniella sp.</t>
  </si>
  <si>
    <t>Peridinium</t>
  </si>
  <si>
    <t>Peridinium quinquecorne</t>
  </si>
  <si>
    <t>Pfiesteria-like</t>
  </si>
  <si>
    <t>Prorocentrum</t>
  </si>
  <si>
    <t>Prorocentrum balticum</t>
    <phoneticPr fontId="0" type="noConversion"/>
  </si>
  <si>
    <t>Prorocentrum concavum</t>
  </si>
  <si>
    <t>Prorocentrum mexicanum</t>
  </si>
  <si>
    <t>Prorocentrum micans</t>
    <phoneticPr fontId="0" type="noConversion"/>
  </si>
  <si>
    <t>Prorocentrum minimum</t>
  </si>
  <si>
    <t>Prorocentrum sigmoides</t>
  </si>
  <si>
    <t>Prorocentrum triestinum</t>
  </si>
  <si>
    <t>Protoperidinium</t>
  </si>
  <si>
    <t>Protoperidinium sp</t>
  </si>
  <si>
    <t>Protoperidinium pellucidum?</t>
  </si>
  <si>
    <t>Scrippsiella</t>
  </si>
  <si>
    <t>Scrippsiella trochoidea</t>
  </si>
  <si>
    <t>Unknown dinoflagellates</t>
  </si>
  <si>
    <t>unknown dinoflagellates</t>
  </si>
  <si>
    <t>Chlorophyte</t>
  </si>
  <si>
    <t>Scenedesmus sp.</t>
  </si>
  <si>
    <t>Raphidophyte</t>
  </si>
  <si>
    <t>Chattonella antiqua</t>
  </si>
  <si>
    <t>Chattonella marina</t>
  </si>
  <si>
    <t>Chattonella sp.</t>
  </si>
  <si>
    <t>Gonyostomum semen</t>
  </si>
  <si>
    <t>Silicoflagellate</t>
  </si>
  <si>
    <t>Dictyocha speculum</t>
  </si>
  <si>
    <t>Pyramimonadales</t>
  </si>
  <si>
    <t xml:space="preserve">Pyramimonas sp. </t>
  </si>
  <si>
    <t>Halosphaera sp.</t>
  </si>
  <si>
    <t>Cryptophyte</t>
  </si>
  <si>
    <t>cryptophyte</t>
  </si>
  <si>
    <t>Ochrophyte</t>
  </si>
  <si>
    <t>Ochromonas sp.</t>
  </si>
  <si>
    <t>Haptophyte</t>
  </si>
  <si>
    <t>Chrysochromulina polylepis</t>
  </si>
  <si>
    <t>Phaeocystis globosa</t>
  </si>
  <si>
    <t>unknown haptophytes</t>
  </si>
  <si>
    <t>Euglenozoa</t>
  </si>
  <si>
    <t xml:space="preserve">Eutreptiella sp. </t>
  </si>
  <si>
    <t>Unknown flagellates</t>
  </si>
  <si>
    <t>Small flagellates</t>
  </si>
  <si>
    <t>unknown1</t>
  </si>
  <si>
    <t>Pear shaped</t>
  </si>
  <si>
    <t>unknown2</t>
  </si>
  <si>
    <t>small brown cells</t>
  </si>
  <si>
    <t xml:space="preserve"> </t>
  </si>
  <si>
    <t>&gt;LISA4Feb1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</si>
  <si>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</si>
  <si>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&gt;LISA4Feb2 Long Island Sound field dinoflagellate proton-pump rhodopsin gene</t>
  </si>
  <si>
    <t>CTGCAGCTGCCAAATGTGACAAAGAGCTACCGCACTGCCCTCACCATCACTGGAATTGTTACCTTGATCGCTACTTACCATTACATCCGCATCTTCAATTCCTGGGTTGAGGCTTTCGAAGTGGTGAGCAAGGATGGCGGCGACTACCACGTGACGCTGACCGGCCTTCCTTTCaACGACGCTTACCGAtACGTCGACTGGCTTTTAACCGTGCCTCTCTTGTTGATCGAGTTGATCTTGGtCATGAAGCTGCCGAAGGAGGAGACCGCGAGCCTGAGCTGGAAGCTCGGCGTCGCCAGCGCCGTG</t>
  </si>
  <si>
    <t>&gt;LISA4Feb3 Long Island Sound field dinoflagellate proton-pump rhodopsin gene</t>
  </si>
  <si>
    <t>&gt;LISA4Feb4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</si>
  <si>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</si>
  <si>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&gt;LISA4Feb5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</si>
  <si>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</si>
  <si>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&gt;LISA4Feb6 Long Island Sound field dinoflagellate proton-pump rhodopsin gene</t>
  </si>
  <si>
    <t>CTGCAGCTTGCGAACGTTTCCAAGAGCTACCGCACCGCCTTGACCATCACGGGGATTGTGACTTGCATTGCCACGTACCATTACTTCCGCATCTTCaATTCCTGGGTTGAGGCTTTCGAAGTGGTGAGCAAGGATGGCGGCGACTACCACGTGACGCTGACCGGCCTTCCTTTCAACGACGCTTACCGATACGTCGACTGGCTTTTAACCGTGCCTCTCTTGTTGATCGAGTTGATCTTGGTCATGAAGCTGCCGAAGGAGGAGACCGCGAGCCTGAGCTGGAAGCTCGGCGTCGCCAGCGCCGTG</t>
  </si>
  <si>
    <t>&gt;LISA4Feb7 Long Island Sound field dinoflagellate proton-pump rhodopsin gene</t>
  </si>
  <si>
    <t>&gt;LISA4Feb8 Long Island Sound field dinoflagellate proton-pump rhodopsin gene</t>
  </si>
  <si>
    <t>CTGCAGCTGCCAAACGTGACAAAGAGCTACCGCACTGCCCTCACCATCACTGGAATTGTTACCTTGATCGCTACTTACCATTACATCAGgATCTTCAACTCCTGGTCTGAGGCCTTCACAGTGGCGAGCAAGGACGGGGGcGACTACGAGGTGAAGCTCACGGGGGCTCCCTTCAATGACGGCTACCGTTACGTGGACTGGCTGCTGACTGTGCCTCTGCTGCTGATCGAGTTGATCCTGGTGATGAAGCTGCCGCGGGCGGAGACTGTGAGCTTGAGAGTTGGAAGCTGGGCTTGGCCAGCGCCTTG</t>
  </si>
  <si>
    <t>&gt;LISA4Feb9 Long Island Sound field dinoflagellate proton-pump rhodopsin gene</t>
  </si>
  <si>
    <t>&gt;LISA4Feb10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</si>
  <si>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</si>
  <si>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&gt;LISA4Feb11 Long Island Sound field dinoflagellate proton-pump rhodopsin gene</t>
  </si>
  <si>
    <t>&gt;LISA4Feb12 Long Island Sound field dinoflagellate proton-pump rhodopsin gene</t>
  </si>
  <si>
    <t>CTGCAGCTTGCGAACGTTTCCAAGAGCTACCGCACCGCCTTGACCATCACGGGGATTGTGACTTGCATTGCCACGTACCATTACTTCCGCATCTTCAATTCCTGGGTTGAGGCTTTCGAAGTGGTGAGCAAGGATGGCGGCGACTACCACGTGACGCTGACCGGCCTTCCTTTCAACGACGCTTACCGATACGTCGACTGGCTTTTAACCGTGCCTCTCTTGTTGATCGAGTTGATCTTGGTCATGAAGCTGCCGAAGGAGGAGACCGCGAGCCTGAGCTGGAAGCTCGGCGTCGCCAGCGCCTTG</t>
  </si>
  <si>
    <t>&gt;LISA4Feb13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</si>
  <si>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</si>
  <si>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&gt;LISA4Feb14 Long Island Sound field dinoflagellate proton-pump rhodopsin gene</t>
  </si>
  <si>
    <t>&gt;LISA4Feb15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</si>
  <si>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</si>
  <si>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&gt;LISA4Feb16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</si>
  <si>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</si>
  <si>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&gt;LISA4Feb17 Long Island Sound field dinoflagellate proton-pump rhodopsin gene</t>
  </si>
  <si>
    <t>&gt;LISA4Feb18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</si>
  <si>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</si>
  <si>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&gt;LISA4Feb19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</si>
  <si>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GGGCGGAGACTGTGAGCTTGAGAGTTGGAAGCTGGGCTTGGCCAGCGCCTTG</t>
  </si>
  <si>
    <t>&gt;LISA4Feb20 Long Island Sound field dinoflagellate proton-pump rhodopsin gene</t>
  </si>
  <si>
    <t>CTGCAGCTTGCGAACGTTTCCAAGAGCTACCGCACCGCCTTGACCATCACGGGGATTGTGACTTGCATTGCCACGTACCATTACTTCCGCATCTTCAATTCCTGGGTTGAGGCTTTCGAAGTGGTGAGCAAGGATGGCGGCGACTACCACGTGACGCTGACCGGCCTTCCTTTCAACGACGCTTACCGATACGTCGACTGGCTTTTAACCGTGCCTCTCTTGTTGATCGAGTTGATCTTGGTCATGAAGCTGCCGAAGGAGGAGACCGCGAGCCTGAGCTGGAAGCTCGGCGTCGCCAGCGCCGTG</t>
  </si>
  <si>
    <t>&gt;LISA4Feb21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</si>
  <si>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</si>
  <si>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&gt;LISA4Feb22 Long Island Sound field dinoflagellate proton-pump rhodopsin gene</t>
  </si>
  <si>
    <t>&gt;LISA4Feb23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</si>
  <si>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</si>
  <si>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&gt;LISA4Feb24 Long Island Sound field dinoflagellate proton-pump rhodopsin gene</t>
  </si>
  <si>
    <t>CTGCAGCTTGCGAACGTTTCCAAGAGCTACCGCACCGCCTTGACCATCACGGGGAtTGTGACTTGCATTGCCACGTACCATTACTTCCGCATCTTCAATTCCTGGGTTGAGGCTTTCGAAGTGGTGAGCAAGGATGGCGGCGACTACCACGTGACGCTGACCGGCCTTCCTTTCAACGACGCTTACCGATACGTCGACTGGCTTTTAACCGTGCCTCTCTTGTTGATCGAGTTGATCTTGGTCATGAAGCTGCCGAAGGAGGAGACCGCGAGCCTGAGCTGGAAGCTCGGCGTCGCCAGCGCCGTG</t>
  </si>
  <si>
    <t>&gt;LISA4Feb25 Long Island Sound field dinoflagellate proton-pump rhodopsin gene</t>
  </si>
  <si>
    <t>&gt;LISA4Feb26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</si>
  <si>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</si>
  <si>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&gt;LISA4Feb27 Long Island Sound field dinoflagellate proton-pump rhodopsin gene</t>
  </si>
  <si>
    <t>&gt;LISA4Feb28 Long Island Sound field dinoflagellate proton-pump rhodopsin gene</t>
  </si>
  <si>
    <t>CTGCAGCTGCCAAATGTGACAAAGAGCTACCGCACTGCCCTCACCATCACTGGAATTGCTACCTTGATCGCTACTTACCATTACATCCGCACCTTCAACTCCTGGTCTGAGGCCTTCACAGTGGCGAGCAAGGACGGGGgCGACTACGAGGTGAAGCTCACGGGGGCTCCCTTCAATGACGGCTACCGTTACGTGGACTGGCTGCTGACTGTGCCTCTGCTGCTGATCGAGTTGATCCTGGTGATGAAGCTGCCGCAGGCGGAGACTGTGAGCTTGAGAGTTGGAAGCTGGGCTTGGCCAGCGCCTTG</t>
  </si>
  <si>
    <t>&gt;LISA4Feb29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</si>
  <si>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</si>
  <si>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&gt;LISA4Feb30 Long Island Sound field dinoflagellate proton-pump rhodopsin gene</t>
  </si>
  <si>
    <t>&gt;LISA4Feb31 Long Island Sound field dinoflagellate proton-pump rhodopsin gene</t>
  </si>
  <si>
    <t xml:space="preserve">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 </t>
  </si>
  <si>
    <t>&gt;LISA4Feb32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</si>
  <si>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</si>
  <si>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&gt;LISA4Feb33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</si>
  <si>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GGCTTGAGAGTTGGAAGCTGGGCTTGGCCAGCGCCTTG</t>
  </si>
  <si>
    <t>&gt;LISA4Feb34 Long Island Sound field dinoflagellate proton-pump rhodopsin gene</t>
  </si>
  <si>
    <t>&gt;LISA4Feb35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</si>
  <si>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</si>
  <si>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&gt;LISA4Feb36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</si>
  <si>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AGTTGGAAGCTGGGCTTGGCCAGCGCCTTG</t>
  </si>
  <si>
    <t>&gt;LISH4Feb1 Long Island Sound field dinoflagellate proton-pump rhodopsin gene</t>
  </si>
  <si>
    <t>TTGCAGGTTCCGAATGTGACGAAGAGCTACCGCACGGCGCTGACCATCACTGGCATTGTGACATTGATCGCGACGTACCACTACTTCAGGATCTTCAACTCGTGGGTGGAGGCATTCGAGGTGAAGAATGTGGATGGTGGTGACTACATGGTGACGCTTACCGGTGCTCCCTTCAACGATGGCTACCGCTACGTGGATTGGCTTCTGACGGTGCCTCTGTTGTCGATCGAGCTCATTCTCGTGATGAAGTTGCCCGCTGAGCAGACTAAAAGCCTGAGCTGGAGCTTGGGCGCAGCTTCCGCCTTG</t>
  </si>
  <si>
    <t>&gt;LISH4Feb2 Long Island Sound field dinoflagellate proton-pump rhodopsin gene</t>
  </si>
  <si>
    <t>TTGCAGGTTCCGAATGTGACGAaGAGCTACCGCACGGCGCTGACCATCACTGGCATTGTGACATTGATCGCGACGTACCACTACTTCAGGATCTTCAACTCGTGGGTGGAGGCATTCGAGGTGAAGAATGTGGATGGTGGTGACTACATGGTGAGGCTTACCGGTGCTCCCTTCaACGATGGCTACCGCTACGTGGATTGGCTTCTGACGGTGCCTCTGCTGTTGATCGAGCTCATTCTCGTGATGAAGTTGCCCGCTGAGCAGACGAAAAGCCTGAGCTGGAGCTTGGGCGCAGCTTCCGCCTTG</t>
  </si>
  <si>
    <t>&gt;LISH4Feb3 Long Island Sound field dinoflagellate proton-pump rhodopsin gene</t>
  </si>
  <si>
    <t>TTGCAGGTTCCGaATGTGACGAAGAGCTACCGCACGGCGCTGACCATCACTGGCATTGTGACATTGATCGCGACGTACCACTACTTCAGGATCTTCAACTCGTGGGTGGAGGCATTCGAGGTGAAGAATGTGGATGGTGGTGACTACATGGTGACACTTACTGGTGCTCCCTTCAACGATGGCTACCGCTACGTGGATTGGCTTCTGACGGTGCCTCTGTTGTTGATCGAGCTCATTCTCGTGATGAAGTTGCCCGCTGAGCAGACGAAAAGCCTGAGCTGGAGCTTGGGCGCAGCTTCCGCCTTG</t>
  </si>
  <si>
    <t>&gt;LISH4Feb4 Long Island Sound field dinoflagellate proton-pump rhodopsin gene</t>
  </si>
  <si>
    <t>TTGCAGTTGGGAAACGTCACGAAGAACTACCGCACGGCACTTACCATCACTGGCATCGTGACCTTCATCGCGACGTACCACTACTTCCGGATCTTCAACTCTTGGGTTGAGGCCTTCGACGTGGCGAACAAAGATGGAGGTGCTTATGAGGTTTCTCTGACTGGGGCTCCCTTTAATGACGCCTACCGATATGTTGATTGGCTCCTGACGGTGCCCTTGTTGTTGGTGGAGTTGATTCTCGTGATGAAGTTGCCGGAGGAGCAGACGCGGAGCTTGAGCTGGAGCTTGGGCTCAGCCTCGGCCTTG</t>
  </si>
  <si>
    <t>&gt;LISH4Feb5 Long Island Sound field dinoflagellate proton-pump rhodopsin gene</t>
  </si>
  <si>
    <t>TTGCAGGTTCCGAATGTGACGAAGAGCTACCGCACGGCGCTGACCATCACTGGCATTGTGACATTGATCGCGACTTACCACTACTTCAGGATCTTCAACTCGTGGGTGGAGGCATTCGAGGTGAAGAACAAGGATGGTGGTGACTACATGGTGACGCTTACCGGTGCTCCCTTCAACGATGGCTACCGCTACGTTGATTGGCTTCTGACGGTGCCTCTGTTGTTGATCGAGCTCATTCTCGTGATGAAGTTGCCCGCTGAGGAGACGAAAAGCCTGAGCTGGAGCTTGGGCGCAGCTTCCGCCTTG</t>
  </si>
  <si>
    <t>&gt;LISH4Feb6 Long Island Sound field dinoflagellate proton-pump rhodopsin gene</t>
  </si>
  <si>
    <t>TTGCAGGTTCCGAATGTGACGAAGAGCTACCGCACGGCGCTGACCATCACTGGCATTGTGACATTGATCGCGACGTACCACTATTTCAGGATCTTCAACTCGTGGGTGGAGGCATTCGAGGTGAAGAATGTGGATGGTGGTGACTACATGGTGACGCTTACCGGTGCTCCCTTCAACGATGGCTACCGCTACGTGGATTGGCTTCTGACGGTGCCTCTGCTGTTGATCGAGCTCATTCTCGTGATGAAGTTGCCCGCTGAGCAGACGAAAAGCCTGAGCTGGAGCTTGGGCGCAGCTTCCGCCTTG</t>
  </si>
  <si>
    <t>&gt;LISH4Feb7 Long Island Sound field dinoflagellate proton-pump rhodopsin gene</t>
  </si>
  <si>
    <t>TTGCAGGTTCCGAATGTGACGAAGAGCTACCGCACGGCGCTGACCATCACTGGCATTGTGACGTTGATCGCGACGTACCACTACTTCAGGATCTTCAACTCGTGGGTGGAGGCATTCGAGGTGAAGAACAAGGATGGTGGTGACTACATGGTGACACTCACCGGTGCTCCCTTCAACGATGGCTACCGCTACGTGGATTGGCTTCTGACGGTGCCTCTGTTGTTGATCGAGCTCATTCTCGTGATGAAGTTGCCCGCTGAGCAGACGAAAAGCCTGAGCTGGAGCTTGGGTGCAGCTTCCGCCTTG</t>
  </si>
  <si>
    <t>&gt;LISH4Feb8 Long Island Sound field dinoflagellate proton-pump rhodopsin gene</t>
  </si>
  <si>
    <t>TTGCAGGTTCCGAATGTGACGAAGAGCTACCGCACGGCGCTGACCATCACTGGCATTGTGACATTGATCGCGACGTACCACTACTTCAGGATCTTCAACTCGTGGGTGGAGGCATTCGAGGTGAAGAACAAGGATGGTGGTGACTACATGGTGACGCTTACCGGTGCTCCCTTCAACGATGGCTACCGCTACGTTGATTGGCTTCTGACGGTGCCTCTGTTGTTGATCGAGCTCATTCTCGTGATGAAGTTGCCCGCTGAGCAGACGaAAAGCCTGAGCTGGAGCTTGGGCGCAGCTTCCGCCtTG</t>
  </si>
  <si>
    <t>&gt;LISH4Feb9 Long Island Sound field dinoflagellate proton-pump rhodopsin gene</t>
  </si>
  <si>
    <t>TTGCAGGTTCCGAATGTGACGAAGAGCTACCGCACAGCGCTGACCATCACTGGCATTGTGACATTGATCGCGACGTACCACTACTTCAGGATCTTCAACTCGTGGGTGGAGGCATTCGAGGTGAAGAATGTGGATGGTGGTGACTACATGGTGACGCTTACCGGTGCTCCCTTCAACGATGGCTACCGCTACGTTGATTGGCTTCTGACGGTGCCTCTGTTGTTGATCGAGCTCATTCTCGTGATGAAGTTGCCCGCTGAGCAGACGAAAAGCCTAAGCTGGAGCTTGGGCGCAGCTTCCGCCTTG</t>
  </si>
  <si>
    <t>&gt;LISH4Feb10 Long Island Sound field dinoflagellate proton-pump rhodopsin gene</t>
  </si>
  <si>
    <t>TTGCAGGTTCCGAATGTGACGAAGAGCTACCGCACGGCGCTGACCATCACTGGCATTGTGACATTGATCGCGACGTACCACTACTTCAGGATCTTCAACTCGTGGGTGGAGGCATTCGAGGTGAAGAATGTGGATGGTGGTGACTACATGGTGAGGCTTACCGGTGCTCCCTTCAACGATGGCTACCGCTACGTGGATTGGCTTCTGACGGTGCCTCTGTTGTTGATCGAGCTCATTCTCGTGATGAAGTTGCCCGCTGAGCAGACGAAAAGCCTGAGCTGGAGCTTGGGCGCGGCTTCCGCCTTG</t>
  </si>
  <si>
    <t>&gt;LISH4Feb11 Long Island Sound field dinoflagellate proton-pump rhodopsin gene</t>
  </si>
  <si>
    <t>TTGCAGGTTCCGAATGTGACGAAGAGCTACCGCACGGCGCTGACCATCACTGGCATTGTGACATTGATCGCGACGTACCACTACTTCAGGATCTTCAACTCGTGGGTGGAGGCATTCGAGGTGAAGAATGTGGATGGTGGTGACTACATGGTGAGGCTTACCGGTGCTCCCTTCAACGATGGCTACCGCTACGTGGATTGGCTTCTGACGGTGCCTCTGCTGTTGATCGAGCTCATTCTCGTGATGaAGCTGCCCGCTGAGCAGACGAAAAGCCTGAGCTGGAGCTTGGGCGCGGCTTCCGCCTTG</t>
  </si>
  <si>
    <t>&gt;LISH4Feb12 Long Island Sound field dinoflagellate proton-pump rhodopsin gene</t>
  </si>
  <si>
    <t>CTCCAGCTCCGCAACGTGAGCAAGAACTACCAAACCGCTGTCATCATCACTGGATCGGTCACGTGTATTGCGACCTACCACTACCTCCGCATGTTCAACTCCTGGGTTGACGCGTTTGTTGTGAAGTCACCAGGAGCCGGCCAGAACTACGAGGTTACGCTGTCAGGGACTCCCTTCAACGATGCCTACCGCTATGTGGACTGGCTCTTGACCGTGCCGCTCTTGTTGATCGAGCTCGTCTTGGTGATGAAGTTGCCCAAGGCCGAAACCACGAGGCTAAGCTGGCAGTTGGGATTGGCCTCTGCCGCG</t>
  </si>
  <si>
    <t>&gt;LISH4Feb13 Long Island Sound field dinoflagellate proton-pump rhodopsin gene</t>
  </si>
  <si>
    <t>CTCCAGCTCCGCAACGTGAGCAAGAACTACCAAACCGCTGTCATCATCACTGGATCGGTCACGTGTATCGCGACCTACCACTACCTCCGCATGTTCAACTCCTGGGTTGACGCGTTTGTTGTGAAGTCACCAGGAGCCGGCCAGAACTACGAGGTTACGCTGTCAGGGACTCCCTTCAACGATGCCTACCGCTATGTGGACTGGCTCTTGACCGTGCCGCTCTTGTTGATCGAGCTCGTCCTGGTGATGAAGTTGCCCAAGGCCGAAACCACGAGGCTAAGCtGGCAGTTGGGATTGGCCTCTGCCGCG</t>
  </si>
  <si>
    <t>&gt;LISH4Feb14 Long Island Sound field dinoflagellate proton-pump rhodopsin gene</t>
  </si>
  <si>
    <t>TTGCAGGTTCCGAATGTGACGAAGAGCTACCGCACAGCGCTGACCATCACTGGCATTGTGACGTTGATCGCGACGTACCACTACTTCAGGATCTTCAACTCGTGGGTGGAGGCATTCGAGGTGAAGAATGTGGATGGTGGTGACTACATGGTGACGCTTACCGGTGCTCCCTTCAACGATGGCTACCGCTACGTTGATTGGCTTCTGACGGTGCCTCTGTTGTTGATCGAGCTCATTCTCGTGATGAAGTTGCcCGCTGAGCAGACGAAAAGCCTGAGCTGGAGCTTGGGCGCGGCTTCCGCCTTG</t>
  </si>
  <si>
    <t>&gt;LISH4Feb15 Long Island Sound field dinoflagellate proton-pump rhodopsin gene</t>
  </si>
  <si>
    <t>TTGCAGGTTCCGAATGTGACGAAGAGCTACCGcACGGCGCTGACCATCACTGGCATTGTGACATTGATCGCGACGTACCACTACTTCAGGATCTTCAACTCGTGGGTGGAGGCATTCGAGGTGAAGAATGTGGATGGTGGTGACTACATGGTGAGGCTTACCGGTGCTCCCTTCAACGATGGCTACCGCTACGTGGATTGGCTTCTGACGGTGCCTCTGCTGTTGATCGAGCTCATTCTCGTGATGAAGTTGCCCGCTGAGCAGACGAAAAGCCTGAGCTGGAGCTTGGGCGCAGCTTCCGCCTTG</t>
  </si>
  <si>
    <t>&gt;LISH4Feb16 Long Island Sound field dinoflagellate proton-pump rhodopsin gene</t>
  </si>
  <si>
    <t>TTGCAGTTGGGAAACGTCACGAAGAACTACCGCACGGCACTTACCATCACTGGCATCGTGACCTTCATCGCGACGTACCACTACTTCCGGATCTTCAACTCTTGGGTTGAGGCCTTCGACGTGGCGAACAAAGATGGAGGTGCTtATGAGGTTTCTCTGACTGGGGCTCCCtTTAATGACGCCTACCGATATGTTGATTGGCTCTTGACGGTGCCCTTGTTGTTGGTGGAGTTGATTCTCGTGATGAAGTTGCCGGAGGAGCAGACGCGGAGCTTGAGCTGGAGCTTGGGCTCAGCCTCGGCCTTG</t>
  </si>
  <si>
    <t>&gt;LISH4Feb17 Long Island Sound field dinoflagellate proton-pump rhodopsin gene</t>
  </si>
  <si>
    <t>TTGCAGGTTCCGAATGTGACGAAGAGCTACCGCACGGCGCTGACCATCACTGGCATTGTGACGTTGATCGCGACCTACCACTACTTCAGGATCTTCAACTCGTGGGTgGAGGCATTCGAGGTGAAGAACAAGGATGGTGGTGaCTACATGgTGACACTCACCGGTGCTCCCTTCAACGATGGCTACCGCTACGTGGATTGGCTTCTGACGGTGCCTCTGTTGTTGATCGAGCTCATTCTCGTGATGAAGCTGCCCGCTGAGGAGACGAAAAGCCTGAGCTGGAGCTTGGGCGCAGCTTCCGCCTTG</t>
  </si>
  <si>
    <t>&gt;LISH4Feb18 Long Island Sound field dinoflagellate proton-pump rhodopsin gene</t>
  </si>
  <si>
    <t>CTCCAGCTCCGCAACGTGAGCAAGaACTACCAAACCGCTGTCATCATCACTGGATCGGTCACGTGTATTGCGACCTACCACTACCTCCGCATGTTCAACTCCTGGGTTGACGCGTTTGTTGTGAAGTCACCAGGAGCCGGCCAGAACTACGAGGTTACGCTGTCAGGGACTCCCTTCAACGATGCCTACCGCTATGTGGACTGGCTCTTGACCGTGCCGCTCTTGTTGATCGAGCTCGTCTTGGTGATGAAGTTGCCCAAGGCCGAAACCACGAGGCTAAGCTGGCAGTTGGGATTGGCCTCTGCCGCG</t>
  </si>
  <si>
    <t>&gt;LISH4Feb19 Long Island Sound field dinoflagellate proton-pump rhodopsin gene</t>
  </si>
  <si>
    <t>TTGCAGGTTCCGAATGTGACGAAGAGCTACCGCACGGCGCTGACCATCACTGGCATTGTGACATTGATCGCGACGTACCACTATTTCAGGATCTTCAACTCGTGGGTGGAGGCATTCGAGGTGAAGAATGTGGATGGTGGTGACTACATGGTGAGGCTTACCGGTGCTCCCTTCAACGATGGCTACCGCTACGTTGATTGGCTTCTGACGGTGCCTCTGTTGTTGATCGAGCTCATTCTCGTGaTGAAGTTGCCCGCTGAGCAGACGAAAAGCCTGAGCTGGAGCTTGGGCGCGGCTTCCGCCTTG</t>
  </si>
  <si>
    <t>&gt;LISH4Feb20 Long Island Sound field dinoflagellate proton-pump rhodopsin gene</t>
  </si>
  <si>
    <t>TTGCAGGTTCCGAATGTGACGAAGAGCTACCGCACAGCGCTGACCATCACTGGCATTGTGACGTTGATCGCGACGTACCACTACTTCAGGATCTTCAACTCGTGGGTGGAGGCATTCGAGGTGAAGAATGTGGATGGTGGTGACTACATGGTGAGGCTTACCGGTGCTCCCTTCAACGATGGCTACCGCTACGTGGATTGGCTTCTGACGGTGCCTCTGTTGTTGATCGAGCTCATTCTCGTGATGAAGTTGCCCGCTGAGCAGACGAAAAGCCTGAGCTGGAGCTTGGGTGCAGCTTCCGCCTTG</t>
  </si>
  <si>
    <t>&gt;LISH4Feb21 Long Island Sound field dinoflagellate proton-pump rhodopsin gene</t>
  </si>
  <si>
    <t>&gt;LISH4Feb22 Long Island Sound field dinoflagellate proton-pump rhodopsin gene</t>
  </si>
  <si>
    <t>CTCCAGCTCCGCAACGTGAGCAAGAACTACCAAACCGCTGTCATCATCACTGGATCGGTCACGTGTATTGCCACCTATCACTACCTCCGCATGTTCAACTCCTGGGTTGACGCGTTTGTTGTGAAGTCACCAGGACCTAGCCAGAACTACGAGGTTACGCTGTCAGGGACTCCCTTCAACGATGCCTACCGCTATGTGGACTGGCTCTTGACCGTACCGCTCTTGTTGATCGAGCTCGTCTTGGTGATGAAGTTGCCCAAGGCCGAAACAACGAGGCTAAGCTGGCAGTTGGGATTGGCCTCTGCCGCG</t>
  </si>
  <si>
    <t>&gt;LISH4Feb23 Long Island Sound field dinoflagellate proton-pump rhodopsin gene</t>
  </si>
  <si>
    <t>ATTGAGATTGGTAACGTCCACAAGAAGTACCGTGTCGCTCTGTCCATCACTGGCTTGGTGACGGCCATTGCTTGCTACCACTACGTCCGTATCTTCAACTCATGGAACGATGCGTTCGGCGTGCACGCAGGTCACGATGGCAATTACGTGGTGTCTCTCACCGGTGCGCCATCCAACGATGCTTACCGTTACGTCGATTGGCTCTTGACCGTCCCTCTCTTGCTCATTGAGTTGATCTTGGTTATGGGACTCCCAGCTGACCAGACCGCCTCTTTGTCCTGGCAGTTGGGTCTCGCCTCAGCCGTG</t>
  </si>
  <si>
    <t>&gt;LISH4Feb24 Long Island Sound field dinoflagellate proton-pump rhodopsin gene</t>
  </si>
  <si>
    <t>CTTCAGATCCCGAACGTCGCGAAGGGCTACCGCACGGCACTGACGATCACGGGCATCGTGACGCTCATTGCCACGTACCACTACTTCCGCATCTTCAACTCGTGGACCGAGGCCTTCGAGGTCACGAACAAATCGGGCGGTGGATACACGGTCACGCCTTCCGGTGCCCCCTTCAACGATGCTTACCGATACGTTGATTGGCTTTTGACGGTGCCCCTGCTGCTCATCGAGCTGATCTTGGTGATGAAGTTGCCGGCTGATGAGACCTCGAAGTTGAGCTGGAACTTGGGCACGGCGGCCGCCGTG</t>
  </si>
  <si>
    <t>&gt;LISH4Feb25 Long Island Sound field dinoflagellate proton-pump rhodopsin gene</t>
  </si>
  <si>
    <t>TTGCAGGTTCCGAATGTGACGAAGAGCTACCGCACGGCGCTGACCATCACTGGCATTGTGACATTGATCGCGACGTACTACTTCAGGATCTTCAACTCGTGGGTGGAGGCATTCGAGGTGAAGAATGTGGATGGTGGTGACTACATGGTGACGCTTACCGGTGCTCCCTTCAACGATGGCTACCGCTACGTTGATTGGCTTCTGACGGTGCCGCTGCTGTTGATCGAGCTCATTCTCGTGATGAAGTTGCCCGCTGAGCAGACGAAAAGCCTGAGCTGGAGCTTGGGCGCAGCTTCCGCCTTG</t>
  </si>
  <si>
    <t>&gt;LISH4Feb26 Long Island Sound field dinoflagellate proton-pump rhodopsin gene</t>
  </si>
  <si>
    <t>TTGCAGGTTCCGAATGTGACGAAGAGCTACCGCACAGCGCTGACCATCACTGGCATTGTGACGTTGATCGCGACGTACCACTACTTCAGGATCTTCAACTCGTGGGTGGAGGCaTTCGAGGTGAAGAATGTGGATGGTGGTGACTACAAGGTGACGCTTACCGGTGCTCCCTTCAACGATGGCTACCGCTACGTGGATTGGCTTCTGACGGTGCCTCTGCTGTTGATCGAGCTCATTCTCGTGATGAAGTTGCCCGCTGAGCAGACGAAAAGCCTGAGCTGGAGCTTGGGCGCGGCTTCCGCCTTG</t>
  </si>
  <si>
    <t>&gt;LISH4Feb27 Long Island Sound field dinoflagellate proton-pump rhodopsin gene</t>
  </si>
  <si>
    <t>CTCCAGCTCCGCAACGTGAGCAAGAACTACCAAACCGCTGTCATCATCACTGGATCGGTCACGTGTATTGCCACCTATCACTACCTCCGCATGTTCAACTCCTGGGTTGACGCGTTTGTTGTGAAGTCACCAGGACCTAGCCAGAACTACGAGGTTACGCTGTCAGGGACTCCCTTCAACGATGCCTACCGCTATGTGGACTGGCTCTTGACCGTACCGCTCTTGTTGATCGAGCTCGTCTTGGTGATGAAGTTGCCCAAGGCCGAAACCACGAGGCTAAGCTGGCAGTTGGGATTGGCCTCTGCCGCG</t>
  </si>
  <si>
    <t>&gt;LISH4Feb28 Long Island Sound field dinoflagellate proton-pump rhodopsin gene</t>
  </si>
  <si>
    <t>TTGCAGGTtCCGAATGTGACGAAGAGCTACCGCACGGCGCTGACCATCACTGGCATTGTGACATTGATCGCGACGTACCACTACTTCAGGATCTTCAACTCGTGGGTGGAGGCATTCGAGGTGAAGAATGTGGACGGTGGTGACTACATGGTGAGGCTTACCGGTGCTCCCTTCAACGATGGCTACCGCTACGTGGACTGGCTTCTGACGGTGCCTCTGTTGTTGATCGAGCTCATTCTCGTGATGAAGTTGCCCGCTGAGCAGACGAAAAGCCTGAGCTGGAGCTTGGGCGCGGCTTCCGCCTTG</t>
  </si>
  <si>
    <t>&gt;LISH4Feb29 Long Island Sound field dinoflagellate proton-pump rhodopsin gene</t>
  </si>
  <si>
    <t>&gt;LISH4Feb30 Long Island Sound field dinoflagellate proton-pump rhodopsin gene</t>
  </si>
  <si>
    <t>&gt;LISH4Feb31 Long Island Sound field dinoflagellate proton-pump rhodopsin gene</t>
  </si>
  <si>
    <t>TTGCAGGTTCCGAATGTGACGAAGAGCTACCGCACGGCGCTGACCATCACTGGCATTGTGACATTGATCGCGACGTACCACTACTTCAGGATCTTCAACTCGTGGGTGGAGGCATTCGAGGTGAAGAACAAGCATGGTGGTGACtacatggtgacGCTTACCGGTGCTCCCTTCAACGATGGCTACCGCTACGTGGACTGGCTTCTGACGGTGCCTCTGTTGTTGATCGAGCTCATTCTCGTGATGAAGTTGCCCGCTGAGCAGACGAAAAGCCTGAGCTGGAGCTTGGGCGCAGCTTCCGCCTTG</t>
  </si>
  <si>
    <t>&gt;LISH4Feb34 Long Island Sound field dinoflagellate proton-pump rhodopsin gene</t>
  </si>
  <si>
    <t>TTGCAGGTTCCGAAAGTGACGAAGAGCTACCGCACGGCGCTGACCATCACTGGCATTGTGACATTGATCGCGGCGTGCCACTACTTCAGGATCTTCAACTCGTGGGTGGAGGCATTCGGGGTGGAGAACAGGGATGGTGGTGACTACGTGATGCTGCTTACCGGTGCTCCCTTCAGCGATGGCTACCGCTGCGTGGATCGGCTTCTGACGGTGCCTCTGATGATCGAGCTCATTCTCGTGATGAAGTTGCCCGCTGAGCAGACgAAAAGCCTGAGCTGGAGCTTGGGCGCGGCTTCCGCCTTG</t>
  </si>
  <si>
    <t>&gt;LISH4Feb35 Long Island Sound field dinoflagellate proton-pump rhodopsin gene</t>
  </si>
  <si>
    <t>TTGCAGGTTCCGAATGTGACGAAGAGCTACCGCACGGCGCTGACCATCGCTGGCATTGTGACATTGATCGCGACGTACCACTATTTCAGGATCTTCAACTCGTGGGTGGAGGCATTCGAGGTGAAGAATGTGGATGGTGGTGACTACATGGTGAGGCTTACCGGTGCTCCCTTCAACGATGGCTACCGCTACGTGGATTGGCTTCTGACGGTGCCTCTGCTGTTGATCgAGCTCATTCTCGTGATGAAGTTGCCCGCTGAGCAGACGAAAAGCCTGAGCTGGAGCTTGGGCGCAGCTTCCGCCTTG</t>
  </si>
  <si>
    <t>&gt;LISH4Feb36 Long Island Sound field dinoflagellate proton-pump rhodopsin gene</t>
  </si>
  <si>
    <t>TTGCAGTTGGGAAACGTCACGAAGAACTACCGCACGGCACTTACCATCACTGGCATCGTGACCTTCATCGCGACGTACCACTACTTCCGGATCTTCAACTCTTGGGTTGAGGCCTTCGACGTGGCGAACAAAGATGGAGGTGCTTATGAGGTTTCTCTGACTGGGGCTCCCTTTAATGACGCCTACCGATATGTTGATTGGCTCTTGACGGTGCCCCTGTTGTTGGTGGAGTTGATTCTCGTGATGAAGTTGCCGGAGGAGCAGACGCGGAGCTTGAGCTGGAGCTTGGGCTCAGCCTCGGCCTTG</t>
  </si>
  <si>
    <t>&gt;LISA4Aug1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</si>
  <si>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TGAGACTGTGAGCTTGAGTTGGAAGCTGGGCTTGGCCAGCGCCTtG</t>
  </si>
  <si>
    <t>&gt;LISA4Aug2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</si>
  <si>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TGAGACTGTGAGCTTGAGTTGGAAGCTGGGCTTGGCCAGCGCCTTG</t>
  </si>
  <si>
    <t>&gt;LISA4Aug3 Long Island Sound field dinoflagellate proton-pump rhodopsin gene</t>
  </si>
  <si>
    <t>&gt;LISA4Aug4 Long Island Sound field dinoflagellate proton-pump rhodopsin gene</t>
  </si>
  <si>
    <t>CTGCAGCTGCCAAATGTGACAAAGAGCTACCGCACTGCCCTCACCATCACTGGAGTTGTTACCTTGATCGCTACTTACCATTACATCCGCATCTTCAACTCCTGGTCTGAGGCCTTCACAGTGGCGAGCAAGGACGGGGGCGACTACGAGGTGAAGCTCACGGGGGCTCCCTTCAATGACGGCTACCGTTACGTGGACTGGCTGCTGACTGTGCCTCTGCTGCTGATCGAGTTGATCCTGGTGATGAAGCTGCCGCAGGCTGAGACTGTGAGCTTGAGTTGGAAGCTGGGCTTGGCCAGCGCCTTG</t>
  </si>
  <si>
    <t>&gt;LISA4Aug5 Long Island Sound field dinoflagellate proton-pump rhodopsin gene</t>
  </si>
  <si>
    <t>&gt;LISA4Aug6 Long Island Sound field dinoflagellate proton-pump rhodopsin gene</t>
  </si>
  <si>
    <t>ATTCAGGTGGGGAACGTGTCGAAGAGCTACAGGACGGCCTTGACGATCACCGGCATCGTGACCTTCATCGCCACATACCATTATGTGAGGATCTTCAATTCCTGGGTCGATGCCTTCGACGTCAGCAACAAGGACGGCGGTGATTACACGGTGCAGCTCACGGGAGCTCCCTTCAACGATGCCTACCGTTACGTGGACTGGTTGCTGACGGTGCCCTTGTTGCTCATCGAGTTGATCTTAGTGATGAAGTTGCCTGAGGAGCAGACGAAGTCTTTGAGCTGGAGCTTGGGCACCGCCTCGGCCGTG</t>
  </si>
  <si>
    <t>&gt;LISA4Aug7 Long Island Sound field dinoflagellate proton-pump rhodopsin gene</t>
  </si>
  <si>
    <t>&gt;LISA4Aug8 Long Island Sound field dinoflagellate proton-pump rhodopsin gene</t>
  </si>
  <si>
    <t>&gt;LISA4Aug9 Long Island Sound field dinoflagellate proton-pump rhodopsin gene</t>
  </si>
  <si>
    <t>ATTCAGGTGGGGAACATGTCGAAGAGCTACAGGACGGCCTTGACGATCACCGGCATCGTGACCTTCATCGCCACATACCATTATGTGAGGATCTTCAATTCCTGGGTCGATGCCTTCGACGTCAGCAACAAGGACGGCGGTGATTACACGGTGCAGCTCACGGGAGCTCCCTTCAACGATGCCTACCGTTACGTGGACTGGTTGCTGACGGTGCCCTTGTTGCTCATCGAGTTGATCTTAGTGATGAAGTTGCCTGAGGAGCAGACGAAGTCTTTGAGCTGGAGCTTGGGCACCGCCTCGGCCTTG</t>
  </si>
  <si>
    <t>&gt;LISA4Aug10 Long Island Sound field dinoflagellate proton-pump rhodopsin gene</t>
  </si>
  <si>
    <t>CTGCAGCTGCCAAATGTGACAAAGAGCTACCGCACTGCCCTCACCATCACTGGAATTGTTACCTTGATCGCTACTTACCATTACATCCGCATCTTCAATTCCTGGTCTGAGGCCTTCACAGTGGCGAGCAAGGACGGGGGCGACTaCGAGGTGAAGCTCACGGGGGCTCCCTTCAATGACGGCTACCGTTACGTGGACTGGCTGCTGACTGTGCCTCTGCTGCTGATCGAGTTGATCCTGGTGATGAAGCTGCCGCAGGCTGAGACTGTGAGCTTGAGTTGGAAGCTGGGCTTGGCCAGCGCCTTG</t>
  </si>
  <si>
    <t>&gt;LISA4Aug11 Long Island Sound field dinoflagellate proton-pump rhodopsin gene</t>
  </si>
  <si>
    <t>CTGCAGCTGCCAAATGTGACAAAGAGCTACCGCACTGCCCTCACCATCACTGGAATTGTTACCTTGATCGCTACTTACCATTACATCCGCATCTTCAATTCCTGGTcTGAGGCCTTCACAGTGGCGAGCAAGGACGGGGGCGACTACGAGGTGAAGCTCACGGGGGCTCCCTTCAATGACGGCTACCGTTACGTGGACTGGCTGCTGACTGTGCCTCTGCTGCTGATCGAGTTGATCCTGGTGATGAAGCTGCCGCAGGCTGAGACTGTGAGCTTGAGTTGGAAGCTGGGCTTGGCCAGCGCCTTG</t>
  </si>
  <si>
    <t>&gt;LISA4Aug12 Long Island Sound field dinoflagellate proton-pump rhodopsin gene</t>
  </si>
  <si>
    <t>&gt;LISA4Aug13 Long Island Sound field dinoflagellate proton-pump rhodopsin gene</t>
  </si>
  <si>
    <t>CTGCAGCTGCCAAATGTGACAAAGAGCTACCGCACTGCCCTCACCATCACTGGAATTGTTACCTTGATCGCTACTTACCATTACATCCGCATCTTCAATTCCTGGTCTGAGGCCTTCACAGTGGCGAGCAAGGATGGGGGCGACTACGAGGTGAAGCTCACGGGGGCTCCCTTCAATGACGGCTACCGTTACGTGGACTGGCTGCTGACTGTGCCTCTGCTGCTGATCGAGTTGATCCTGGTGATGAAGCTGCCGCAGGCTGAGACTGTGAGCTTGAGTTGGAAGCTGGGCTTGGCCAGCGCCTTG</t>
  </si>
  <si>
    <t>&gt;LISA4Aug14 Long Island Sound field dinoflagellate proton-pump rhodopsin gene</t>
  </si>
  <si>
    <t>&gt;LISA4Aug15 Long Island Sound field dinoflagellate proton-pump rhodopsin gene</t>
  </si>
  <si>
    <t>ATTCAGGTGGGGAACGTGTCGAAGAGCTACAGGACGGCCTTGACGATCACCGGCATCGTGACCTTCATCGCCACATACCATTATGTGAGGATCTTCAATTCATGGGTCGATGCCTTCGACGTCAGCAACAAGGACGGCGGTGATTACACGGTGCAGCTCACGGGAGCTCCCTTCAACGATGCCTACCGTTACGTGGACTGGTTGCTGACGGTGCCCTTGTTGCTCATCGAGTTGATCTTAGTGATGAAGTTGCCTGAGGAGCAGACGAAGTCTTTGAGCTGGAGCTTGGGCACCGCCTCGGCCGTG</t>
  </si>
  <si>
    <t>&gt;LISA4Aug16 Long Island Sound field dinoflagellate proton-pump rhodopsin gene</t>
  </si>
  <si>
    <t>CTGCAGCTGCCAAATGTGACAAAGAGCTACCGCACTGCCCTCACCATCACTGGAATTGTTACCTTGATCGCTACTTACCATTACATCCGCAtCTTCAATTCCTGGTCTGAGGCCTTCACAGTGGCGAGCAAGGACGGGGGCGACTACGAGGTGAAGCTCACGGGGGCTCCCTTCAATGACGGCTACCGTTACGTGGACTGGCTGCTGACTGTGCCTCTGCTGCTGATCGAGTTGATCCTGGTGATGAAGCTGCCGCAGGCTGAGACTGTGAGCTTGAGTTGGAAGCTGGGCTTGGCCAGCGCCTTG</t>
  </si>
  <si>
    <t>&gt;LISA4Aug17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</si>
  <si>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GGAGACTGTGAGCTTGAGTTGGAAGCTGGGCTTGGCCAGCGCCTTG</t>
  </si>
  <si>
    <t>&gt;LISA4Aug18 Long Island Sound field dinoflagellate proton-pump rhodopsin gene</t>
  </si>
  <si>
    <t>&gt;LISA4Aug19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</si>
  <si>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TGAGACTGTGAGCTTGAGTTGGAAGCTGGGCTTGGCCAGCGCCTTG</t>
  </si>
  <si>
    <t>&gt;LISA4Aug20 Long Island Sound field dinoflagellate proton-pump rhodopsin gene</t>
  </si>
  <si>
    <t>&gt;LISA4Aug21 Long Island Sound field dinoflagellate proton-pump rhodopsin gene</t>
  </si>
  <si>
    <t>ATTCAGGTGGGGAACGTGTCGAAGAACTACCGGACGGCCTTGACGATCACAGGCATCGTGACCTTCATCGCCACATACCACTACGTGAGGATCTTCAATTCTTGGGTCGATGCCTTCGACGTGAGCAACAAGGACGGCGGCGATTACAGGGTGAAGCTGACAGGCGCTCCCTTCAACGATGCCTACCGTTATGTGGACTGGTTGCTGACGGTTCCGTTGTTGCTCATTGAGTTGATCTTGGTCATGAAGTTGCCTGAGGCGCAAACGAAGTCCTTGAGCTGGACCTTGGGCCTTGCCTCGGCCTTG</t>
  </si>
  <si>
    <t>&gt;LISA4Aug22 Long Island Sound field dinoflagellate proton-pump rhodopsin gene</t>
  </si>
  <si>
    <t>CTGCAGCTGCCAAATGTGACAAAGAGCTACCGCACTGCCCTCACCATCACTGGAATTGTTACCTTGATCGCTACTTACCATTACATCCGCATCTTCAATTCCCGGTCTGAGGCCTTCACAGTGGCGAGCAAGGACGGGGGCGACTACGAGGTGAAGCTCACGGGGGCTCCCTTCAATGACGGCTACCGTTACGTGGACTGGCTGCTGACTGTGCCTCTGCTGCTGATCGAGTTGATCCTGGTGATGAAGCTGCCGCAGGCTGAGACTGTGAGCTTGAGTTGGAAGCTGGGCTTGGCCAGCGCCTTG</t>
  </si>
  <si>
    <t>&gt;LISA4Aug23 Long Island Sound field dinoflagellate proton-pump rhodopsin gene</t>
  </si>
  <si>
    <t>CTGCAGCTGCCAAATGTGACAAAGAGCTACCGCACTGCCCTCACCATCACTGGAATTGTTACCTTGATCGCTACTTACCATTACATCCGCATCTTCAATTCCCGGTCTGAGGCCTTCACGGTGTCGAGCAAGGACGGGGGCGACTACACAGTACAGCTCGCAGGGTCTCCCTTCAATGACGGCTACCGTTACGTGGACTGGCTGCTGACTGTGCCTCTGCTGCTGATCGAGTTGATCCTGGTGATGAAGCTGCCGCAGGCTGAGACTGTGAGCTTGAGTTGGAAGCTGGGCTTGGCCAGCGCCTTG</t>
  </si>
  <si>
    <t>&gt;LISA4Aug24 Long Island Sound field dinoflagellate proton-pump rhodopsin gene</t>
  </si>
  <si>
    <t>CTGCAGCTGCCAAATGTGACAAAGAGCTACCGCACTGCCCTCACCATCACTGGAATTGTTACCTTGATCGCTACTTACCATTACATCCGCATCTTCAACTCCTGGTCTGAGGCCTTCACAGTGGCGAGCaAGGACGGGGGCGACTACGAGGTGAAGCTCACGGGGGCTCCCTTCAATGACGGCTACCGTTACGTGGACTGGCTGCTGACTGTGCCTCTGCTGCTGATCGAGTTGATCCTGGTGATGAAGCTGCCGCAGGCTGAGACTGTGAGCTTGAGTTGGAAGCTGGGCTTGGCCAGCGCCTTG</t>
  </si>
  <si>
    <t>&gt;LISA4Aug25 Long Island Sound field dinoflagellate proton-pump rhodopsin gene</t>
  </si>
  <si>
    <t>CTGCAGCTGCCAAATGTGACAAAGAGCTACCGCACTGCCCTCACCGTCACTGGAATTGTTACCTtGATCGCTACCTACCATTACATCCGCATCTTCAATTCCTGGTCTGAGGCCTTCACAGTGGCGAGCAAGGACGGGGGCGACTACGAGGTGAAGCTCACGGGGGCTCCCTTCAATGACGGCTACCGTTACGTGGACTGGCTGCTGACTGTGCCTCTGCTGCTGATCGAGTTGATCCTGGTGATGAAGCTGCCGCAGGCTGAGACTGTGAGCTTGAGTTGGAAGCTGGGCTTGGCCAGCGCCTTG</t>
  </si>
  <si>
    <t>&gt;LISA4Aug26 Long Island Sound field dinoflagellate proton-pump rhodopsin gene</t>
  </si>
  <si>
    <t>ATTCAGGTGGGGAACGTGTCGAAGAGCTACAGGACGGCCTTGACGATCACCGGCATCGTGACCTTCATCGCCACATACCATTATGTGAGGATCTTCAATTCCTGGGTCGATGCCTTCGACGTCAGCAACAAGGACGGCGGTGATTACACGGTGCAGCTCACGGGAGCTCCCTTCAACGATGCCTACCGTTACGTGGACTGGTTGCTGACGGTGCCCTTGTTGCTCAtCGAGTTGATCTTAGTGATGAAGTTGCCTGAGGAGCAGACGAAGTCTTTGAGCTGGAGCTTGGGCACCGCCTCGGCCGTG</t>
  </si>
  <si>
    <t>&gt;LISA4Aug28 Long Island Sound field dinoflagellate proton-pump rhodopsin gene</t>
  </si>
  <si>
    <t>&gt;LISA4Aug29 Long Island Sound field dinoflagellate proton-pump rhodopsin gene</t>
  </si>
  <si>
    <t>ATTCAGGTGGGGAACGTGTCGAAGAGCTACAGGACGGCCTTGACGATCACCGGCATCGTGACCTTCATCGCCACATACCATTATGTGAGGATCTTCAATTCCTGGGTCGATGCCTTCGACGTCAGCAACAAGGACGGCGGTGATTACACGGTGCAGCTCACGGGAGCTCCCTTCAACGATGCCTACCGTTACGTGGACTGGTTGCTGACGGTGCCCTTGTTGCTCATCGAGTTGATCTTGGTCATGAAGTTGCCTGAGGAGCAGACGAAGTCTTTGAGCTGGAGCTTGGGCACCGCCTCGGCCGTG</t>
  </si>
  <si>
    <t>&gt;LISA4Aug30 Long Island Sound field dinoflagellate proton-pump rhodopsin gene</t>
  </si>
  <si>
    <t>CTGCAGCTGCCAAATGTGACAAAGAGCTACCGCACTGCCCTCACCATCACTGGAGTTGTTACCTTGATCGCTACTTACCATTACATCCGCATCTTCAACTCCTGGTCTGAGGCCTTCACAGTGGCGAGCAAGGACGGGGGCGACTACGAGGTGAAGCTCACGGGGGCTCCCTTCAATGACGGCTACCGTTACGTGGACTGGCTGCTGACTGTGCCTCTGCTGCTGATCGAGTTGATCCTGGTGATGAAGCTGCCGCAGGCTGAGACTGTGAGCTTGAGTTGGAAGCtGGGCTTGGCCAGCGCCTTG</t>
  </si>
  <si>
    <t>&gt;LISA4Aug31 Long Island Sound field dinoflagellate proton-pump rhodopsin gene</t>
  </si>
  <si>
    <t xml:space="preserve">CTGCAGCTGCCAAATGTGACAAAGAGCTACCGCACTGCCCTCACCATCACTGGAATTGTTACCTTGATCGCTACTTACCATTACATCCGCATCTTCAATTCCTGGTCTGAGGCCTTCACAGTGGCGAGCAAGGACGGGGGCGACTACGAGGTGAAGCTCACGGGGGCTCCCTTCAATGACGGCTACCGTTACGTGGACTGGCTGCTGACTGTGCCTCTGCTGCTGATCGAGTTGATCCTGGTGATGAAGCTGCCGCAGGCTGAGACTGTGAGCTTGAGTTGGAAGCTGGGCTTGGCCAGCGCCTTG </t>
  </si>
  <si>
    <t>&gt;LISA4Aug32 Long Island Sound field dinoflagellate proton-pump rhodopsin gene</t>
  </si>
  <si>
    <t>CTGCAGCTGCCAAATGTGACAAAGAGCTACCGCACTGCCCTCACCATCACTGGAATTGTTACCTTGATCGCTACTTACCATTACATCCGCATCTTCAATTCCTGGTCTGAGGCCTTCACAGTGGCGAGCAAGGACGGGGGCGACTACGAGGTGAAGCTCACGGGGGCTCCCTTCAATGACGGCTACCGTTACGTGGACTGGCTGCTGACTGTGCCTCTGCTGCTGATCGAGTTGATCCTGGTGATGAAGCTGCCGCAGGCTGAGACTGTGAGCTTGAGTTGGAAGCTGGGCTTGGCCAGCGCCTTG</t>
  </si>
  <si>
    <t>&gt;LISA4Aug33 Long Island Sound field dinoflagellate proton-pump rhodopsin gene</t>
  </si>
  <si>
    <t>TTGCAGATTCCGAACGTGACAAGGAACTACCGCACGGCTCTGACGATCACGGACATCGTGACCTTGGTCGCGACCTACCACTACTTCCGGATCTTCAACTCGTGGGTTGAGGCCTTCAATGTGTCGAACAAACCTGGCGAGGACTACACGGTTACCTTGACTGGTGCCCCTTTCAACGATGCATACAGGTACGTGGATTGGCTCCTCACAGTGCCTTTGCTGTTGATCGAGCTGATCTTGGTCATGAAGCTGCCGGCTGAGCAGACGAAGGCATTGAGCTGGAACTTGGGCACTGCAGCTGCGATC</t>
  </si>
  <si>
    <t>&gt;LISA4Aug34 Long Island Sound field dinoflagellate proton-pump rhodopsin gene</t>
  </si>
  <si>
    <t>CTGCAGCTGCCAAATGTGACAAAGAGCTACCGCACTGCCCTCACCATCACTGGAATTGTTACCTTGATCGCTACTTACCATTACATCCGCATCTTCAACTCCTGGTCTGAGGCCTTCACGGTGGCGAGCAAGGACGGGGGCGACTACGAGGTGAAGCTCACGGGGGCTCCCTTCAATGACGGCTACCGTTACGTGGACTGGTTGCTGACGGTGCCTTTGTTGCTGATCGAGTTGACCCTGGTGATGAAGCTGCCGCAGGCTGAGACTGTGAGCTTGAGTTGGAAGCTGGGCTTGGCCAGCGCCTTG</t>
  </si>
  <si>
    <t>&gt;LISH4Aug1 Long Island Sound field dinoflagellate proton-pump rhodopsin gene</t>
  </si>
  <si>
    <t>CTTCAGATCCCGAATGTCGCGAaGGGCTACCGCACGGCACTGACGATCACGGGCATCGTGACGCTCATTGCCACGTACCACTACTTCCGCATCTTCAACTCGTGGACCGAGGCCTTCAAGGTCAAGCAAGAGCAGGACGGGTTCACGGTGTCGCTGACCGGTGCCCCTTTCAACGATGCTTACCGATATGTTGATTGGTTGTTGACAGTGCCATTGCTGCTCATCGAGCTGATCTTGGTGATGAAGTTGCCGGCTGAGCAGACCTCGAAGTTGAGCTGGAACTTGGGCACGGCGTCCGCCGTG</t>
  </si>
  <si>
    <t>&gt;LISH4Aug2 Long Island Sound field dinoflagellate proton-pump rhodopsin gene</t>
  </si>
  <si>
    <t>CTTCAGATCCCGAACGTCGCTAAGGGCTACCGCACGGCACTGACTATCACGGGCATCGTGACGCTCATTGCCACCTACCACTACTTCCGCATCTTCAACTCGTGGACCGAGGCCTTCAAGGTCAAGCAAGAGCAGGACGGGTTCACGGTGTCGCTGACCGGTGCCCCTTTCAACGATGCTTACCGATATGTTGATTGGTTGTTGACAGTGCCATTGCTGCTCATCGAGCTGATCTTGGTGATGAAGTTGCCGGCTGAGCAGACCTCGAAGTTGAGCTGGAACTTGGGCACGGCGTCCGCCGTG</t>
  </si>
  <si>
    <t>&gt;LISH4Aug3 Long Island Sound field dinoflagellate proton-pump rhodopsin gene</t>
  </si>
  <si>
    <t>CTTCAGATCCCGAACGTCGCTAAGGGCTACCGCACGGCACTGACTATCACGGGCATCGTGACGCTCATTGCCACCTACCACTACTTCCGCATCTTCAACTCGTGGACCGAGGCCTTCAAGGTCAAGCAAGAGCAGGACGGGTACACGGTGTCGCTGACCGGTGCCCCTTTCAACGATGCTTACCGATATGTTGATTGGTTGTTGACAGTGCCATTGCTGCTCATCGAGCtGATCTTGGTGATGAAGTTGCCGGCTGAGCAGACCTCGAAGTTGAGCTGGAACTTGGGCACGGCGTCCGCCGTG</t>
  </si>
  <si>
    <t>&gt;LISH4Aug4 Long Island Sound field dinoflagellate proton-pump rhodopsin gene</t>
  </si>
  <si>
    <t>TTGCAAGTCGGGAACGTGACGAAGAGCTACCGCACAGCACTGACAATCACGGGCATCGTGACCTTCATCGCGACGTACCACTACTTCcGAATCTTCAACTCGTGGGTTGAGGCCTTCAATGTGCAAAACAAGGACAGTGGCGATTACATTGTGACATTGACAGGGGCTCCTTTCAACGATGCCTACAGGTATGTCGATTGGTTGCTTACGGTGCCCTTGTTATTGATTGAGCTGATCTTGGTCATGAAGTTGCCGGAGGCGCAGACGAGGAGCTTGAGTTGGAGCTTGGGCGCCGCCTCTGCCTTG</t>
  </si>
  <si>
    <t>&gt;LISH4Aug5 Long Island Sound field dinoflagellate proton-pump rhodopsin gene</t>
  </si>
  <si>
    <t>CTTCAGATCCCGAACGTCGCTAAGGGCTACCGCACGGCACTGACTATCACGGGCATCGTGACGCTCATTGCCACCTACCACTACTTcCGCATCTTCAACTCGTGGACCGAGGCCTTCAAGGTCAAGCAAGAGCAGGACGGGTACACGGTGTCGCTGACCGGTGCCCCTTTCAACGATGCTTACCGATATGTTGATTGGTTGTTGACAGTGCCATTGCTGCTCATCGAGCTGATCTTGGTGATGAAGTTGCCGGCTGAGCAGACCTCGAAGTTGAGCTGGAACTTGGGCACGGCGGCCGCCGTG</t>
  </si>
  <si>
    <t>&gt;LISH4Aug6 Long Island Sound field dinoflagellate proton-pump rhodopsin gene</t>
  </si>
  <si>
    <t>CTTCAGATCCCGAACGTCGCTAAGGGCTACCGCACGGCACTGACTATCACGGGCATCGTGACGCTCATTGCCACCTACCACTACTTCCGCATCTTCAACTCGTGGACCGAGGCCTTCAAGGTCAAGCAAGAGCAGGACGGGTACACGGTGTCGCTGACCGGTGCCCCTTTCAACGATGCTTACCGATATGTTGATTGGTTGTTGACAGTGCCATTGCTGCTCATCGAGCTGATCTTGGTGATGAAGTTGCCGGCTGAGCGGACCTCGAAGTTGAGCTGGAACTTGGGCACGGCGTCCGCCGTG</t>
  </si>
  <si>
    <t>&gt;LISH4Aug7 Long Island Sound field dinoflagellate proton-pump rhodopsin gene</t>
  </si>
  <si>
    <t>CTTCAGATCCCGAATGTCGCGAAGGGCTACCGCACGGCACTGACGATCACGGGCATCGTGACGCTCATTGCCACCTACCACTACTTCCGCATCTTCAACTCGTGGACCGAGGCCTTCAAGGTCAAGCAAGAGCAGGACGGGTTCACGGTGTCGCTGACCGGTGCCCCTTTCAACGATGCTTACCGATATGTTGATTGGTTGTTGACAGTGCCATTGCTGCTCATCGAGCTGaTCTTGGTGATGAAGTTGCCGGCTGAGCAGACCTCGAAGTTGAGCTGGAACTTGGGCACGGCGTCCGCCGTG</t>
  </si>
  <si>
    <t>&gt;LISH4Aug8 Long Island Sound field dinoflagellate proton-pump rhodopsin gene</t>
  </si>
  <si>
    <t>CTTCAGATCCCGAACGTCGCTAAGGGCTACCGCACGGCACTGACTATCACGGGCATCGTGACGCTCAtTGCCACCTACCACTACTTCCGCATCTTCAACTCGTGGACCGAGGCCTTCGAGGTCACGAACAAGTCGGGCGGTGGATACACGGTCACGCCTTCCGGTGCCCCCTTCAATGATGCTTACCGATACGTTGATTGGCTTTTGACGGTGCCCCTGCTGCTCATCGAGCTGATCTTGGTGATGAAGTTGCCGGCTGAGCAGACCTCGAAGTTGAGCTGGAACTTGGGCACGGCGTCCGCCGTG</t>
  </si>
  <si>
    <t>&gt;LISH4Aug9 Long Island Sound field dinoflagellate proton-pump rhodopsin gene</t>
  </si>
  <si>
    <t>CTTCAGATCCCGAATGTCGCGAAGGGCTACCGCACGGCACTGACGATCACGGGCATCGTGACGCTCATTGCCACGTACCACTACTTCCGCATCTTCAACTCGTGGGTTGAGGCCTTCCATGTGCAAAACAAGGACGGTGGCGATTACATTGTGACATCGACAGGGGCTCCTTTCAACGATGCCTACAGGTATGTTGATTGGTTGCTTACGGTGCCCTTGTTATTGATTGAGCTGATCTTGGTCATGAAGTTGCCGGAGGCGCAGACGAGGAGCTTGAGTTGGAGCTTGGGCGCCGCCTCTGCCTTG</t>
  </si>
  <si>
    <t>&gt;LISH4Aug10 Long Island Sound field dinoflagellate proton-pump rhodopsin gene</t>
  </si>
  <si>
    <t>CTTCAGATCCCGAATGTCGCGAAGGGCTACCGCACGGCACTGACGATCACGGGCATCGTGACGCTCATTGCCACGTACCACTACTTCCGCATCTTCAACTCGTGGACCGAGGCCTTCGAGGTCACGAACAAGTCGGGCGGTGGATACACGGtCACGCCTTCCGGTGCCCCCTTCAATGATGCTTACCGATACGTTGATTGGCTTTTGACGGTGCCCCTGCTGCTCATCGAGCTGATCTTGGTGATGAAGTTGCCGGCTGATGAGACCTCGAAGTTGAGCTGGAACTTGGGCACGGCGGCCGCCGTG</t>
  </si>
  <si>
    <t>&gt;LISH4Aug11 Long Island Sound field dinoflagellate proton-pump rhodopsin gene</t>
  </si>
  <si>
    <t>TTGCAAGTCGGGAACGTGACGAAGAGCTACCGCACAGCACTGACAATCACGGGCAtCGTGACCTTCATCGCGACGTACCACTACTTCCGGATCTTCAACTCGTGGGTTGAGGCCTTCaATGTGCAAAACAAGGACGGTGGCGATTACATTGTGACATTGACAGGGGCTCCTTTCAACGATGCCTACAGGTATGTTGATTGGTTGCTTACGGTGCCATTGTTATTGATTGAGTTGATCTTGGTCATGAAGTTGCCGGAGGCGCAGACGAGGAGCTTGAGTTGGAGCTTGGGTACCGCCTCTGCCTTG</t>
  </si>
  <si>
    <t>&gt;LISH4Aug12 Long Island Sound field dinoflagellate proton-pump rhodopsin gene</t>
  </si>
  <si>
    <t>CTTCAGATCCCGAACGTCGCTAAGGGCTACCGCACGGCACTGACTATCACGGGCATCGTGACGCTCATTGCCACCTACCACTACTTCCGCATCTTCAACTCGTGGACCGAGGCCTTCAAGGTCAAGCAAGAGCAGGACGGGTTCACGGTGTCGCTGACCGGTGCCCCCTTCAACGATGCTTACCGATATGTTGATTGGTTGTTGACAGTGCCATTGCTGCTCATCGAGCTGATCTTGGTGATGAAGTTGCCGGCTGAGCAGACCTCGAAGTTGAGCTGGAACTTGGGCACGGCGTCCGCCGTG</t>
  </si>
  <si>
    <t>&gt;LISH4Aug13 Long Island Sound field dinoflagellate proton-pump rhodopsin gene</t>
  </si>
  <si>
    <t>TTGCAAGTCGGGAATGTGACGAAGAGCTACCGCACAGCACTGACAATCACGGGCATCGTGACCTTCATCGCGACGTACCACTACTTCCGAATCTTCAACTCGTGGGTTGAGGCCTTTAATGTGCAAAACAAGGACGGTGGCGATTACATTGTGACATTGACAGGGGCTCCTTTCAACGATGCCTACAGGTATGTTGATTGGTTGCTTACGGTGCCATTGTTATTGATTGAGTTGATCTTGGTCATGAAGTTGCCGGAGGCGCAGACGAGGAGCTTGAGTTGGAGCTTGGGCGCCGCCTCTGCCTTG</t>
  </si>
  <si>
    <t>&gt;LISH4Aug14 Long Island Sound field dinoflagellate proton-pump rhodopsin gene</t>
  </si>
  <si>
    <t>CTTCAGATCCCGAACGTCGCTAAGGGCTACCGCACGGCACTGACTATCACGGGCATCGTGACGCTCATTGCCACCTACCACTACTTCCGCATCTTCAACTCGTGGACCGAGGCCTTCAATGTCAAGCAACAGCAGGACGGGTACACGGTGTCGCTGACCGGTGCCCCTTTCAACGATGCTTACCGATATGTTGATTGGTTGTTGACAGTGCCATTGCTGCTCATCGAGCTGATCTTGGTGATGAAGTTGCCGGCTGAGCGGACCTCGAAGTTGAGCTGGAACTTGGGCACGGCGTCCGCCGTG</t>
  </si>
  <si>
    <t>&gt;LISH4Aug15 Long Island Sound field dinoflagellate proton-pump rhodopsin gene</t>
  </si>
  <si>
    <t>CTCCAGATCCCGAACGTCGCTAAGGGCTACCGCACGGCACTGACTATCACGGGCATCGTGACGCTCATTGCCACCTACCACTACTTCCGCATCTTCAACTCGTgGACCGAGGCCTTCGAGGTCACGAACAAATCGGGCGGTGGATACACGGTCACGCCTTCCGGTGCCCCTTTCAACGATGCTTACCGATATGTTGATTGGTTGTTGACAGTGCCATTGCTGCTCATCGAGCTGATCTTGGTGATGAAGTTGCCGGCTGAGCAGACCTCGAAGTTGAGCTGGAACTTGGGCACGGCGTCCGCCGTG</t>
  </si>
  <si>
    <t>&gt;LISH4Aug16 Long Island Sound field dinoflagellate proton-pump rhodopsin gene</t>
  </si>
  <si>
    <t>CTTCAGATCCCGAACGTCGCTAAGGGCTACCGCACGGCACTGACTATCACGGGCATCGTGACGCTCATTGCCACCTACCACTACTTCCGCATCTTCAACTCGTGGACCGAGGCCTTCAAGGTCAAGCAAGAGCAGGACGGGTACACGGTGTCGCTGACCGGTGCCCCTTTCAACGATGCTTACCGATATGTTGATTGGTTGTTGACAGTGCCATTGCTGCTCATCGAGCTGATCTTGGTGATGAAGTTGCCGGCTGAGCAGACCTCGAAGTTGAGCTGGAACTTGGGCACGGCGTCCGCCGTG</t>
  </si>
  <si>
    <t>&gt;LISH4Aug17 Long Island Sound field dinoflagellate proton-pump rhodopsin gene</t>
  </si>
  <si>
    <t>CTTCAGATCCCGAACGTCGCGAAGGGCTACCGCACGGCACTGACGATCACGGGCATCGTGACGCTCATTGCCACCTACCACTACTTCCGCATCTTCAaCTCGTGGACCGAGGCCTTCAAGGTCAAGCAAGAGCAGGACGGGTTCACGGTGTCGCTGACCGGTGCCCCTTTCAACGATGCTTACCGATATGTTGATTGGTTGTTGACAGTGCCATTGCTGCTCATCGAGCTGATCTTGGTGATGAAGTTGcCGGCTGAGCAGACCTCGAAGTTGAGCTGGAACCTGGGCACGGCGTCCGCCGTG</t>
  </si>
  <si>
    <t>&gt;LISH4Aug18 Long Island Sound field dinoflagellate proton-pump rhodopsin gene</t>
  </si>
  <si>
    <t>CTACAGATCCCGAATGTCGCGAAGGGCtACCGCACGGCACTGACGATCACGGGCATCGTGACGCTCATTGCCACGTACCACTACTTCCGCATCTTCAACTCGTGGACCGAGGCCTTCGAGGTCACGAACAAGTCGGGCGGTGGATACACGGTCACGCCTTCCGGTGCCCCCTTCAACGATGCTTACCGATACGTTGATTGGCTTTTGACGGTGCCCCTGCTGCTCATCGAGCTGATCTTGGTGATGAAGTTGCCGGCTGATGAGACCTCGAAGTTGAGCTGGAACTTGGGCACGGCGGCCGCCGTG</t>
  </si>
  <si>
    <t>&gt;LISH4Aug19 Long Island Sound field dinoflagellate proton-pump rhodopsin gene</t>
  </si>
  <si>
    <t>CTTCAGATCCCGAACGTCGCTAAGGGCTACCGCACGGCACTGACTATCACGGGCATCGTGACGCTCATTGCCACCTACCACTACTTCCGCATCTTCAACTCGtGGACCGAGGCCTTCAAGGTCAAGCAAGAGCAGGACGGGTTCACGGTGTCGCTGACCGGTGCCCCTTTCAACGATGCTTACCGATATGTTGATTGGTTGTTGACAGTGCCATTGCTGCTCATCGAGCTGATCTTGGTGATGAAGTTGCCGGCTGAGCAGACCTCGAAGTTGAGCTGGAACTTGGGCACGGCGTCCGCCGTG</t>
  </si>
  <si>
    <t>&gt;LISH4Aug20 Long Island Sound field dinoflagellate proton-pump rhodopsin gene</t>
  </si>
  <si>
    <t>CTTCAGATCCCGAACGTCGCTAAGGGCTACCGCACGGCACTGACTATCACGGGCATCGTGACGCTCATTGCCACCTACCACTACTTCCGCATCTTCAACTCGTGGACCGAGGCCTTCAATGTCAAGCAACAGCAGGACGGGTACACGGTGTCGCTGACCGGTGCCCCTTTCAACGATGCTTACCGATATGTTGATTGGTTGTTGACAGTGCCATTGCtGCTCATCGAGCTGATCTTGGTGATGAAGTTGCCGGCTGAGCGGACCTCGAAGTTGAGCTGGAACTTGGGCACGGCGTCCGCCGTG</t>
  </si>
  <si>
    <t>&gt;LISH4Aug21 Long Island Sound field dinoflagellate proton-pump rhodopsin gene</t>
  </si>
  <si>
    <t>TTGCAAGTCGGGAATGTGACGAAGAGCTACCGCACAGCACTGACAATCACGGGCATCGTGACCTTCATCGCGACGTACCACTACTTCCGAATCTTCAACTCGTGGGTTGAGGCCTTCAATGTGCAAAACAAGGACGGTGGCGATTACATTGTGACATTGACAGGGGCTCCTTTCAACGATGCCTACAGGTATGTCGATTGGTTGCTTACGGTGCCATTGTTATTGATTGAGTTGATCTTGGTCATGAAGTTGCCGGAGGCGCAGACGAGGAGCTTGAGTTGGAGCTTGGGCGCCGCCTCTGCCTTG</t>
  </si>
  <si>
    <t>&gt;LISH4Aug22 Long Island Sound field dinoflagellate proton-pump rhodopsin gene</t>
  </si>
  <si>
    <t>CTTCAGATCCCGAATGTCGCGAAGGGCTACCGCACGGCACTGACGATCACGGGCATCGTGACGCTCATTGCCACGTACCACTACTTCCGCATCTTCAACTCGTGGACCGAGGCCTTCGAGGTCACGAACAAATCGGGCGGTGGATACACGGTCACGCCTTCCGGTGCCCCCTTCAACGATGCTTACAGATACGTTGATTGGCTTTTGACGGTGCCCCTGCTGCTCATCGaGCTGATCTTGGTGATGAAGTTGCCGGCTGATGAGACCTCGAAGTTGAGCTGGAACTTGGGCACGGCGTCCGCCGTG</t>
  </si>
  <si>
    <t>&gt;LISH4Aug23 Long Island Sound field dinoflagellate proton-pump rhodopsin gene</t>
  </si>
  <si>
    <t>&gt;LISH4Aug24 Long Island Sound field dinoflagellate proton-pump rhodopsin gene</t>
  </si>
  <si>
    <t>CTTCAGATCCCGAACGTCGCTAAGGGCTACCGCACGGCACTGACTATCACGGGCATCGTGACGCTCATTGCCACCTACCACTACTTCCGCATCTTCAACTCGTGGACCGAGGCCTTCAAGGTCAAGCAAGAGCAGGACGGGTTCACGGTGTCGCTGACCGGTGCCCCTTTCAACGATGCTTACCGATATGTTGATTGGTTGTTGACAGTGCCATTGCTGCTCATCGAGCTGATCTTGGTGATGAAGTTGCCGGCTGAGCAGACCTCGAAGTTGAGCTGGAACCTGGGCACGGCGTCCGCCGTG</t>
  </si>
  <si>
    <t>&gt;LISH4Aug25 Long Island Sound field dinoflagellate proton-pump rhodopsin gene</t>
  </si>
  <si>
    <t>&gt;LISH4Aug26 Long Island Sound field dinoflagellate proton-pump rhodopsin gene</t>
  </si>
  <si>
    <t>CTTCAGATCCCGAACGTCGCTAAGGGCTACCGCACGGCACTGACTATCACGGGCATCGTGACGCTCATTGCCACGTACCACTACTTCCGCATCTTCAACTCGTGGACCGAGGCCTTCGAGGTCACGAACAAATCGGGCGGTGGATACACGGTCACGCCTTCCGGTGCCCCCTTCAACGATGCTTACAGATACGTTGATTGGCTTTTGACGGTGCCCCtGCTGCTCATCGAGCTGATCTTGGTGATGAAGTTGCCGGCTGATGAGACCTCGAAGTTGAGCTGGAACTTGGGCACGGCGGCCGCCGTG</t>
  </si>
  <si>
    <t>&gt;LISH4Aug27 Long Island Sound field dinoflagellate proton-pump rhodopsin gene</t>
  </si>
  <si>
    <t>CTTCAGATCCCGAACGTCGCGAAGGGCTACCGCACGGCACTGACGATCACGGGCATCGTGACGCTCATTGCCACCTACCACTACTTCCGCATCTTCAACTCGTGGACCGAGGCCTTCGAGGTCACGAACAAATCGGGCGGTGGAtACACGGTCACGCCTTCCGGTGCCCCCTTCAACGATGCTTACAGATACGTTGATTGGCTTTTGACGGTGCCCCTGCTGCTCATCGAGCTGATCTTGGTGATGAAGTTGCCGGCTGATGAGACCTCGAAGTTGAGCTGGAACTTGGGCACGGCGTCCGCCGTG</t>
  </si>
  <si>
    <t>&gt;LISH4Aug28 Long Island Sound field dinoflagellate proton-pump rhodopsin gene</t>
  </si>
  <si>
    <t>CTTCAGATCCCGAACGTCGCGAAGGGCTACCGCACGGCACTGACGAtCACGGGCATCGTGACGCTCATTGCCACGTACCACTACTTCCGCATCTTCAACTCGTGGACCGAGGCCTTCGAGGTCACGAACAAGTCGGGCGGTGGATACACGGTCACGCCTTCCGGTGCCCcCTTCAATGATGCTTACCGATACGTTGATTGGCTTTTGACGGTGCCCCTGCTGCTCATCGAGCTGATCTTGGTGATGAAGTTGCCGGCTGATGAGACCTCGAAGTTGAGCTGGGACTTGGGCACGGCGTCCGCCGTG</t>
  </si>
  <si>
    <t>&gt;LISH4Aug29 Long Island Sound field dinoflagellate proton-pump rhodopsin gene</t>
  </si>
  <si>
    <t>&gt;LISH4Aug30 Long Island Sound field dinoflagellate proton-pump rhodopsin gene</t>
  </si>
  <si>
    <t>TTGCAAGTCGGGAACGTGACGAAGAGCTACTGCACAGCACTGACAATCACGAGCATCGTGACCTTCATTGCGATGTACCACTACTTCCGGATCTTCAACTCGTGGGTTGAGGCCTTCAATGTGCAAAACAAGGACGGTGGCGATTACATTGTGACATTGACAGGGGCTCCTTTCAACGATGCCTACAGGTATGTCGATTGGTTGCTTACGGTGCCCTTGTTATTGATTGAGCTGATCTTGGTCATGAAGTTGCCGGAGGCGCAGACGAGGAGCTTGAGTTGGAGCTTGGGCGCCGCCTCTGCCTTG</t>
  </si>
  <si>
    <t>&gt;LISH4Aug31 Long Island Sound field dinoflagellate proton-pump rhodopsin gene</t>
  </si>
  <si>
    <t>CTTCAGATCCCGAACGTCGCGAAGGGCTACCGCACGGCACTGACGATCACGGGCATCGTGACGCTCATTGCCACGTACCACTACTTCCGCATCTTCAACTCGTGGACCGAGGCCTTCGAGGTCACGAACAAATCGGGCGGTGGATACACGGTCACGCCTTCCGGTGCCCCCTTCAACGATGCTTACAGATACGTTGATTGGCTTTTGACGGTGCCCCTGCTGCTCATCGAGCTGATCTTGGTGATGAAGTTGCCGGCTGATGAGACCTCGAAGTTGAGCTGGAACTTGGGCACGGCGGCCGCCGTG</t>
  </si>
  <si>
    <t>&gt;LISH4Aug32 Long Island Sound field dinoflagellate proton-pump rhodopsin gene</t>
  </si>
  <si>
    <t>CTTCAGATCCCGAACGTCGCTAAGGGCTACCGCACGGCACTGACTATCACGGGCATCGTGACGCTCATTGCCACCTACCACTACCTCCGCATCTTCAACTCGTGGACCGAGGCCCTCAAGGTCAAGCAAGAGCAGGACGGGTTCACGGTGTCGCTGACCGGTGCCCCTTTCAACGATGCTTACCGATATGTTGATTGGTTGTTGACAGTGCCACAGCTGCTCATCGAGCTGATCTTGGTGATGAAGTTGCCGGCTGAGCAGACCTCGAAGTTGAGCTGGAACTTGGGCACGGCGTCCGCCGTG</t>
  </si>
  <si>
    <t>&gt;LISH4Aug33 Long Island Sound field dinoflagellate proton-pump rhodopsin gene</t>
  </si>
  <si>
    <t>CTTCAGATCCCGAATGTCGCGAAGGGCTACCGCACGGCACTGACTATCACGGGCATCGTGACGCTCATTGCCACCTACCACTACTTCCGCATCTTCAACTCGTGGACCGAGGCCTTCAAGGTCAAGCAAGAGCAGGACGGGTACACGGTGTCGCTGACCGGTGCCCCTTTCAACGATGCTTACCGATATGTTGATTGGTTGTTGACAGTGCCATTGCTGCTCATCGAGCTGATCTTGGTGATGAAGTTGCCGGCTGAGCAGACCTCGAAGTTGAGCTGGAACTTGGGCACGGCGTCCGCCGTG</t>
  </si>
  <si>
    <t>&gt;LISH4Aug34 Long Island Sound field dinoflagellate proton-pump rhodopsin gene</t>
  </si>
  <si>
    <t>CTTCaGATCCCGAACGTCGCTAAGGGCTACCGCACGGCACTGACTATCACGGGCATCGTGACGCTCATTGCCACCTACCACTACTTCCGCATCTTCAACTCGTGGACCGAGGCCTTCAAGGTCAAGCAAGAGCAGGACGGGTTCACGGTGTCGCTGACCGGTGCCCCTTTCAACGATGCTTACCGATATGTTGATTGGTTGTTGACAGTGCCATTGCTGCTCATCGAGCTGATCTTGGTGATGAAGTTGCCGGCTGAGCAGACCTCGAAGTTGAGCTGGAACTTGGGCACGGCGTCCGCCGTG</t>
  </si>
  <si>
    <t>&gt;LISH4Aug35 Long Island Sound field dinoflagellate proton-pump rhodopsin gene</t>
  </si>
  <si>
    <t>CTTCAGATCCCGAACGTCGCTAAGGGCTACCGCACGGCACTGACTATCACGGGCATCGTGACGCTCATTGCCACCTACCACTACTTCCGCATCTTCAACTCGTGGACCGAGGCCTTCGAGGTCACGAACAAATCGGGCGGTGGATACaCGGTCACGCCTTCCGGTGCCCCCTTCAACGATGCTTACAGATACGTTGATTGGCTTTTGACGGTGCCCCTGCTGCTCATCGAGCTGATCTTGGTGATGAAGTTGCCGGCTGATGAGACCTCGAAGTTGAGCTGGAACTTGGGCACGGCGGCCGCCGTG</t>
  </si>
  <si>
    <t>&gt;LISH4Aug37 Long Island Sound field dinoflagellate proton-pump rhodopsin gene</t>
  </si>
  <si>
    <t>&gt;LISA4Apr1 Long Island Sound field dinoflagellate proton-pump rhodopsin gene</t>
  </si>
  <si>
    <t>CTTCAGGTTCCGAATGTGACGAAGAGCTACCGCACGGCGCTGACCATCACTGGCATTGTGACATTGATCGCGACGTACCACTACTTCAGGATCTTCAACTCGTGGGTGGAGGCATTCGAGGTGAAGAACAAGGATGGTGGTGACTACACGGTGACGCTTACCGGTGCTCCCTTCAACGATGGCTACCGCTACGTGGATTGGCTTCTGACGGTGCCTCTGCTGTTGATCGAGCTCATTCTCGTGATGAAGTTGCCCGCTGAGCAGACGAAAAGCCTGAGCTGGAGCTTGGGCGCAGCTTCCGCCTTG</t>
  </si>
  <si>
    <t>&gt;LISA4Apr2 Long Island Sound field dinoflagellate proton-pump rhodopsin gene</t>
  </si>
  <si>
    <t>TTGCAGGTTCCGAATGTGACGAAGAGCTACCGCACGGCGCTGACCATCACTGGCATTGTGACATTGATCGCGACGTACCACTATTTCAGGATCTTCAACTCGTGGGTGGAGGCATTCGAGGTGAAGAATGTGGATGGTGGTGACTACATGGTGACGCTTACCGGTGCTCCCTTCAACGATGGCTACCGCTACGTGGATTGGCTTCTGACGGTGCCTCTGTTGTTGATCGAGCTCATTCTCGTGATGAAGTTGCCCGCTGAGCAGACGAAAAGCCTGAGCTGGAGCTTGGGCGCAGCTTCCGCCTTG</t>
  </si>
  <si>
    <t>&gt;LISA4Apr3 Long Island Sound field dinoflagellate proton-pump rhodopsin gene</t>
  </si>
  <si>
    <t>TTGCAGGTTCCGAGTGTGACGAAGAGCTACCGCACGGCGCTGACCATCACTGGCATTGTGACGTTGATCGCGACGTACCGCTACTTCAGGATCTTCAACTCGTGGGTGGAGGCATTCGAGGTGAAGAACAAGCATGGTGGTGACTACATGGTGACGCTTACCGGTGCTCCCTTCAACGATGGCTACCGCTACGTTGATTGGCTTCTGACGGTGCCTCTGTTGTTGGTCGAGCTCATTCTCGTGATGAAGTTGCCCGCTGAGCAGACGAAAAGCCTGAGCCGGAGCTTGGGCGCGGCTTCCGCCTTG</t>
  </si>
  <si>
    <t>&gt;LISA4Apr4 Long Island Sound field dinoflagellate proton-pump rhodopsin gene</t>
  </si>
  <si>
    <t>TTGCAGGTTCCGAATGTGACGAAGAGCTACCGCACGGCGCTGACCATCACTGGCATTGTGACATTGATCGCGACGTACCGCTACTTCAGGATCTTTAACTCTTGGGTGGAGGCCTTCGAAGTGACTAACAGCGGTGGCGGCGATTACACTGTGAAGCTCTCTGGCACTCCCTTCAACGATGCCTACCGCTACGTGGACTGGCTGCTGACCGTGCCTCTGCTGCTGATCGAGTTGATCCTGGTGATGAAGCTGCCGCAGCAGGAGACTGTGAGCTTGAGTTGGAAGCTGGGCTGCGCGAGTGCATTG</t>
  </si>
  <si>
    <t>&gt;LISA4Apr5 Long Island Sound field dinoflagellate proton-pump rhodopsin gene</t>
  </si>
  <si>
    <t>TTGCAGGTTCCGAGTGTGACGAAGAGCTACCGcACGGCGCTGACCATCACTGGCATTGTGACATTGATCGCGACTTACCACTACTTCAGGATCTTCAACTCGTGGGTGGAGGCATTCGAGGTGAAGAACAAGGATGGTGGTGTCTACATGGTGACGCTTACCGGTGCTCCCTTCAACGATGGCTACCGCTACGTGGATTGGCTTCTGACGGTGCCTCTGTTGTTGATCGAGCTCATTCTCGTGATGAAGTTGCCCGCTGAGCAGACGAAAAGCCTGAGCTGGAGCTTGGGCGCGGCTTCCGCCTTG</t>
  </si>
  <si>
    <t>&gt;LISA4Apr6 Long Island Sound field dinoflagellate proton-pump rhodopsin gene</t>
  </si>
  <si>
    <t>TTGCAGGTTCCGAATGTGACGAAGAGCTACCGCGCGGCGCTAACCATCACTGGCATTGTGACATTGATCGCGACGTACCACTACTTCAGGATCTTCAACTCGTGGGTGGAGGCATTCGAGGTGAAGAATGTGGATGGTGGTGACTACATGGTGAGGCTTACCGGTGCTCCCTTCAACGATGGCTACCGCTACGTGGATTGGCTTCTGACGGTGCCTCTGTTGTTGATCGAGCTCATTCTCGTGATGAAGCTGCCCGCTGAGCAGACGAAAAGCCTGAGCTGGAGCTTGGGCGCAGCTTCCGCCTTG</t>
  </si>
  <si>
    <t>&gt;LISA4Apr7 Long Island Sound field dinoflagellate proton-pump rhodopsin gene</t>
  </si>
  <si>
    <t>TTGCAGGTTCCGAATGTGACGAAGAGCTACCGCACGGCGCTGACCATCACTGGCATTGTGACATTGATCGCGACGTACCACTACTTCAGGATCTTCAACTCGTGGGTGGAGGCATTCGAGGTGAAGAATGTGGATGGTGGTGACTACATGGTGAGGCTTACCGGTGCTCCCTTCAACGATGGCTACCGCTACGTGGACTGGCTTCTGACGGTGCCTCTGCTGTTGATCGAGCTCATTCTCGTGATGAAGTTGCCCGCTGAGCAGACGAAAAGCCTGAGCTGGAGCTTGGGCGCAGCTTCCGCCTTG</t>
  </si>
  <si>
    <t>&gt;LISA4Apr8 Long Island Sound field dinoflagellate proton-pump rhodopsin gene</t>
  </si>
  <si>
    <t>TTGCAGGTTCCGAATGTGACGAAGAGCTACCGCACGGCGCTGACCATCACTGGCATTGTGACATTGATCGCGACGTACCACTACTTCAGGATCTTCAACTCGTGGGTGGAGGCATTCGAGGTGAAGAATGTGGACGGTGGTGACTACATGGTGAGGCTTACCGGTGCTCCCTTCAACGATGGCTACCGCTACGTGGACTGGCTTCTGACGGTGCCTCTGCTGTTGATCGAGCTCATTCTCGTGATGAAGCTGCCTGCTGAGCAGACGAAAAGCCTGAGCTGGAGCTTGGGCGCAGCTTCCGCCTTG</t>
  </si>
  <si>
    <t>&gt;LISA4Apr9 Long Island Sound field dinoflagellate proton-pump rhodopsin gene</t>
  </si>
  <si>
    <t>CTGCaGCTGCCAAATGTGACGAAGAGCTACCGCACGGCGCTGACCATCACTGGCATTGTGACATTGATCGCGACGTACCACTACTTCAGGATCTTCAACTCGTGGGTGGAGGCATTCGAGGTGAAGAACAAGGATGGTGGTGACTACATGGTGACGCTTACCGGTGCTCCCTTCAACGATGGCTACCGCTACGTGGACTGGCTTCTGACGGTGCCTCTGCTGTTGATCGAGCTCATTCTCGTGATGAAGTTGCCCGCTGAGCAGATGAAAAGCCTGAGCTGGAGCCTGGGCGCAGCTTCCGCCTTG</t>
  </si>
  <si>
    <t>&gt;LISA4Apr10 Long Island Sound field dinoflagellate proton-pump rhodopsin gene</t>
  </si>
  <si>
    <t>TTGCAGGTTCCGAATGTGACGAAGAGCTACCGCACGGCGCTGACCATCACTGGCATTGTGACGTTGATCGCGACGTACCACTACTTCAGGATCTTCAACTCGTGGGtGGAGGCATTCGAGGTGAAGAACAAGGATGGTGGTGACTACATGGTGACACTCACCGGGGCTCCCTTCAACGATGCCTACCGCTACGTGGATTGGCTTCTGACGGTGCCTCTGTTGTTGATCGAGCTCATTCTGGTGATGAAGTTGCCCGCTGAGCAGACCAACAGCCTGAGTTGGAGCTTGGGTGCAGCTTCCGCCTTG</t>
  </si>
  <si>
    <t>&gt;LISA4Apr11 Long Island Sound field dinoflagellate proton-pump rhodopsin gene</t>
  </si>
  <si>
    <t>TTGCAGGTTCCGAAGGTGACGAAGAGTTACCGCACGGCGCTGACCAGCGCTGGCATTGTGACGTTGATCGCGACTTACCACTACTTCAGGATCTTTAACTCTTGGGTGGAGGCCTTCGAAGTGACTAACAGCGGTGGCGGCGATTACACTGTGAAGCTCTCTGGCACTCCCTTCAACGATGGCTACCGCTACGTGGATTGGCTTCTGACGGTGCCTCTGCTGTTGATCGAGCTCATTCTCGTGATGAAGTTGCCCGCTGAGCAGACGAAAAGCCTGAGCTGGAGCTTGGGCGCAGCTTCCGCCTTG</t>
  </si>
  <si>
    <t>&gt;LISA4Apr12 Long Island Sound field dinoflagellate proton-pump rhodopsin gene</t>
  </si>
  <si>
    <t>TTGCAGGTTCCGAATGTGACGAAGAGCTACCGCACGGCGCTGACCATCACTGGCATTGTGACATTGATCGCGACGTACCACTACTTCAGGATCTTCAACTCGTGGGTGGAGGCATTCGAGGTGAAGAATGTGGATGGTGGTGACTACATGGTGAGGCTTaCCGGTGCTCCCTTCAACGATGGCTACCGCTACGTGGATTGGCTTCTGACGGTGCCTCTGCTGTTGATCGAGCTCATTCTCGTGATGAAGTTGCCCGCTGAGCAGACGAAAAGCCTGAGCTGGAGCTTGGGCGCAGCTTCCGCCTTG</t>
  </si>
  <si>
    <t>&gt;LISA4Apr13 Long Island Sound field dinoflagellate proton-pump rhodopsin gene</t>
  </si>
  <si>
    <t>TTGCAGGTTCCGAATGTGACGAAGAGCTACCGCACGGCGCTGACCATCACTGGCATTGTGACGTTGATCGCGACGTACCACTACtTCAGGATCTTCAACTCGTGGGTGGAGGCATTCGAGGTGAAGAACAAGGATGGTGGTGACTACATGGTGACGCTTACCGGTGCTCCCTTCAACGATGGCTACCGCTACGTGGATTGGCTTCTGACGGTGCCTCTGTTGTTGATCGAGCTCATTCTCGTGATGAAGTTGCCCGCTGAGCAGACGAAAAGCCTGAGCTGGAGCTTGGGCGCAGCTTCCGCCTTG</t>
  </si>
  <si>
    <t>&gt;LISA4Apr14 Long Island Sound field dinoflagellate proton-pump rhodopsin gene</t>
  </si>
  <si>
    <t>TTGCAGGTTCCGAATGTGACGAAGAGCTACCGCACGGCGCTGACCATCACTGGCATTGTGACATTGATCGCGACGTACCACTACTTCAGGATCTTCAACTCGTGGGTGGAGGCATTCGAGGTGAAGAACAAGCATGGTGGTGACTACATGGTGACGCTTACCGGTGCTCCCTTCAACGATGGCTACCGCTACGTGGACTGGCTTCTGACGGTGCCTCTGTTGTTGATCgAGTTGATCCTGGTGATGAAGCTGCCGCAGCAGGAGACTGTGAGCTTGAGTTGGAAGCTGGGCTTGGCCAGCGCCTTG</t>
  </si>
  <si>
    <t>&gt;LISA4Apr15 Long Island Sound field dinoflagellate proton-pump rhodopsin gene</t>
  </si>
  <si>
    <t>CTTCAGCTGGGTAACGTCTCGAAGAGCTACCGCACTGCTCTGACCATCACAGGCATTGTGACCTTCGTCGCCACCTACCACTACTTCAGGATCTTTAACTCTTGGGTGGAGGCCTTCGAAGTGACTAACAGCGGTGGCGGCGATTACACTGTGAAGCTCTCTGGCACTCCCTTCAACGATGCCTACCGCTACGTGGACTGGCTGCTCACTGTGCCTCTGCTGCTGGTGGAGCTGATCCTGGTGATGAAGCTGCCTGCTGGGCAGACTGCAAGCATGAGCTGGAAGCTGGGCTGCGCGAGTGCATTG</t>
  </si>
  <si>
    <t>&gt;LISA4Apr16 Long Island Sound field dinoflagellate proton-pump rhodopsin gene</t>
  </si>
  <si>
    <t>TTGCAGGTTCCGAATGTGACGAAGAGCTACCGCACGGCGCTGACCATCACTGGCATTGTGACATTGATCGCGACGTACCACTACTTCAGGATCTTCAACTCGTGGGTGGAGGCATTCGAGGTGAAGAACAAGCATGGTGGTGACTACATGGTGACGCTTACCGGTGCTCCCTTCAACGATGGCTACCGCTACGTGGACTGGCTTCTGACGGTGCCTCTGTTGTTGATCGAGCTCATTCTCGTGATGAAGTTGCCCGCTGAGCAGACGAAAAGCCTGAGCTGGAGCTTGGGCGCGGCTTCCGCCTTG</t>
  </si>
  <si>
    <t>&gt;LISA4Apr17 Long Island Sound field dinoflagellate proton-pump rhodopsin gene</t>
  </si>
  <si>
    <t>CTGCAGCTGCCAAATGTGACAAAGAGCTACCGCACTGCCCTCACCATCACTGGAATTGTTACCTTGATCGCTACTTACCATTACATCCGCATCTTCAATTCATGGTCTGAGGCGTTCACGGTGGCGAGCAAGGACGGAGGCGACTACACGGTGCAGCTCACAGGGGCTCCCTTCAACGACGGCTACCGCTACGTGGACTGGCTGCTGACCGTGCCTCTGCTGCTGATCGAGTTGATCCTGGTGGTGAAGCTGCCGCAGCAGGAGACTGTGAGCTCGAGTTGGAAGCTGGGCTTGGCCAGCGCCTTG</t>
  </si>
  <si>
    <t>&gt;LISA4Apr18 Long Island Sound field dinoflagellate proton-pump rhodopsin gene</t>
  </si>
  <si>
    <t>TTGCAGGTTCCGAATGTGACGAAGAGCTACCGCACGGCGCTGACCATCACTGGCATTGTGACGTTGATCGCGACGTACCACTACTTCAGGATCTTCAACTCGTGGGTGGaGGCATTCGAGGTGGAGAACAGGGATGGTGGTGACTACATGATGACGCTTACCGGTGCTCCGTTCAACGATGGCTACCGCTGCGTGGATCGGCTTCTGACGGTGCCTCTGCTGTTGATCGAGCTCATTCTCGTGATGAAGTTGCCCGCTGAGCAGACGAAAAGCCTGAGCTGGAGCTTGGGCGCAGCTTCCGCCTTG</t>
  </si>
  <si>
    <t>&gt;LISA4Apr19 Long Island Sound field dinoflagellate proton-pump rhodopsin gene</t>
  </si>
  <si>
    <t>tTGCAGGTTCCGAATGTGACGAAGAGCTACCGCACGGCGCTGACCATCACTGGCATTGTGACATTGATCGCGACGTACCACTACTTCAGGATCTTCAACTCGTGGGTGGAGGCATTCGAGGTGAAGAATGTGGATGGTGGTGACTACATGGTGACGCTTACCGGTGCTCCCTTCAACGATGGCTACCGCTACGTGGATTGGCTTCTGACGGTGCCTCTGTTGTTGATCGAGCTCATTCTCGTGATGAAGTTGCCCGCTGAGCAGACGAAAAGCCTGAGCTGGAGCTTGGGCGCAGCTTCCGCCTTG</t>
  </si>
  <si>
    <t>&gt;LISA4Apr20 Long Island Sound field dinoflagellate proton-pump rhodopsin gene</t>
  </si>
  <si>
    <t>CTTCAGCTGGGTAACGTCTCGAAGAGCTACCGCACTGCTCTGACCATCACAGGCATTGTGACCTTCATCGCCACCTACCACTACTTCAGGATCTTTAACTCTTGGGTGGAGGCCTTCGAAGTGACTAACAGCGGTGGCGGCGATTACACTGTGAAGCTCTCTGGCACTCCCTTCAACGATGCCTACCGCTACGTGGACTGGCTGCTCACTGTGCCTCTGCTGCTGGTGGAGCTGATCCTGGTGATGAAGCTGCCTGCTGAGCAGACTGCAAGCATGAGCTGGAAGCTGGGCTGTGCGAGTGCATTG</t>
  </si>
  <si>
    <t>&gt;LISA4Apr21 Long Island Sound field dinoflagellate proton-pump rhodopsin gene</t>
  </si>
  <si>
    <t>CTTCAGCTGGGTAACGTCTCGAAGAGCTACCGCACTGCTCTGACCATCACAGGCATTGTGACCTTCATCGCCACCTACCACTACTTCAGGATCTTTAACTCTTGGGTGGAGGCCTTCGAAGTGACTAACAGCGGTGGCGGCGATTACACTGTGAAGCTCTCTGGCACTCCCTTCAACGATGCCTACCGCTACGTGGACTGGCTGCTCACTGTGCCTCTGCTGCTGGTGGAGCTGATCCTGGTGATGAAGCTGCCTGCTGAGCAGACTGCAAGCATGAGCTGGAAGCTGGGCTGCGCCAGTGCATTG</t>
  </si>
  <si>
    <t>&gt;LISA4Apr22 Long Island Sound field dinoflagellate proton-pump rhodopsin gene</t>
  </si>
  <si>
    <t>TTGCAGGTTCCGAATGTGACGAAGAGCTACCGCACGGCGCTGACCATCACTGGCATTGTGACATTGATCGCGACGTACCACTACTTCAGGATCTTCAACTCGTGGGTGGAGGCATTCGAGGTGAAGAATGTGGATGGTGGTGACTACATGGTGAGGCTTACCGGTGCTCCCTTCAACGATGGCTACCGCTACGTGGATTGGCTTCTGACGGTGCCTCTGCTGTTGATCGAGCTCATTCTCGTGATGAAGTTGCCCGCTGAGCAGACGAAAAGACTGAGCTGGAGCTTGGGCGCAGCTTCCGCCTTG</t>
  </si>
  <si>
    <t>&gt;LISA4Apr23 Long Island Sound field dinoflagellate proton-pump rhodopsin gene</t>
  </si>
  <si>
    <t>TTGCAGGTTCCGAATGTGACGAAGAGCTACCGCACGGCGCTGACCATCACTGGCATTGTGACATTGATCGCGACGTACCACTACTTCAGGATCTTCAACTCGTGGGTGGAGGCATTCGAGGTGAAGAATGTGGATGGTGGTGACTACATGGTGAGGCTTACCGGTGCTCCCTTCAACGATGGCTACCGCTACGTGGATTGGCTTCTGACGGTGCCTCTGCTGTTGATCGAGCTCATTCTCGTGATGAAGTTATCCGCTGAgCAGACGAAAAGCCTGAGCTGGAGCTTGGGTGCGGCTTCCGCCTTG</t>
  </si>
  <si>
    <t>&gt;LISA4Apr24 Long Island Sound field dinoflagellate proton-pump rhodopsin gene</t>
  </si>
  <si>
    <t>CTTCAGCTGGGTAACGTCTCGAAGAGCTACCGCACTGCTCTGACCATCACAGGCATTGTGACCTTCATCGCCACCTACCACTACTTCAGGATCTTTAACTCTTGGGTGGAGGCCTTCGAAGTGACTAACAGCGGTGGCGGCGATTACACTGTGAAGCTCTCTGGCACTCCCTTCAACGATGCCTACCGCTACGTGGACTGGCTGCTCACTGTGCCTCTGCTGCTGGTGGAGCTGATCCTGGTGATGAAGCTGCCTGCTGAGCAGACTGCAAGCATGAGCTGGAAGCTGGGCTGCGCGAGTGCATTG</t>
  </si>
  <si>
    <t>&gt;LISA4Apr25 Long Island Sound field dinoflagellate proton-pump rhodopsin gene</t>
  </si>
  <si>
    <t>TTGCAGGTTCCGAATGTGACAAAGAGCTACCGCACGGCGCTGACCATCACTGGCATTGTGACATTGATCGCGACGTACTACTTCAGGATCTTCAACTCGTGGGTGGAGGCATTCGAGGTGAAGAATGTGGATGGTGGTGACTACATGGTGACGCTTACCGGTGCTCCCTTCAACGATGGCTACCGCTACGTGGATTGGCTTCTGACGGTGCCTCTGTTGTTGATCGAGCTCATTCTCGTGATGAAGTTATCCGCTGAGCAGACGAAAAGCCTGAGCTGGAGCTTGGGTGCGGCTTCCGCCTTG</t>
  </si>
  <si>
    <t>&gt;LISA4Apr26 Long Island Sound field dinoflagellate proton-pump rhodopsin gene</t>
  </si>
  <si>
    <t>CTTCAGCTGGGTAACGTCTCGAAGAGCTACCGCACTGCTCTGACCATCACAGGCATTGTGACCTTCATCGCCACCTACCACTACTTCAGGATCTTTAACTCTTGGGTGGAGGCCTTCGAAGTGACTAACAGCGGTGGCGGCGACTACACTGTGAAGCTCTCTGGCACTCCCTTCAACGATGCCTACCGCTACGTGGACTGGCTGCTCACTGTGCCTCTGCTGCTGGTGGAGCTGATCCTGGTGATGAAGCTGCCTGCTGAGCAGACTGCAAGCATGAGCTGGAAGCTGGGCTGCGCGAGTGCATTG</t>
  </si>
  <si>
    <t>&gt;LISA4Apr27 Long Island Sound field dinoflagellate proton-pump rhodopsin gene</t>
  </si>
  <si>
    <t>TTGCAGGTTCCGAATGTGACGAAGAGCTACCGCACGGCGCTGACCATCACTGGCATTGTGACGTTGATCGCGACATACCACTACTTCAGGATCTTCAACTCGTGGGTGGAGGCATTCGAGGTGAAGAATGTGGATGGTGGTGACTACATGGTGAGGCTTACCGGTGCTCCCTTCAACGATGGCTACCGCTACGTGGATTGGCTTCTGACGGTGCCTCTGTTGTTGATCGAGCTCATTCTCGTGATGAAGTTGCCCGCTGAGCAGACGAAAAGCCTGAGCTGGAGCTTGGGCGCAGCTTCCGCCTTG</t>
  </si>
  <si>
    <t>&gt;LISA4Apr28 Long Island Sound field dinoflagellate proton-pump rhodopsin gene</t>
  </si>
  <si>
    <t>TTGCAGGTTCCGAATGTGACGAAGAGCTACCGCACGGCGCTGACCATCACTGGCATTGTGACGTTGATCGCGACGTACCACTACTTCAGGATCTTCAACTCGTGGGTGGAGGCATTCGAGGTGAAGAACAAGGATGGTGGTGACCACATGGTGACGCTTACCGGCGCTCCCTTCAACGATGGCTACCGCTACGTGGATTGGCTTCTGACGGTGCCTCTGTTGTTGATCGAGCTCATTCTCGTGATGAAGCTGCCCGCTGAGCAGACGAAAAGCCTGAGCTGGAGCCTGGGCGCAGCTTCCGCCTTG</t>
  </si>
  <si>
    <t>&gt;LISA4Apr29 Long Island Sound field dinoflagellate proton-pump rhodopsin gene</t>
  </si>
  <si>
    <t>TTGCAGGTTCCGAGTGTGACGAAGAGCTACCGCACGGCGCTGACCATCGCTGGCATTGTGACGTTGATCGCGACGTACCACTACTTCAGGATCTTCAACTCGTGGGTGGAGGCATTCGAGGTGAAGAATGTGGATGGTGGTGACTACATGGTGACGCTTACCGGTGCTCCCTTCAACGATGGCTACCGCTACGTGGATTGGCTTCTGACGGTGCCTCTGTTGTTGATCGAGCTCATTCTCGTGATGAAGTTGCCCGCTGAGCAGACGAAAAGCCTGAGCTGGAGCTTGGGCGCAGCTTCCGCCTTG</t>
  </si>
  <si>
    <t>&gt;LISA4Apr30 Long Island Sound field dinoflagellate proton-pump rhodopsin gene</t>
  </si>
  <si>
    <t>TTGCAGGTTCCGAATGTGACGAAGAGCTACCGCACTGCTCTGACCATCACAGGCATTGTGACCTTCATCGCCACCTACCACTACTTCAGGATCTTTAACTCGTGGGTGGAGGCATTCGAGGTGAAGAATGTGGATGGTGGTGACTACGTGGTGACACTCACCGGTGCTCCCTTCAACGATGGCTACCGCTACGTGGATTGGCTTCTGACGGTGCCTCTGTTGTTGATCGAGCTCATTCTCGTGATGAAGCTGCCCGCTGAGCAGACGAAAAGCCTGAGCTGGAGCTTGGGTGCAGCTTCCGCCTTG</t>
  </si>
  <si>
    <t>&gt;LISA4Apr31 Long Island Sound field dinoflagellate proton-pump rhodopsin gene</t>
  </si>
  <si>
    <t>CTGCAGCTGCCAAATGTGACAAAGAGCTACCGCACTGCCCTCACCATCACTGGAATTGTTACCTTGATCGCTACTTACCATTACATCCGCATCTTCAATTCATGGTCTGAGGCGTTCACGGTGGCGAGCAAGGACGGAGGCGACTACACGGTGCAGCTCACAGGGGCTCCCTTCAACGACGGCTACCGCTACGTGGACTGGCTGCTGACCGTGCCTCTGCTGCTGATCGAGCTCATTCTCGTGATGAAGTTGCCCGCTGAGCAGACGAAAAGCCTGAGTTGGAGCTTGGGTGCAGCTTCCGCCTTG</t>
  </si>
  <si>
    <t>&gt;LISA4Apr32 Long Island Sound field dinoflagellate proton-pump rhodopsin gene</t>
  </si>
  <si>
    <t>TTGCAGGTTCCGAATGTGACGAAGAGCTACCGCACGGCGCTGACCATCACTGGCATTGTGACATTGATCGCGACATACCACTACTTCAGGATCTTCAACTCGTGGGTGGAGGCATTCGAGGTGAAGAATGTGGATGGTGGTGACTACATGGTGAGGCTTACCGGTGCTCCCTTCAACGATGGCTACCGCTACGTGGATTGGCTTCTGACGATGCCTCTGCTGTTGATCGAGCTCATTCTCGTGATGAAGTTGCCCGCTGAGCAGACGAAAAGCCTGAGCTGGAGCTTGGGCGCAGCTTCCGCCTTG</t>
  </si>
  <si>
    <t>&gt;LISA4Apr34 Long Island Sound field dinoflagellate proton-pump rhodopsin gene</t>
  </si>
  <si>
    <t>TCTCAGCTGGGTAACGTCTCGAAGAGCTACCGCACTGCTCTGACCATCACAGGCATTGTGACCTTCATCGCCACCTACTACTACTTCAGGATCTTCAACTCGTGGGTGGAGGCATTCGAGGTGAAGAACAAGGATGGTGGTGACTACATGGTGACTCTCACCGGTGCTCCCTTCAACGATGGCTACCGCTACGTGGATTGGCTTCTGACGGTGCCTCTGCTGTTGATCGAGCTCATTCTCGTGATGAAGCTGCCCGCTGAGCAGACGAAAAGCCTGAGCTGGAGCTTGGGCGCAGCTTCCGCCTTG</t>
  </si>
  <si>
    <t>&gt;LISA4Apr35 Long Island Sound field dinoflagellate proton-pump rhodopsin gene</t>
  </si>
  <si>
    <t>CTTCAGCTGGGTAACGTCTCGAAGAGCTACCGCACTGCTCTGACCAtCACAGGCATTGTGACCTTCATCGCCACCTACCACTACTTCAGGATCTTTAACTCTTGGGTGGAGGCCTTCGAAGTGACTAACAGCGGTGGCGGCGATTACACTGTGAAGCTCTCTGGCACTCCCTTCAACGATGCCTACCGCTACGTGGACTGGCTGCTCACTGTGCCTCTGCTGCTGGTGGAGCTGATCCTGGTGATGAAGCTGCCTGCTGAGCAGACTGCAAGCATGAGCTGGAAGCTGGGCTGTGCGAGTGCATTG</t>
  </si>
  <si>
    <t>&gt;LISA4Apr36 Long Island Sound field dinoflagellate proton-pump rhodopsin gene</t>
  </si>
  <si>
    <t>CTTCAGCTGGGTAACGTCTCGAAGAGCTACCGCACTGCTCTGACAATCACAGGCATTGTGACCTTCATCGCCACCTACCACTACTACTTCAGGATCTTTAACTCTTGGGTGGAGGCCTTCGAAGTGACTAACAGCGGTGGCGGCGATTACACTGTGAAGCTCTCTGGCACTCCCTTCAACGATGCCTACCGCTACGTGGACTGGCTGCTCACTGTGCCTCTGCTGCTGGTGGAGCTGATCCTGGTGATGAAGCTGCCTGCTGAGCAGACTGCAAGCATGAGCTGGAAGCTGGGCTGCGCGAGTGCATTG</t>
  </si>
  <si>
    <t>&gt;LISE1Apr1 Long Island Sound field dinoflagellate proton-pump rhodopsin gene</t>
  </si>
  <si>
    <t>TTGCAGGTTCCGAATGTGACGAAGAGCTACCGCACGGCACTGACCATCACTGGCATTGTGACGTTGATCGCGACATACCACTACTTCAGGATCTTCAACTCGTGGGTGGAGGCATTCGAGGTGAAGAACAAGGATGGTGGTGATTACGTGGTGACGCTTACCGGTGCTCCCTTCAACGATGGCTACCGCTACGTGGATTGGCTTCTGACGGTGCCTCTGCTGTTGATCGAGCTCATTCTCGTGaTGAAGTTGCCCGCTGAGCAGACGAAAAGCCTGAGCTGGAGCTTGGGCGCAGCTTCCGCCTTG</t>
  </si>
  <si>
    <t>&gt;LISE1Apr2 Long Island Sound field dinoflagellate proton-pump rhodopsin gene</t>
  </si>
  <si>
    <t>TTGCAGGTTCCGAATGTGACGAAGAGCTACCGCACGGCGCTGACCATCACTGGCATTGTGACATTGATCGCGACGTACCACTACTTCAGGATCTTCAACTCGTGGGTGGAGGCATTCGAGGTGAAGAATGTGGATGGTGGTGACTACATGGTGACGCTTACCGGTGCTCCCTTCAACGATGGCTACCGCTACGTGGATTGGCTTCTGACGGTACCTCTGCTGTTGATCGAGCTCATTCTCGTGATGAAGTTGCCCGCTGAGCAGACGAAAAGCCTGAGCTGGAGCTTGGGCGCAGCTTCCGCCTTG</t>
  </si>
  <si>
    <t>&gt;LISE1Apr3 Long Island Sound field dinoflagellate proton-pump rhodopsin gene</t>
  </si>
  <si>
    <t>TTGCAGGTTCCGAATGTGACGAAGAGCTACCGCACGGCGCTAACCATCACTGGCATTGTGACGTTGATCGCGACGTACCACTACTTCAGGATCTTCAACTCGTGGGTGGAGGCATTCGAGGTGAAGAACAAGGATGGTGGTGATTACATGGTGACGCTTACCGGTGCTCCCTTCAACGATGGCTACCGCTACGTGGATTGGCTTCTGACGGTGCCTCTGTTGTTGATCGAGCTCATTCTCGTGATGAAGTTGCCCGCTGAGCAGACGAAAAGCCTGAGCTGGAGCTTGGGCGCGGCTTCCGCCTTG</t>
  </si>
  <si>
    <t>&gt;LISE1Apr4 Long Island Sound field dinoflagellate proton-pump rhodopsin gene</t>
  </si>
  <si>
    <t>TTGCAGGTTCCGAATGTGACGAAGAGCTACCGCACGGCGCTGACCATCACTGGCATTGTGACATTGATCGCGACGTACCACTATTTCAGGATCTTCAACTCGTGGGTGGAGGCATTCGAGGTGAAGAATGTGGATGGTGGTGACTACATGGTGACACTCACCGGTGCTCCCTTCAACGATGGCTACCGCTACGTGGATTGGCTTCTGACGGTACCTCTGCTGTTGATCGAGCTCATTCTCGTGATGAAGCTGCCCGCTGAGCAGACGAAAAGCCTGAGCTGGAGCTTGGGCGCAGCTTCCGCCTTG</t>
  </si>
  <si>
    <t>&gt;LISE1Apr6 Long Island Sound field dinoflagellate proton-pump rhodopsin gene</t>
  </si>
  <si>
    <t>TTGCAGGTTCCGAATGTGACGAAGGGCTACCGCACGGCGCTGACCATCACTGGCATTGTGACATTGATCGCGACGTACCACTACTTCAGGATCTTCAACTCGTGGGTGGAGGCATTCGAGGTGAAGAATGTGGATGGTGGTGACTACATGGTGACGCTTACCGGTGCTCCCTTCAACGATGGCTACCGCTACGTGGATTGGCTTCTGACGGTGCCTCTGTTGTTGATCGAGCTCATTCTCGTGATGAAGCTGCCCGCTGAGCAGACGAAAAGCCTGAGCTGGAGCTTGGGCGCAGCTTCCGCCTTG</t>
  </si>
  <si>
    <t>&gt;LISE1Apr7 Long Island Sound field dinoflagellate proton-pump rhodopsin gene</t>
  </si>
  <si>
    <t>TTGCAGGTTCCGAATGTGACGAAGAGCTACCGCACGGCGCTGACCATCACTGGCATTGTGACGTTGATCGCGACATACCACTACTTCAGGATCTTCAACTCGTGGGTGGAGGCATTCGAGGTGAAGAACAAGGATGGTGGTGACTACATGGTGACGCTTACCGGTGCTCCCTTCAACGATGGCTACCGCTACGTGGATTGGCTTCTGACGGCGCCTCTGTTGTTGATCGAGCTCATTCTCGTGATGAAGCTGCCCGCTGAGCAGACGAAGAGCCTGAGCTGGAGCTTGGGCGCAGCTTCCGCCTTG</t>
  </si>
  <si>
    <t>&gt;LISE1Apr8 Long Island Sound field dinoflagellate proton-pump rhodopsin gene</t>
  </si>
  <si>
    <t>TTGCAGGTTCCGAATGTGACGAAGAGCTACcGCACGGCGCTGACCATCACTGGCATTGTGACATTGATCGCGACGTACCACTACTTCAGGATCTTCAACTCGTGGGTGGAGGCATTCGAGGTGAAGAACAAGCATGGTGGTGACTACATGGTGACACTCACCGGTGCTCCCTTCAACGATGCCTACCGCTACGTGGATTGGCTTCTGACGGTGCCTCTGCTGTTGATCGAGCTCATTCTCGTGATGAAGTTGCCCGCTGAGCAGACGAAAAGCCTGAGCTGGAGCTTGGGCGCAGCTTCCGCCTTG</t>
  </si>
  <si>
    <t>&gt;LISE1Apr9 Long Island Sound field dinoflagellate proton-pump rhodopsin gene</t>
  </si>
  <si>
    <t>TTGCAGGTTCCGAATGTGACGAAGAGCTACCGCGCGGCGCTGACCATCACTGGCACTGTGACATTGATCGCGACGTACCACTACTTCAGGATCTTCAACTCGTGGGTAGAGGCATTCGAGGTGAAGAACAAGGATGGTGGTGACTACATGGTGACACTCACCGGTGCTCCCTTCAACGATGCCTACCGCTACGTGGATTGGCTTCTGACGGTGCCTCTGTTGTTGATCGAGCTCATTCTCGTGATGAAGTTGCCCGCTGAGCAGACGAAAAGCCCGAGCTGGAGCTTGGGCGCGGCTTCCGCCTTG</t>
  </si>
  <si>
    <t>&gt;LISE1Apr10 Long Island Sound field dinoflagellate proton-pump rhodopsin gene</t>
  </si>
  <si>
    <t>TTGCAGGTTCCGAATGTGACGAAGAGCTACCGCACGGCGCTAACCATCACTGGCATTGTGACGTTGATCGCGACGTACCACTACTTCAGGATCTTCAACTCGTGGGTGGAGGCATTCGAGGTGGAGAACAGGGATGGTGGTGACTACATGGTGACGCTTACCGATGCTCCCTTCAACGATGGCTACCGCTACGTGGATTGGCTTCTGACGGTGCCTCTGTTGTTGATCGAGCTCATTCTCGTGATGAAGTTGCCCGCTGAGCAGACGAAAAGCCTGAGCTGGAGCTTGGGCGCAGCTTCCGCCTTG</t>
  </si>
  <si>
    <t>&gt;LISE1Apr11 Long Island Sound field dinoflagellate proton-pump rhodopsin gene</t>
  </si>
  <si>
    <t>TTGCAGGTTCCGAATGTGACGAAGAGCTACCGCACGGCGCTGACCATCACTGGCATTGTGACATTGATCGCGACGTACCACTACTTCAGGATCTTCAACTCGTGGGTGGAGGCATTCGAGGTGAAGAACAAGCATGGTGGTGACTACATGGTGACGCTTACCGGTGCTCCCTTCAACGATGGCTACCGCTACGTGGACTGGCTTCTGACGGTGCCTCTGTTGTGGATCGAGCTCATTCTCGTGATGAAGTTGCCCGCTGAGCAGACGAAAAGCCTGAGCTGGAGCTTGGGTGCGGCTTCCGCCTTG</t>
  </si>
  <si>
    <t>&gt;LISE1Apr12 Long Island Sound field dinoflagellate proton-pump rhodopsin gene</t>
  </si>
  <si>
    <t>TTGCAGGTTCCGAATGTGACGAAGAGCTACCGCACGGCGCTGACCATCACTGGCATTGTGACGTTGATCGCGACGTACCACTACTTCAGGATCTTCAACTCGTGGGTGGAGGCATTCGAaGTGAAGAACGAGGATGGTGGTGACTACATGGTGACGCTTACCGGTGCTCCCTTCaACGATGGCTACCGCTACGTGGATTGGCTTCTGACGGTGCCTCTGTTGTTGATCGAGCTCATTCTCGTGATGAAGCTGCCCGCTGAGCAGACGAAAAGCCTGAGCTGGAGCTTGGGCGCAGCTTCCGCCTTG</t>
  </si>
  <si>
    <t>&gt;LISE1Apr13 Long Island Sound field dinoflagellate proton-pump rhodopsin gene</t>
  </si>
  <si>
    <t>TTGCAGGTTCCGAATGTGACGAAGAGCTACCGCACAGCGCTGACCATCACTGGCATTGTGACGTTGATCGCGACATACCACTACTTCAGGATCTTCAACTCGTGGGTGGAGGCATTCGAGGTGAAGAACAAGGATGGTGGTGACTACATGGTGACACTCACCGGTGCTCCCTTCAACGATGGCTACCGCTACGTGGATTGGCTTCTGACGGTGCCTCTGCTGTTGATCGAGCTCATTCTCGTGATGAAGCTGCCCGCTGAGCAGACGAAAAGCCTGAGCTGGAGCTTGGGCGCAGCTTCCGCCTTG</t>
  </si>
  <si>
    <t>&gt;LISE1Apr14 Long Island Sound field dinoflagellate proton-pump rhodopsin gene</t>
  </si>
  <si>
    <t>TTGCAGGTTCCGAATGTGACGAAGAGCTACCGCACGGCGCTGACCATCACTGGCATTGTGACGTTGATCGCGACGTACCACTACTTCAGGATCTTCAACTCGTGGGTGGAGGCATTCGAGGTGAAGAATGTGGATGGTGGTGACTACAAGGTGACGCTTACCGGTGCTCCCTTCAACGATGGCTACCGCTACGTGGATTGGCTTCTGACGGTGCCTCTGTTGTTGATCGAGCTCATTCTCGTGATGAAGTTGCCCGCTGAGCAGACGAAAAGCCTGAGCTGGAGCTTGGGCGCAGCTTCCGCCTTG</t>
  </si>
  <si>
    <t>&gt;LISE1Apr15 Long Island Sound field dinoflagellate proton-pump rhodopsin gene</t>
  </si>
  <si>
    <t>TTGCCCGTTCCGAATGTGGCGAAGAGCTACCGCACGGCGCTAACCATCACTGGCATTGTGACGTTGATCGCGACGTACCACTACTTCAGGATCTTCAACTCGTGGGTGGAGGCATTTGAGGTGAAGAACAAGGATGGTGGTGACTACATGGTGACGCTTACCGGTGCTCCCTTCAACGATGGCTACCGCTACGTGGATTGGCTTCTGACGGTGCCTCTGTTGTTGATCGAGCTCATTCTCGTGATGAAGTTGCCCGCTGAGCAGACGAAAAGCCTGAGCTGGAGCTTGGGCGCAGCTTCCGCCTTG</t>
  </si>
  <si>
    <t>&gt;LISE1Apr16 Long Island Sound field dinoflagellate proton-pump rhodopsin gene</t>
  </si>
  <si>
    <t>TTGCAGGTTCCGAATGTGACGAAGAGCTACCGCACGGCGCTGACCATCACTGGCATTGTGACGTTGATCGCGACGTACCACTACTTCAGGATCTTCAACTCGTGGGTGGAGGCATTCGAGGTGAAGAATGTGGATGGTGGTGATTACATGGTGACGCTTACCGGTGCTCCCTTCAACGATGGCTACCGCTACGTGGATTGGCTTCTGACGGTGCCTCTGCCGTTGATCGAGCTCATTCTCGTGATGAAGCTGCCCGCTGAGCAGACGAAAAGCCTGAGCTGGAGCTTGGGCGCAGCTTCCGCCTTG</t>
  </si>
  <si>
    <t>&gt;LISE1Apr17 Long Island Sound field dinoflagellate proton-pump rhodopsin gene</t>
  </si>
  <si>
    <t>TTGCAGGTTCCGAATGTGACGAAGAGCTACCGCACGGCGCTGACCATCACTGGCATTGTGACATTGATCGCGACTTACCACTACTTCAGGATCTTCAACTCGTGGGTGGAGGCATTCGAGGTGAAGAACAAGGATGGTGGTGACTACATGGTGACGCTTACCGGTGCTCCCTTCAACGATGGCTACCGCTACGTGGATTGGCTTCTGACGGTGCCTCTGCTGTTGATCGAGCTCATTCTCGTGATGAAGTTGCCCGCTGAGCAGACGAAAAGCCTGAGCTGGAGCTTGGGCGCAGCTTCCGCCTTG</t>
  </si>
  <si>
    <t>&gt;LISE1Apr18 Long Island Sound field dinoflagellate proton-pump rhodopsin gene</t>
  </si>
  <si>
    <t>TTGCAGGTTCCGAATGTGACGAAGAGCTACCGCACGGCGCTGACCATCACTGGCATTGTGACGTTGATCGCGACGTACCACTACTTCAGGATCTTCAACTCGTGGGTGGAGGCATTCGAGGTGAAGAACAAGGATGGTGGTGACTACATGGTGACGCTTACCGGTGCTCCCTTCAACGATGGCTACCGCTACGTGGATTGGCTTCTGACGGTGCCTCTGCTGTTGATCGAGCTCATTCTCGTGATGAAGTTGCCCGCTGAGCAGACGAAAAGCCTGAGCTGGAGCTTGGGCGCAGCTTCCGCCTTG</t>
  </si>
  <si>
    <t>&gt;LISE1Apr19 Long Island Sound field dinoflagellate proton-pump rhodopsin gene</t>
  </si>
  <si>
    <t>TTGCAGGTTCCGAATGTGACGAAGAGCTACCGCACGGCGCTAACCATCACCGGCATTGTGACATTGATCGCGACGTACCACTACTTCAGGATCTTCAACTCGTGGGTGGAGGCATTCGAGGTGGAGAACAGGGATGGTGGTGACTACATGATGACGCTTACCGGTGCTCCGTTCAACGATGGCTACCGCTGCGTGGATCGGCTTCTGACGGTGCCGCTGTTGTTGATCGAGCTCATTCTCGTGATGAAGTTGCCCGCTGAGCAGACGAAAAGCCTAAGCTGGAGCTTGGGCGCAGCTTCCGCCTTG</t>
  </si>
  <si>
    <t>&gt;LISE1Apr20 Long Island Sound field dinoflagellate proton-pump rhodopsin gene</t>
  </si>
  <si>
    <t>TTGCAGGTTCCGAATGTGACGAAGAGCTACCGCACAGCGCTGACCATCACTGGCATTGTGACATTGATCGCGACGTACCACTACTTCAGGATCTTCAACTCGTGGGTGGAGGCATTCGAGGTGAAGAACAAGGATGGTGGTGATTACATGGTGACGCTTACCGGTGCTCCCTTCAACGATGGCTACCGCTACGTGGATTGGCTTCTGACGGTGCCTCTGCTGTTGATCGAGCTCATTCTCGTGATGAAGCTGCCCGCTGAGCAGACGAAAAGCCTGAGCTGGAGCTTGGGCGCAGCTTCCGCCTTG</t>
  </si>
  <si>
    <t>&gt;LISE1Apr21 Long Island Sound field dinoflagellate proton-pump rhodopsin gene</t>
  </si>
  <si>
    <t>TTGCAGGTTCCGAATGTGACGAAGAGCTACCGCACGGCGCTGACCATCACTGGCATTGTGACATTGATCGCGACGTACCACTACTTCAGGATCTTCAACTCGTGGGTGGAGGCATTCGAGGTGAAGAACAAGCATGGtGGTGACTACGTGGTGACGCTTACCGGTGCTCCCTCCAACGATGGCTACCGCTACGTGGATTGGCTTCTGACGGTGCCTCTGTTGTTGATCGAGCTCATTCTCGTGATGAAGTTGCCCACTGAGCAGACGAAAAGCCTGAGCTGGAGCTTGGGCGCAGCTTCCGCCTTG</t>
  </si>
  <si>
    <t>&gt;LISE1Apr22 Long Island Sound field dinoflagellate proton-pump rhodopsin gene</t>
  </si>
  <si>
    <t>TTGCAGGTTCCGAATGTGACGAAGAGCTACCGCACGGCGCTGACCATCACTGGCATTGTGACGTTGATCGCGACCTACCACTACTTCAGGATCTTCAACTCGTGGGTAGAGGCATTCGAGGTGAAGAACAAGGATGGTGGTGTCTACATGGTGACACTCACCGGTGCTCCCTTCAACGATGCCTACCGCTACGTGGATTGGCTTCTGACGGTGCCTCTGTTGTTGATCGAGCTCATTCTGGTGATGAAGTTGCCCGCTGAGCAGACGAAAAGCCTGAGCTGGAGCTTGGGCGCAGCTTCCGCCTTG</t>
  </si>
  <si>
    <t>&gt;LISE1Apr23 Long Island Sound field dinoflagellate proton-pump rhodopsin gene</t>
  </si>
  <si>
    <t>TTGCAGGTTCCGAATGTGACGAAGAGCTACCGCACGGCGCTGACCATCACTGGCATTGTGACGTTGATCGCGACGTACCACTACTTCAGGATCTTCAACTCGTGGGTGGAGGCATTCGAGATGGAGAACAGGGATGGTGGTGACTACATGGTGAGGCTTACCGGTGCTCCCTTCAACGATGGCTACCGCTACGTGGATTGGCTTCTGACGGTGCCTCTGCTGTTGATCGAGCTCATTCTCGTGATGAAGTTGCCCGCTGAGCAGACGAAAAGCCTGAGCTGGAGCTTGGGCGCAGCTTCCGCCTTG</t>
  </si>
  <si>
    <t>&gt;LISE1Apr24 Long Island Sound field dinoflagellate proton-pump rhodopsin gene</t>
  </si>
  <si>
    <t>TTGCAGGTTCCGAATGTGACGAAGAGCTACCGCACGGCGCTGACCATCACTGGCATTGTGACATTGATCGCGACGTACCACTACTTCAGGATCTTCAACTCGTGGGTGGAGGCATTCGAGGTGGAGAACAGGGATGGTGGTGACTACATGGTGAGGCTTACCGGTGCTCCCTTCAACGATGGCTACCGCTACGTGGATTGGCTTCTGACGGTGCCTCTGTTGTTGATCGAGCTCATTCTCGTGATGAAGTTGCCCGCTGAGCAGACGAAAAGCCTGAGCTGGAGCTTGGGCGCAGCTTCCGCCTTG</t>
  </si>
  <si>
    <t>&gt;LISE1Apr25 Long Island Sound field dinoflagellate proton-pump rhodopsin gene</t>
  </si>
  <si>
    <t>TTGCAGGTTCCGAATGTGACGAAGAGCTACCGCACGGCGCTGACCATCACTGGCATTGTGACGTTGATCGCGACGTACCACTACTTCAGGATCTTCAACTCGTGGGTAGAGGCATTCGAGGTGAAGAACAAGGATGGTGGTGACTACATGGTGACACTCACCGGTGCTCCCTTCAAcGATGCCTACCGCTACGTGGATTGGCTTCTGACGGTGCCTCTGTTGTTGATCGAGCTCATTCTCGTGATGAAGCTGCCCGCTGAGCAGACGAAAAGCCTGAGCTGGAGCTTGGGCGCAGCTTCCGCCTTG</t>
  </si>
  <si>
    <t>&gt;LISE1Apr26 Long Island Sound field dinoflagellate proton-pump rhodopsin gene</t>
  </si>
  <si>
    <t>TTGCAGGTTCCGAATGTGACGAAGAGCTACCGCACAGCGCTGACCATCACCGGCATTGTGACATTGATCGCGACGTACCACTATTTCAGGATCTTCAACTCGTGGGTGGAGGCATTCGAGGTGAAGAATGTGGATGGTGGTGACTACATGGTGACGCTTACCGGTGCTCCCTTCAACGATGGCTACCGCTACGTGGATTGgCTTCTGACGGTGCCTCTGTTGTTGATCGAGCTCATTCTCGTGATGAAGTTGCCCGCTGAGCAGACGAAAAGCCTGAGCTGGAGCTTGGGTGCGGCTTCCGCCTTG</t>
  </si>
  <si>
    <t>&gt;LISE1Apr27 Long Island Sound field dinoflagellate proton-pump rhodopsin gene</t>
  </si>
  <si>
    <t>TTGCAGGTTCCGAATGTGACGAAGAGCTACCGCACGGCACTGACCATCACTGGCATTGTGACGTTGATCGCGACATACCACTACTTCAGGATCTTCAACTCGTGGGTGGAGGCATTCGAGGTGAAGAATGTGGATGGTGGTGACTACAAGGTGACGCTTACCGGTGCtCCCTTCAACGATGGCTACCGCTACGTGGACTGGCCTCTGACGGTGCCTCTGTTGTTGATCGAGCTCATTCTCGTGATGAAGTTGCCCGCTGAGCAGACGAAAAGACTGAGCTGGAGCTTGGGCGCAGCTTCCGCCTTG</t>
  </si>
  <si>
    <t>&gt;LISE1Apr28 Long Island Sound field dinoflagellate proton-pump rhodopsin gene</t>
  </si>
  <si>
    <t>TTGCAGGTTCCGAATGTGACGAAGAGCTACCGCACGGCGCTGACCATCACTGGCATTGTGACGTTGATCGCGACGTACCACTACTTCAGGATCTTCAACTCGTGGGTGGAGGCATTCGAAGTGAAGAACAAGGATGGTGGTGACTACATGATGACGCTTACCTGTGATGGCTATCGCTGCGTGGATAGGCTTCCGACGGTGCCTCTGACGGTGCCTCTGTTGTTGATCGAGCTCATTCTCGTGATGAAGTTGCCCGCTGAGCAGACGAAAAGCTTGAGCTGGAGCTTGGGCACGGCTTCCGCCTTG</t>
  </si>
  <si>
    <t>&gt;LISE1Apr29 Long Island Sound field dinoflagellate proton-pump rhodopsin gene</t>
  </si>
  <si>
    <t>TTGCAGGTTCCGAATGTGACGAAGAGCTACCGCGCGGCACTGACCATCACTGGCACTGTGACATTGATCGCGACGTACCACTACTTCAGGATCTTCAACTCGTGGGTGGAGGCATTCGAGGTGAAGAACAAGGATGGTGGTGACTACATGGTGACGCTTACCGGTGCTCCCTTCAACGATGGCTACCGCTACGTGGATTGGCTTCTGACGGTGCCTCTGTTGTTGATCGAGCTCATTCTCGTGATGAAGCTGCCTGCTGAGCAGACGAAAAGCCTGAGCTGGAGCTTGGGCGCAGCTTCCGCCTTG</t>
  </si>
  <si>
    <t>&gt;LISE1Apr30 Long Island Sound field dinoflagellate proton-pump rhodopsin gene</t>
  </si>
  <si>
    <t>TCGCAGGTTCCGAATGTGACGAAGAGCTACCGCGCGGCGCTGGCCATCACTGGCATTGTGACATTGATCGCGGCGTACCACTACTTCAGGATCTTCAACTCTTCGGTGGAGGCATTCGAGGTGGAGAACAAGGATGGTGGTGACTACATGGTGACGCTTACCGGTGCTCCCTACAACGATGGCTACCGCTACGTGGATTGGCTTTTGACGGTGCCTCTGTTGTTGGTCGAGCTCATTCTCGTGATGAAGCTGCCCGCTGAGCAGACGAAAAGCCTGAGCTGGAGCTTGGGCGCAGCTTCCGCCTTG</t>
  </si>
  <si>
    <t>&gt;LISE1Apr31 Long Island Sound field dinoflagellate proton-pump rhodopsin gene</t>
  </si>
  <si>
    <t>TTGCAGGTTCCGAATATGACGAAGAGCTACCGCACAGCGCTGACCATCACTGGCATTGTGACGTTGATCGCGACGTACCACTACTTCAGGATCTTCAACTCGTGGGTGGAGGCATTCGAGGTGAAGAATGTGGATGGTGGTGACTACATGGTGACGCTTACCGGTGCTCCCTTCAACGATGGCTACCGCTACGTTGATTGGCTTCTGACGGTGCCTCTGTTGTTGATCGAGCTCATTCTCGTGATGAAGCTGCCTGCTGAGCAGACgAAAAGCCTGAGCTGGAGCTTGGGCGCAGCTTCCGCCTTG</t>
  </si>
  <si>
    <t>&gt;LISE1Apr32 Long Island Sound field dinoflagellate proton-pump rhodopsin gene</t>
  </si>
  <si>
    <t>TTGCaGGTTCcGAATGTGACGAAGAGCTACCGCACGGCGCTGACCATCACTGGCATTGTGACGTTGATCGCGACGTACCACTACTTCAGGATCTTCAACTCGTGGGTGGAGGCATTCGAGGTGAAGAACAAGGATGGTGGTGACTACATGGTGACACTCACCGGTGCTCCCTTCAACGATGGCTACCGCTACGTGGATTGGCTTCTGACGGTGCCTCTGTTGTTGATCGAGCTCATTCTCGTGATGAAGTTGCCCGCTGAGCAGACGAAAAGCCTGAGCTGGAGCTTGGGCGCGGCTTCCGCCTTG</t>
  </si>
  <si>
    <t>&gt;LISE1Apr33 Long Island Sound field dinoflagellate proton-pump rhodopsin gene</t>
  </si>
  <si>
    <t>TTGCAGGTTCCGAATGTGACGAAGAGCTACCGCACGGCGCTGACCATCACTGGCATTGTGACGTTGATCGCGACGTACCACTACTTCAGGATCTTCAACTCGTGGGTAGAGGCATTCGAGGTGAAGAACAAGGATGGTGGTGACTACATGGTGACGCTTACCGGTGCTCCCTTCAACGATGGCTACCGCTACGTGGATTGGCTTCTGACGGTGCCTCTGTTGTTGATCGAGCTCATTCTCGTGATGAAGTTGCCCGCTGAGCAGACGAAAAGCCTGAGCTGGAGCTTGGGCGCAGCTTCCGCCTTG</t>
  </si>
  <si>
    <t>&gt;LISE1Apr34 Long Island Sound field dinoflagellate proton-pump rhodopsin gene</t>
  </si>
  <si>
    <t>TTGCAGGTTCCGAATGTGACGAAGAGTTACCGAACGGCGCTGACCATCACTGGCATTGTGACGTTGATCGCGACGTACCACTACTTCAGGATCTTCAACTCGTGGGTGGAGGCATTCGAGGTGAAGAGCAAGGATGGTGGTGACTACATGGTGACGCTTACCGGTGCTCCCTTCAACGATGGCTACCGCTACGTGGATTGGCTTCTGACGGTGCCTCTGCTGTTGATCGAGCTCATTCTCGTGATGAAGTTGCCCGCTGAGCAGACGAAAAGCCTGAGCTGGAGCTTGGGCGCAGCTTCCGCCTTG</t>
  </si>
  <si>
    <t>&gt;LISE1Apr35 Long Island Sound field dinoflagellate proton-pump rhodopsin gene</t>
  </si>
  <si>
    <t>TTGCAGGTTCCGAATGTGACGAAGAGCTACCGAACGGCGCTGACCATCACTGGCATTGTGACGTTGATCGCGACATACCACTACTTCAGGATCTTCAACTCGTGGGTGGAGGCATTCGAGGTGAAGAACAAGGATGGTGGTGACTACATGGTGACACTTACCGGTGCTCCCTTCAACGATGGCTACCGCTACGTGGATTGGCTTCTGACGGTGCCTCTGTTGTTGATCGAGCTCATTCTCGTGATGAAGCTGCCCGCTGAGCAGACGAAAAGCCTGAGCTGGAGCTTGGGCGCAGCTTCCGCCTTG</t>
  </si>
  <si>
    <t>&gt;LISE1Apr36 Long Island Sound field dinoflagellate proton-pump rhodopsin gene</t>
  </si>
  <si>
    <t>TTGCAGGTTCCGAATGTGACGAAGAGCTACCGCACGGCGCTGACCATCACTGGCATTGTGACATTGATCGCGACGTACCACTACTTCAGGATCTTCAACTCGTGGGTGGAGGCATTCGAGGTGAAGAATGTGGATGGTGGTGACTACATGGTGAGGCTTACCGGTGCTCCCTTCAACGATGGCTACCGCTACGTGGATTGGCTTCTGACGGTGCCTCTGTTGTTGATCGAGCTCATTCTCGTGATGAAGCTGCCCGCTGAGCAGACGAAAAGCCTGAGCTGGAGCTTGGGCGCAGCTTCCGCCTTG</t>
  </si>
  <si>
    <r>
      <t xml:space="preserve">Figure S2. </t>
    </r>
    <r>
      <rPr>
        <sz val="12"/>
        <color rgb="FF000000"/>
        <rFont val="Times New Roman"/>
        <family val="1"/>
      </rPr>
      <t>Seasonal changes of phytoplankton cell abundance (A), dinoflagellate rhodopsin (B), phytoplankton 18S rDNA abundance (C) and relative ratio of gene abundance of dinoflagellate rhodopsin vs. phytoplankton 18S rDNA (D) in 2010, Long Island Sound.</t>
    </r>
  </si>
  <si>
    <t xml:space="preserve">Supplementary Table S2.  209 dinoflagellate proton-pump rhodopsin sequences obtained from the six water samples including A4 in February, April, and August, E1 in April, and H4 in February and August.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</si>
</sst>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numFmt numFmtId="165" formatCode="0_ "/>
  </numFmts>
  <fonts count="21" x14ac:knownFonts="1">
    <font>
      <sz val="11"/>
      <color theme="1"/>
      <name val="Aptos Narrow"/>
      <family val="2"/>
      <scheme val="minor"/>
    </font>
    <font>
      <b/>
      <sz val="12"/>
      <color rgb="FF000000"/>
      <name val="Times New Roman"/>
      <family val="1"/>
    </font>
    <font>
      <sz val="12"/>
      <color rgb="FF000000"/>
      <name val="Times New Roman"/>
      <family val="1"/>
    </font>
    <font>
      <i/>
      <sz val="12"/>
      <color rgb="FF000000"/>
      <name val="Times New Roman"/>
      <family val="1"/>
    </font>
    <font>
      <b/>
      <sz val="10"/>
      <name val="宋体"/>
    </font>
    <font>
      <sz val="10"/>
      <name val="宋体"/>
      <charset val="134"/>
    </font>
    <font>
      <sz val="10"/>
      <name val="宋体"/>
    </font>
    <font>
      <sz val="11"/>
      <name val="Times New Roman"/>
      <family val="1"/>
    </font>
    <font>
      <sz val="10"/>
      <name val="Times New Roman"/>
      <family val="1"/>
    </font>
    <font>
      <sz val="14"/>
      <color indexed="8"/>
      <name val="Arial"/>
      <family val="2"/>
    </font>
    <font>
      <sz val="12"/>
      <color indexed="12"/>
      <name val="宋体"/>
      <charset val="134"/>
    </font>
    <font>
      <sz val="10"/>
      <color indexed="8"/>
      <name val="Arial"/>
      <family val="2"/>
    </font>
    <font>
      <sz val="11"/>
      <color indexed="8"/>
      <name val="Arial"/>
      <family val="2"/>
    </font>
    <font>
      <sz val="9"/>
      <name val="宋体"/>
      <charset val="134"/>
    </font>
    <font>
      <b/>
      <sz val="14"/>
      <name val="宋体"/>
    </font>
    <font>
      <sz val="14"/>
      <name val="宋体"/>
      <charset val="134"/>
    </font>
    <font>
      <sz val="14"/>
      <color theme="1"/>
      <name val="Aptos Narrow"/>
      <family val="2"/>
      <scheme val="minor"/>
    </font>
    <font>
      <b/>
      <sz val="12"/>
      <name val="Arial"/>
      <family val="2"/>
    </font>
    <font>
      <sz val="9"/>
      <name val="Arial"/>
      <family val="2"/>
    </font>
    <font>
      <sz val="12"/>
      <name val="Arial"/>
      <family val="2"/>
    </font>
    <font>
      <sz val="11"/>
      <name val="Arial"/>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36">
    <xf numFmtId="0" fontId="0" fillId="0" borderId="0" xfId="0"/>
    <xf numFmtId="0" fontId="1" fillId="0" borderId="0" xfId="0" applyFont="1" applyAlignment="1">
      <alignment vertical="center"/>
    </xf>
    <xf numFmtId="0" fontId="0" fillId="0" borderId="0" xfId="0" applyAlignment="1">
      <alignment vertical="center"/>
    </xf>
    <xf numFmtId="2" fontId="0" fillId="0" borderId="0" xfId="0" applyNumberFormat="1" applyAlignment="1">
      <alignment vertical="center"/>
    </xf>
    <xf numFmtId="1" fontId="0" fillId="0" borderId="0" xfId="0" applyNumberFormat="1" applyAlignment="1">
      <alignment vertical="center"/>
    </xf>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14" fontId="7" fillId="0" borderId="0" xfId="0" applyNumberFormat="1" applyFont="1" applyAlignment="1">
      <alignment vertical="center"/>
    </xf>
    <xf numFmtId="2" fontId="7" fillId="0" borderId="0" xfId="0" applyNumberFormat="1" applyFont="1" applyAlignment="1">
      <alignment vertical="center"/>
    </xf>
    <xf numFmtId="0" fontId="6" fillId="0" borderId="0" xfId="0" applyFont="1" applyAlignment="1">
      <alignment horizontal="right" vertical="center"/>
    </xf>
    <xf numFmtId="0" fontId="5" fillId="0" borderId="0" xfId="0" applyFont="1" applyAlignment="1">
      <alignment vertical="center"/>
    </xf>
    <xf numFmtId="164" fontId="4" fillId="0" borderId="0" xfId="0" applyNumberFormat="1" applyFont="1" applyAlignment="1">
      <alignment vertical="center"/>
    </xf>
    <xf numFmtId="164" fontId="5" fillId="0" borderId="0" xfId="0" applyNumberFormat="1" applyFont="1" applyAlignment="1">
      <alignment vertical="center"/>
    </xf>
    <xf numFmtId="164" fontId="8" fillId="0" borderId="0" xfId="0" applyNumberFormat="1" applyFont="1" applyAlignment="1">
      <alignment vertical="center"/>
    </xf>
    <xf numFmtId="1" fontId="7" fillId="0" borderId="0" xfId="0" applyNumberFormat="1" applyFont="1" applyAlignment="1">
      <alignment vertical="center"/>
    </xf>
    <xf numFmtId="0" fontId="5" fillId="0" borderId="0" xfId="0" applyFont="1" applyAlignment="1">
      <alignment horizontal="right" vertical="center"/>
    </xf>
    <xf numFmtId="165" fontId="5" fillId="0" borderId="0" xfId="0" applyNumberFormat="1" applyFont="1" applyAlignment="1">
      <alignment vertical="center"/>
    </xf>
    <xf numFmtId="1" fontId="9" fillId="0" borderId="0" xfId="0" applyNumberFormat="1" applyFont="1" applyAlignment="1">
      <alignment vertical="center"/>
    </xf>
    <xf numFmtId="1" fontId="10" fillId="0" borderId="0" xfId="0" applyNumberFormat="1" applyFont="1" applyAlignment="1">
      <alignment vertical="center"/>
    </xf>
    <xf numFmtId="0" fontId="11" fillId="0" borderId="0" xfId="0" applyFont="1" applyAlignment="1">
      <alignment vertical="center"/>
    </xf>
    <xf numFmtId="1" fontId="12" fillId="0" borderId="0" xfId="0" applyNumberFormat="1" applyFont="1" applyAlignment="1">
      <alignment vertical="center"/>
    </xf>
    <xf numFmtId="0" fontId="11" fillId="0" borderId="0" xfId="0" applyFont="1" applyAlignment="1">
      <alignment horizontal="right" vertical="center"/>
    </xf>
    <xf numFmtId="165" fontId="13" fillId="0" borderId="0" xfId="0" applyNumberFormat="1" applyFont="1" applyAlignment="1">
      <alignment vertical="center"/>
    </xf>
    <xf numFmtId="0" fontId="9" fillId="0" borderId="0" xfId="0" applyFont="1" applyAlignment="1">
      <alignment vertical="center"/>
    </xf>
    <xf numFmtId="0" fontId="16" fillId="0" borderId="0" xfId="0" applyFont="1" applyAlignment="1">
      <alignment vertical="center"/>
    </xf>
    <xf numFmtId="2" fontId="16" fillId="0" borderId="0" xfId="0" applyNumberFormat="1" applyFont="1" applyAlignment="1">
      <alignment vertical="center"/>
    </xf>
    <xf numFmtId="1" fontId="16" fillId="0" borderId="0" xfId="0" applyNumberFormat="1" applyFont="1" applyAlignment="1">
      <alignment vertical="center"/>
    </xf>
    <xf numFmtId="0" fontId="17" fillId="0" borderId="1" xfId="0" applyFont="1" applyBorder="1" applyAlignment="1">
      <alignment vertical="center"/>
    </xf>
    <xf numFmtId="0" fontId="17"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1" fillId="0" borderId="0" xfId="0" applyFont="1" applyAlignment="1">
      <alignment horizontal="left" vertical="center" wrapText="1"/>
    </xf>
    <xf numFmtId="0" fontId="14" fillId="0" borderId="1" xfId="0" applyFont="1" applyBorder="1" applyAlignment="1">
      <alignment horizontal="left" vertical="center"/>
    </xf>
    <xf numFmtId="0" fontId="15" fillId="0" borderId="1" xfId="0" applyFont="1" applyBorder="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3047002968349E-2"/>
          <c:y val="7.4255724490442793E-2"/>
          <c:w val="0.94214289634070292"/>
          <c:h val="0.53696337593962395"/>
        </c:manualLayout>
      </c:layout>
      <c:lineChart>
        <c:grouping val="standard"/>
        <c:varyColors val="0"/>
        <c:ser>
          <c:idx val="0"/>
          <c:order val="0"/>
          <c:tx>
            <c:strRef>
              <c:f>'[1]Environmental data'!$A$3</c:f>
              <c:strCache>
                <c:ptCount val="1"/>
                <c:pt idx="0">
                  <c:v>Biogenic Silica (mg/L)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multiLvlStrRef>
              <c:f>'[1]Environmental data'!$B$1:$CY$2</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data'!$B$3:$CY$3</c:f>
              <c:numCache>
                <c:formatCode>General</c:formatCode>
                <c:ptCount val="102"/>
                <c:pt idx="0">
                  <c:v>0.26800000000000002</c:v>
                </c:pt>
                <c:pt idx="1">
                  <c:v>0.34699999999999998</c:v>
                </c:pt>
                <c:pt idx="2">
                  <c:v>0.46500000000000002</c:v>
                </c:pt>
                <c:pt idx="3">
                  <c:v>0.33900000000000002</c:v>
                </c:pt>
                <c:pt idx="4">
                  <c:v>0.36199999999999999</c:v>
                </c:pt>
                <c:pt idx="5">
                  <c:v>0.371</c:v>
                </c:pt>
                <c:pt idx="6">
                  <c:v>0.45500000000000002</c:v>
                </c:pt>
                <c:pt idx="7">
                  <c:v>0.66300000000000003</c:v>
                </c:pt>
                <c:pt idx="8">
                  <c:v>1.115</c:v>
                </c:pt>
                <c:pt idx="9">
                  <c:v>0.498</c:v>
                </c:pt>
                <c:pt idx="10">
                  <c:v>1.3109999999999999</c:v>
                </c:pt>
                <c:pt idx="11">
                  <c:v>1.885</c:v>
                </c:pt>
                <c:pt idx="12">
                  <c:v>1.845</c:v>
                </c:pt>
                <c:pt idx="13">
                  <c:v>1.7549999999999999</c:v>
                </c:pt>
                <c:pt idx="14">
                  <c:v>1.893</c:v>
                </c:pt>
                <c:pt idx="15">
                  <c:v>1.77</c:v>
                </c:pt>
                <c:pt idx="16">
                  <c:v>1.42</c:v>
                </c:pt>
                <c:pt idx="17">
                  <c:v>1.3220000000000001</c:v>
                </c:pt>
                <c:pt idx="18">
                  <c:v>1.083</c:v>
                </c:pt>
                <c:pt idx="19">
                  <c:v>0.58799999999999997</c:v>
                </c:pt>
                <c:pt idx="20">
                  <c:v>0.47799999999999998</c:v>
                </c:pt>
                <c:pt idx="21">
                  <c:v>0.29599999999999999</c:v>
                </c:pt>
                <c:pt idx="22">
                  <c:v>0.251</c:v>
                </c:pt>
                <c:pt idx="23">
                  <c:v>0.215</c:v>
                </c:pt>
                <c:pt idx="24">
                  <c:v>0.2</c:v>
                </c:pt>
                <c:pt idx="25">
                  <c:v>0.28999999999999998</c:v>
                </c:pt>
                <c:pt idx="26">
                  <c:v>0.14699999999999999</c:v>
                </c:pt>
                <c:pt idx="27">
                  <c:v>0.27</c:v>
                </c:pt>
                <c:pt idx="28">
                  <c:v>0.17699999999999999</c:v>
                </c:pt>
                <c:pt idx="29">
                  <c:v>0.28399999999999997</c:v>
                </c:pt>
                <c:pt idx="30">
                  <c:v>0.77300000000000002</c:v>
                </c:pt>
                <c:pt idx="31">
                  <c:v>0.55700000000000005</c:v>
                </c:pt>
                <c:pt idx="32">
                  <c:v>0.48799999999999999</c:v>
                </c:pt>
                <c:pt idx="33">
                  <c:v>0.36599999999999999</c:v>
                </c:pt>
                <c:pt idx="34">
                  <c:v>0.24399999999999999</c:v>
                </c:pt>
                <c:pt idx="35">
                  <c:v>0.29299999999999998</c:v>
                </c:pt>
                <c:pt idx="36">
                  <c:v>0.26200000000000001</c:v>
                </c:pt>
                <c:pt idx="37">
                  <c:v>0.104</c:v>
                </c:pt>
                <c:pt idx="38">
                  <c:v>0.13600000000000001</c:v>
                </c:pt>
                <c:pt idx="39">
                  <c:v>0.16600000000000001</c:v>
                </c:pt>
                <c:pt idx="40">
                  <c:v>0.69399999999999995</c:v>
                </c:pt>
                <c:pt idx="41">
                  <c:v>0.64100000000000001</c:v>
                </c:pt>
                <c:pt idx="42">
                  <c:v>0.75600000000000001</c:v>
                </c:pt>
                <c:pt idx="43">
                  <c:v>0.74099999999999999</c:v>
                </c:pt>
                <c:pt idx="44">
                  <c:v>0.57999999999999996</c:v>
                </c:pt>
                <c:pt idx="45">
                  <c:v>0.40799999999999997</c:v>
                </c:pt>
                <c:pt idx="46">
                  <c:v>0.29199999999999998</c:v>
                </c:pt>
                <c:pt idx="47">
                  <c:v>0.23499999999999999</c:v>
                </c:pt>
                <c:pt idx="48">
                  <c:v>0.154</c:v>
                </c:pt>
                <c:pt idx="49">
                  <c:v>0.14899999999999999</c:v>
                </c:pt>
                <c:pt idx="52">
                  <c:v>0.61899999999999999</c:v>
                </c:pt>
                <c:pt idx="53">
                  <c:v>0.255</c:v>
                </c:pt>
                <c:pt idx="54">
                  <c:v>0.253</c:v>
                </c:pt>
                <c:pt idx="55">
                  <c:v>0.218</c:v>
                </c:pt>
                <c:pt idx="56">
                  <c:v>0.13900000000000001</c:v>
                </c:pt>
                <c:pt idx="57">
                  <c:v>0.20699999999999999</c:v>
                </c:pt>
                <c:pt idx="58">
                  <c:v>0.14099999999999999</c:v>
                </c:pt>
                <c:pt idx="59">
                  <c:v>0.69299999999999995</c:v>
                </c:pt>
                <c:pt idx="60">
                  <c:v>0.16400000000000001</c:v>
                </c:pt>
                <c:pt idx="61">
                  <c:v>0.26700000000000002</c:v>
                </c:pt>
                <c:pt idx="62">
                  <c:v>0.28999999999999998</c:v>
                </c:pt>
                <c:pt idx="63">
                  <c:v>0.126</c:v>
                </c:pt>
                <c:pt idx="64">
                  <c:v>0.40300000000000002</c:v>
                </c:pt>
                <c:pt idx="65">
                  <c:v>0.16300000000000001</c:v>
                </c:pt>
                <c:pt idx="66">
                  <c:v>0.35</c:v>
                </c:pt>
                <c:pt idx="67">
                  <c:v>0.32400000000000001</c:v>
                </c:pt>
                <c:pt idx="68">
                  <c:v>0.44</c:v>
                </c:pt>
                <c:pt idx="69">
                  <c:v>1.0109999999999999</c:v>
                </c:pt>
                <c:pt idx="70">
                  <c:v>0.28000000000000003</c:v>
                </c:pt>
                <c:pt idx="71">
                  <c:v>1.601</c:v>
                </c:pt>
                <c:pt idx="72">
                  <c:v>0.66500000000000004</c:v>
                </c:pt>
                <c:pt idx="73">
                  <c:v>0.29199999999999998</c:v>
                </c:pt>
                <c:pt idx="74">
                  <c:v>0.57299999999999995</c:v>
                </c:pt>
                <c:pt idx="75">
                  <c:v>0.46700000000000003</c:v>
                </c:pt>
                <c:pt idx="76">
                  <c:v>0.499</c:v>
                </c:pt>
                <c:pt idx="77">
                  <c:v>0.45600000000000002</c:v>
                </c:pt>
                <c:pt idx="78">
                  <c:v>0.32900000000000001</c:v>
                </c:pt>
                <c:pt idx="79">
                  <c:v>0.66600000000000004</c:v>
                </c:pt>
                <c:pt idx="80">
                  <c:v>0.40400000000000003</c:v>
                </c:pt>
                <c:pt idx="81">
                  <c:v>0.36899999999999999</c:v>
                </c:pt>
                <c:pt idx="82">
                  <c:v>0.77700000000000002</c:v>
                </c:pt>
                <c:pt idx="83">
                  <c:v>0.20699999999999999</c:v>
                </c:pt>
                <c:pt idx="84">
                  <c:v>0.55000000000000004</c:v>
                </c:pt>
                <c:pt idx="85">
                  <c:v>0.45400000000000001</c:v>
                </c:pt>
                <c:pt idx="86">
                  <c:v>0.315</c:v>
                </c:pt>
                <c:pt idx="87">
                  <c:v>0.246</c:v>
                </c:pt>
                <c:pt idx="88">
                  <c:v>0.44800000000000001</c:v>
                </c:pt>
                <c:pt idx="89">
                  <c:v>0.96699999999999997</c:v>
                </c:pt>
                <c:pt idx="90">
                  <c:v>0.504</c:v>
                </c:pt>
                <c:pt idx="91">
                  <c:v>0.39600000000000002</c:v>
                </c:pt>
                <c:pt idx="92">
                  <c:v>0.63800000000000001</c:v>
                </c:pt>
                <c:pt idx="93">
                  <c:v>0.83499999999999996</c:v>
                </c:pt>
                <c:pt idx="94">
                  <c:v>0.44800000000000001</c:v>
                </c:pt>
                <c:pt idx="95">
                  <c:v>0.43099999999999999</c:v>
                </c:pt>
                <c:pt idx="96">
                  <c:v>0.315</c:v>
                </c:pt>
                <c:pt idx="97">
                  <c:v>0.46200000000000002</c:v>
                </c:pt>
                <c:pt idx="98">
                  <c:v>0.51500000000000001</c:v>
                </c:pt>
                <c:pt idx="99">
                  <c:v>0.317</c:v>
                </c:pt>
                <c:pt idx="100">
                  <c:v>0.38600000000000001</c:v>
                </c:pt>
                <c:pt idx="101">
                  <c:v>0.66</c:v>
                </c:pt>
              </c:numCache>
            </c:numRef>
          </c:val>
          <c:smooth val="0"/>
          <c:extLst>
            <c:ext xmlns:c16="http://schemas.microsoft.com/office/drawing/2014/chart" uri="{C3380CC4-5D6E-409C-BE32-E72D297353CC}">
              <c16:uniqueId val="{00000000-A3D1-4B9E-B261-41B457395F15}"/>
            </c:ext>
          </c:extLst>
        </c:ser>
        <c:ser>
          <c:idx val="1"/>
          <c:order val="1"/>
          <c:tx>
            <c:strRef>
              <c:f>'[1]Environmental data'!$A$4</c:f>
              <c:strCache>
                <c:ptCount val="1"/>
                <c:pt idx="0">
                  <c:v>Dissolved Silica (mg/L)</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multiLvlStrRef>
              <c:f>'[1]Environmental data'!$B$1:$CY$2</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data'!$B$4:$CY$4</c:f>
              <c:numCache>
                <c:formatCode>General</c:formatCode>
                <c:ptCount val="102"/>
                <c:pt idx="0">
                  <c:v>2.367</c:v>
                </c:pt>
                <c:pt idx="1">
                  <c:v>2.0840000000000001</c:v>
                </c:pt>
                <c:pt idx="2">
                  <c:v>1.9370000000000001</c:v>
                </c:pt>
                <c:pt idx="3">
                  <c:v>1.9650000000000001</c:v>
                </c:pt>
                <c:pt idx="4">
                  <c:v>1.8560000000000001</c:v>
                </c:pt>
                <c:pt idx="5">
                  <c:v>1.857</c:v>
                </c:pt>
                <c:pt idx="6">
                  <c:v>1.9490000000000001</c:v>
                </c:pt>
                <c:pt idx="7">
                  <c:v>1.601</c:v>
                </c:pt>
                <c:pt idx="8">
                  <c:v>1.431</c:v>
                </c:pt>
                <c:pt idx="9">
                  <c:v>1.3580000000000001</c:v>
                </c:pt>
                <c:pt idx="10">
                  <c:v>0.77900000000000003</c:v>
                </c:pt>
                <c:pt idx="11">
                  <c:v>0.501</c:v>
                </c:pt>
                <c:pt idx="12">
                  <c:v>0.47599999999999998</c:v>
                </c:pt>
                <c:pt idx="13">
                  <c:v>0.58699999999999997</c:v>
                </c:pt>
                <c:pt idx="14">
                  <c:v>0.32</c:v>
                </c:pt>
                <c:pt idx="15">
                  <c:v>0.46300000000000002</c:v>
                </c:pt>
                <c:pt idx="16">
                  <c:v>0.57599999999999996</c:v>
                </c:pt>
                <c:pt idx="17">
                  <c:v>0.61499999999999999</c:v>
                </c:pt>
                <c:pt idx="18">
                  <c:v>0.71699999999999997</c:v>
                </c:pt>
                <c:pt idx="19">
                  <c:v>0.72299999999999998</c:v>
                </c:pt>
                <c:pt idx="20">
                  <c:v>0</c:v>
                </c:pt>
                <c:pt idx="21">
                  <c:v>3.9E-2</c:v>
                </c:pt>
                <c:pt idx="22">
                  <c:v>3.7999999999999999E-2</c:v>
                </c:pt>
                <c:pt idx="23">
                  <c:v>0.122</c:v>
                </c:pt>
                <c:pt idx="24">
                  <c:v>0.34699999999999998</c:v>
                </c:pt>
                <c:pt idx="25">
                  <c:v>0.24099999999999999</c:v>
                </c:pt>
                <c:pt idx="26">
                  <c:v>0.17399999999999999</c:v>
                </c:pt>
                <c:pt idx="27">
                  <c:v>0.44500000000000001</c:v>
                </c:pt>
                <c:pt idx="28">
                  <c:v>0.14899999999999999</c:v>
                </c:pt>
                <c:pt idx="29">
                  <c:v>0.89600000000000002</c:v>
                </c:pt>
                <c:pt idx="30">
                  <c:v>0.40600000000000003</c:v>
                </c:pt>
                <c:pt idx="31">
                  <c:v>0.54200000000000004</c:v>
                </c:pt>
                <c:pt idx="32">
                  <c:v>0.57499999999999996</c:v>
                </c:pt>
                <c:pt idx="33">
                  <c:v>0.60699999999999998</c:v>
                </c:pt>
                <c:pt idx="34">
                  <c:v>0.59</c:v>
                </c:pt>
                <c:pt idx="35">
                  <c:v>0.45900000000000002</c:v>
                </c:pt>
                <c:pt idx="36">
                  <c:v>0.247</c:v>
                </c:pt>
                <c:pt idx="37">
                  <c:v>0.46800000000000003</c:v>
                </c:pt>
                <c:pt idx="38">
                  <c:v>0.55200000000000005</c:v>
                </c:pt>
                <c:pt idx="39">
                  <c:v>0.85799999999999998</c:v>
                </c:pt>
                <c:pt idx="40">
                  <c:v>0.65</c:v>
                </c:pt>
                <c:pt idx="41">
                  <c:v>0.54200000000000004</c:v>
                </c:pt>
                <c:pt idx="42">
                  <c:v>0.26600000000000001</c:v>
                </c:pt>
                <c:pt idx="43">
                  <c:v>0.27400000000000002</c:v>
                </c:pt>
                <c:pt idx="44">
                  <c:v>0.34</c:v>
                </c:pt>
                <c:pt idx="45">
                  <c:v>0.26700000000000002</c:v>
                </c:pt>
                <c:pt idx="46">
                  <c:v>0.51200000000000001</c:v>
                </c:pt>
                <c:pt idx="47">
                  <c:v>0.55300000000000005</c:v>
                </c:pt>
                <c:pt idx="48">
                  <c:v>0.64800000000000002</c:v>
                </c:pt>
                <c:pt idx="49">
                  <c:v>0.45700000000000002</c:v>
                </c:pt>
                <c:pt idx="52">
                  <c:v>0.41899999999999998</c:v>
                </c:pt>
                <c:pt idx="53">
                  <c:v>0.55500000000000005</c:v>
                </c:pt>
                <c:pt idx="54">
                  <c:v>1.5940000000000001</c:v>
                </c:pt>
                <c:pt idx="55">
                  <c:v>0.82499999999999996</c:v>
                </c:pt>
                <c:pt idx="56">
                  <c:v>0.39600000000000002</c:v>
                </c:pt>
                <c:pt idx="57">
                  <c:v>0.53400000000000003</c:v>
                </c:pt>
                <c:pt idx="58">
                  <c:v>0.52100000000000002</c:v>
                </c:pt>
                <c:pt idx="59">
                  <c:v>1.81</c:v>
                </c:pt>
                <c:pt idx="60">
                  <c:v>1.6870000000000001</c:v>
                </c:pt>
                <c:pt idx="61">
                  <c:v>1.647</c:v>
                </c:pt>
                <c:pt idx="62">
                  <c:v>1.806</c:v>
                </c:pt>
                <c:pt idx="63">
                  <c:v>1.5009999999999999</c:v>
                </c:pt>
                <c:pt idx="64">
                  <c:v>1.585</c:v>
                </c:pt>
                <c:pt idx="65">
                  <c:v>1.0580000000000001</c:v>
                </c:pt>
                <c:pt idx="66">
                  <c:v>3.0059999999999998</c:v>
                </c:pt>
                <c:pt idx="67">
                  <c:v>2.6059999999999999</c:v>
                </c:pt>
                <c:pt idx="68">
                  <c:v>2.0920000000000001</c:v>
                </c:pt>
                <c:pt idx="69">
                  <c:v>1.643</c:v>
                </c:pt>
                <c:pt idx="70">
                  <c:v>1.74</c:v>
                </c:pt>
                <c:pt idx="71">
                  <c:v>0.49199999999999999</c:v>
                </c:pt>
                <c:pt idx="72">
                  <c:v>0.65</c:v>
                </c:pt>
                <c:pt idx="73">
                  <c:v>0.99099999999999999</c:v>
                </c:pt>
                <c:pt idx="74">
                  <c:v>3.0859999999999999</c:v>
                </c:pt>
                <c:pt idx="75">
                  <c:v>2.9510000000000001</c:v>
                </c:pt>
                <c:pt idx="76">
                  <c:v>2.7120000000000002</c:v>
                </c:pt>
                <c:pt idx="77">
                  <c:v>2.2229999999999999</c:v>
                </c:pt>
                <c:pt idx="78">
                  <c:v>1.8140000000000001</c:v>
                </c:pt>
                <c:pt idx="79">
                  <c:v>1.8129999999999999</c:v>
                </c:pt>
                <c:pt idx="80">
                  <c:v>1.8540000000000001</c:v>
                </c:pt>
                <c:pt idx="81">
                  <c:v>1.506</c:v>
                </c:pt>
                <c:pt idx="82">
                  <c:v>0.86</c:v>
                </c:pt>
                <c:pt idx="83">
                  <c:v>0.67200000000000004</c:v>
                </c:pt>
                <c:pt idx="84">
                  <c:v>2.6429999999999998</c:v>
                </c:pt>
                <c:pt idx="85">
                  <c:v>2.5680000000000001</c:v>
                </c:pt>
                <c:pt idx="86">
                  <c:v>2.448</c:v>
                </c:pt>
                <c:pt idx="87">
                  <c:v>2.375</c:v>
                </c:pt>
                <c:pt idx="88">
                  <c:v>2.2999999999999998</c:v>
                </c:pt>
                <c:pt idx="89">
                  <c:v>1.7290000000000001</c:v>
                </c:pt>
                <c:pt idx="90">
                  <c:v>2.0049999999999999</c:v>
                </c:pt>
                <c:pt idx="91">
                  <c:v>1.806</c:v>
                </c:pt>
                <c:pt idx="92">
                  <c:v>1.056</c:v>
                </c:pt>
                <c:pt idx="93">
                  <c:v>2.7850000000000001</c:v>
                </c:pt>
                <c:pt idx="94">
                  <c:v>2.677</c:v>
                </c:pt>
                <c:pt idx="95">
                  <c:v>2.6240000000000001</c:v>
                </c:pt>
                <c:pt idx="96">
                  <c:v>2.423</c:v>
                </c:pt>
                <c:pt idx="97">
                  <c:v>2.2770000000000001</c:v>
                </c:pt>
                <c:pt idx="98">
                  <c:v>2.23</c:v>
                </c:pt>
                <c:pt idx="99">
                  <c:v>2.11</c:v>
                </c:pt>
                <c:pt idx="100">
                  <c:v>1.873</c:v>
                </c:pt>
                <c:pt idx="101">
                  <c:v>1.5780000000000001</c:v>
                </c:pt>
              </c:numCache>
            </c:numRef>
          </c:val>
          <c:smooth val="0"/>
          <c:extLst>
            <c:ext xmlns:c16="http://schemas.microsoft.com/office/drawing/2014/chart" uri="{C3380CC4-5D6E-409C-BE32-E72D297353CC}">
              <c16:uniqueId val="{00000001-A3D1-4B9E-B261-41B457395F15}"/>
            </c:ext>
          </c:extLst>
        </c:ser>
        <c:dLbls>
          <c:showLegendKey val="0"/>
          <c:showVal val="0"/>
          <c:showCatName val="0"/>
          <c:showSerName val="0"/>
          <c:showPercent val="0"/>
          <c:showBubbleSize val="0"/>
        </c:dLbls>
        <c:marker val="1"/>
        <c:smooth val="0"/>
        <c:axId val="1300644783"/>
        <c:axId val="1300645199"/>
      </c:lineChart>
      <c:catAx>
        <c:axId val="1300644783"/>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300645199"/>
        <c:crosses val="autoZero"/>
        <c:auto val="1"/>
        <c:lblAlgn val="ctr"/>
        <c:lblOffset val="100"/>
        <c:noMultiLvlLbl val="0"/>
      </c:catAx>
      <c:valAx>
        <c:axId val="130064519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mg/L</a:t>
                </a:r>
              </a:p>
            </c:rich>
          </c:tx>
          <c:layout>
            <c:manualLayout>
              <c:xMode val="edge"/>
              <c:yMode val="edge"/>
              <c:x val="5.5645326942827845E-4"/>
              <c:y val="0.2754157541614109"/>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1300644783"/>
        <c:crosses val="autoZero"/>
        <c:crossBetween val="between"/>
      </c:valAx>
      <c:spPr>
        <a:noFill/>
        <a:ln>
          <a:noFill/>
        </a:ln>
        <a:effectLst/>
      </c:spPr>
    </c:plotArea>
    <c:legend>
      <c:legendPos val="b"/>
      <c:layout>
        <c:manualLayout>
          <c:xMode val="edge"/>
          <c:yMode val="edge"/>
          <c:x val="0.26237508418476257"/>
          <c:y val="0.86680776641929069"/>
          <c:w val="0.50080873377142809"/>
          <c:h val="9.861993819850029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126557965893122E-2"/>
          <c:y val="6.87838359827663E-2"/>
          <c:w val="0.94308392021219101"/>
          <c:h val="0.53092259693953348"/>
        </c:manualLayout>
      </c:layout>
      <c:lineChart>
        <c:grouping val="standard"/>
        <c:varyColors val="0"/>
        <c:ser>
          <c:idx val="0"/>
          <c:order val="0"/>
          <c:tx>
            <c:strRef>
              <c:f>'[1]Environmental data'!$A$8</c:f>
              <c:strCache>
                <c:ptCount val="1"/>
                <c:pt idx="0">
                  <c:v>Ammonia (mg/L)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multiLvlStrRef>
              <c:f>'[1]Environmental data'!$B$6:$CY$7</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data'!$B$8:$CY$8</c:f>
              <c:numCache>
                <c:formatCode>General</c:formatCode>
                <c:ptCount val="102"/>
                <c:pt idx="0">
                  <c:v>0.13700000000000001</c:v>
                </c:pt>
                <c:pt idx="1">
                  <c:v>5.6000000000000001E-2</c:v>
                </c:pt>
                <c:pt idx="2">
                  <c:v>1.9E-2</c:v>
                </c:pt>
                <c:pt idx="3">
                  <c:v>2.8000000000000001E-2</c:v>
                </c:pt>
                <c:pt idx="4">
                  <c:v>1.0999999999999999E-2</c:v>
                </c:pt>
                <c:pt idx="5">
                  <c:v>6.0000000000000001E-3</c:v>
                </c:pt>
                <c:pt idx="6">
                  <c:v>0</c:v>
                </c:pt>
                <c:pt idx="7">
                  <c:v>0</c:v>
                </c:pt>
                <c:pt idx="8">
                  <c:v>2E-3</c:v>
                </c:pt>
                <c:pt idx="9">
                  <c:v>6.0000000000000001E-3</c:v>
                </c:pt>
                <c:pt idx="10">
                  <c:v>4.1000000000000002E-2</c:v>
                </c:pt>
                <c:pt idx="11">
                  <c:v>4.0000000000000001E-3</c:v>
                </c:pt>
                <c:pt idx="12">
                  <c:v>4.0000000000000001E-3</c:v>
                </c:pt>
                <c:pt idx="13">
                  <c:v>4.0000000000000001E-3</c:v>
                </c:pt>
                <c:pt idx="14">
                  <c:v>4.0000000000000001E-3</c:v>
                </c:pt>
                <c:pt idx="15">
                  <c:v>4.0000000000000001E-3</c:v>
                </c:pt>
                <c:pt idx="16">
                  <c:v>4.0000000000000001E-3</c:v>
                </c:pt>
                <c:pt idx="17">
                  <c:v>4.0000000000000001E-3</c:v>
                </c:pt>
                <c:pt idx="18">
                  <c:v>4.0000000000000001E-3</c:v>
                </c:pt>
                <c:pt idx="19">
                  <c:v>4.0000000000000001E-3</c:v>
                </c:pt>
                <c:pt idx="20">
                  <c:v>6.0000000000000001E-3</c:v>
                </c:pt>
                <c:pt idx="21">
                  <c:v>6.0000000000000001E-3</c:v>
                </c:pt>
                <c:pt idx="22">
                  <c:v>7.0000000000000001E-3</c:v>
                </c:pt>
                <c:pt idx="23">
                  <c:v>7.0000000000000001E-3</c:v>
                </c:pt>
                <c:pt idx="24">
                  <c:v>6.0000000000000001E-3</c:v>
                </c:pt>
                <c:pt idx="25">
                  <c:v>6.0000000000000001E-3</c:v>
                </c:pt>
                <c:pt idx="26">
                  <c:v>6.0000000000000001E-3</c:v>
                </c:pt>
                <c:pt idx="27">
                  <c:v>8.0000000000000002E-3</c:v>
                </c:pt>
                <c:pt idx="28">
                  <c:v>6.0000000000000001E-3</c:v>
                </c:pt>
                <c:pt idx="29">
                  <c:v>1.2999999999999999E-2</c:v>
                </c:pt>
                <c:pt idx="30">
                  <c:v>0.08</c:v>
                </c:pt>
                <c:pt idx="31">
                  <c:v>8.9999999999999993E-3</c:v>
                </c:pt>
                <c:pt idx="32">
                  <c:v>4.0000000000000001E-3</c:v>
                </c:pt>
                <c:pt idx="33">
                  <c:v>4.0000000000000001E-3</c:v>
                </c:pt>
                <c:pt idx="34">
                  <c:v>4.0000000000000001E-3</c:v>
                </c:pt>
                <c:pt idx="35">
                  <c:v>4.0000000000000001E-3</c:v>
                </c:pt>
                <c:pt idx="36">
                  <c:v>3.0000000000000001E-3</c:v>
                </c:pt>
                <c:pt idx="37">
                  <c:v>3.0000000000000001E-3</c:v>
                </c:pt>
                <c:pt idx="38">
                  <c:v>0</c:v>
                </c:pt>
                <c:pt idx="39">
                  <c:v>1.4E-2</c:v>
                </c:pt>
                <c:pt idx="40">
                  <c:v>0.16400000000000001</c:v>
                </c:pt>
                <c:pt idx="41">
                  <c:v>0.105</c:v>
                </c:pt>
                <c:pt idx="42">
                  <c:v>5.0000000000000001E-3</c:v>
                </c:pt>
                <c:pt idx="43">
                  <c:v>0</c:v>
                </c:pt>
                <c:pt idx="44">
                  <c:v>0</c:v>
                </c:pt>
                <c:pt idx="45">
                  <c:v>5.0000000000000001E-3</c:v>
                </c:pt>
                <c:pt idx="46">
                  <c:v>0</c:v>
                </c:pt>
                <c:pt idx="47">
                  <c:v>0</c:v>
                </c:pt>
                <c:pt idx="48">
                  <c:v>3.0000000000000001E-3</c:v>
                </c:pt>
                <c:pt idx="49">
                  <c:v>1.2E-2</c:v>
                </c:pt>
                <c:pt idx="52">
                  <c:v>0</c:v>
                </c:pt>
                <c:pt idx="53">
                  <c:v>0</c:v>
                </c:pt>
                <c:pt idx="54">
                  <c:v>0</c:v>
                </c:pt>
                <c:pt idx="55">
                  <c:v>0</c:v>
                </c:pt>
                <c:pt idx="56">
                  <c:v>0</c:v>
                </c:pt>
                <c:pt idx="57">
                  <c:v>0</c:v>
                </c:pt>
                <c:pt idx="58">
                  <c:v>0</c:v>
                </c:pt>
                <c:pt idx="59">
                  <c:v>5.0000000000000001E-3</c:v>
                </c:pt>
                <c:pt idx="60">
                  <c:v>0</c:v>
                </c:pt>
                <c:pt idx="61">
                  <c:v>0</c:v>
                </c:pt>
                <c:pt idx="62">
                  <c:v>0</c:v>
                </c:pt>
                <c:pt idx="63">
                  <c:v>0</c:v>
                </c:pt>
                <c:pt idx="64">
                  <c:v>0</c:v>
                </c:pt>
                <c:pt idx="65">
                  <c:v>0</c:v>
                </c:pt>
                <c:pt idx="66">
                  <c:v>0.13200000000000001</c:v>
                </c:pt>
                <c:pt idx="67">
                  <c:v>0</c:v>
                </c:pt>
                <c:pt idx="68">
                  <c:v>0</c:v>
                </c:pt>
                <c:pt idx="69">
                  <c:v>0</c:v>
                </c:pt>
                <c:pt idx="70">
                  <c:v>0</c:v>
                </c:pt>
                <c:pt idx="71">
                  <c:v>0</c:v>
                </c:pt>
                <c:pt idx="72">
                  <c:v>0</c:v>
                </c:pt>
                <c:pt idx="73">
                  <c:v>0</c:v>
                </c:pt>
                <c:pt idx="74">
                  <c:v>0.26200000000000001</c:v>
                </c:pt>
                <c:pt idx="75">
                  <c:v>0.224</c:v>
                </c:pt>
                <c:pt idx="76">
                  <c:v>0.121</c:v>
                </c:pt>
                <c:pt idx="77">
                  <c:v>3.5999999999999997E-2</c:v>
                </c:pt>
                <c:pt idx="78">
                  <c:v>0</c:v>
                </c:pt>
                <c:pt idx="79">
                  <c:v>0</c:v>
                </c:pt>
                <c:pt idx="80">
                  <c:v>0</c:v>
                </c:pt>
                <c:pt idx="81">
                  <c:v>0</c:v>
                </c:pt>
                <c:pt idx="82">
                  <c:v>0</c:v>
                </c:pt>
                <c:pt idx="83">
                  <c:v>0</c:v>
                </c:pt>
                <c:pt idx="84">
                  <c:v>0.14000000000000001</c:v>
                </c:pt>
                <c:pt idx="85">
                  <c:v>0.04</c:v>
                </c:pt>
                <c:pt idx="86">
                  <c:v>1.7999999999999999E-2</c:v>
                </c:pt>
                <c:pt idx="87">
                  <c:v>4.0000000000000001E-3</c:v>
                </c:pt>
                <c:pt idx="88">
                  <c:v>4.0000000000000001E-3</c:v>
                </c:pt>
                <c:pt idx="89">
                  <c:v>4.0000000000000001E-3</c:v>
                </c:pt>
                <c:pt idx="90">
                  <c:v>0</c:v>
                </c:pt>
                <c:pt idx="91">
                  <c:v>0</c:v>
                </c:pt>
                <c:pt idx="92">
                  <c:v>0</c:v>
                </c:pt>
                <c:pt idx="93">
                  <c:v>0.16200000000000001</c:v>
                </c:pt>
                <c:pt idx="94">
                  <c:v>6.9000000000000006E-2</c:v>
                </c:pt>
                <c:pt idx="95">
                  <c:v>0.04</c:v>
                </c:pt>
                <c:pt idx="96">
                  <c:v>1.6E-2</c:v>
                </c:pt>
                <c:pt idx="97">
                  <c:v>6.0000000000000001E-3</c:v>
                </c:pt>
                <c:pt idx="98">
                  <c:v>8.9999999999999993E-3</c:v>
                </c:pt>
                <c:pt idx="99">
                  <c:v>7.0000000000000001E-3</c:v>
                </c:pt>
                <c:pt idx="100">
                  <c:v>0</c:v>
                </c:pt>
                <c:pt idx="101">
                  <c:v>0</c:v>
                </c:pt>
              </c:numCache>
            </c:numRef>
          </c:val>
          <c:smooth val="0"/>
          <c:extLst>
            <c:ext xmlns:c16="http://schemas.microsoft.com/office/drawing/2014/chart" uri="{C3380CC4-5D6E-409C-BE32-E72D297353CC}">
              <c16:uniqueId val="{00000000-BA78-4834-AB65-61DF27F323AB}"/>
            </c:ext>
          </c:extLst>
        </c:ser>
        <c:ser>
          <c:idx val="1"/>
          <c:order val="1"/>
          <c:tx>
            <c:strRef>
              <c:f>'[1]Environmental data'!$A$9</c:f>
              <c:strCache>
                <c:ptCount val="1"/>
                <c:pt idx="0">
                  <c:v>Nitrate + Nitrite (mg/L)</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multiLvlStrRef>
              <c:f>'[1]Environmental data'!$B$6:$CY$7</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data'!$B$9:$CY$9</c:f>
              <c:numCache>
                <c:formatCode>General</c:formatCode>
                <c:ptCount val="102"/>
                <c:pt idx="0">
                  <c:v>0.20300000000000001</c:v>
                </c:pt>
                <c:pt idx="1">
                  <c:v>0.17199999999999999</c:v>
                </c:pt>
                <c:pt idx="2">
                  <c:v>0.13800000000000001</c:v>
                </c:pt>
                <c:pt idx="3">
                  <c:v>0.14799999999999999</c:v>
                </c:pt>
                <c:pt idx="4">
                  <c:v>0.13800000000000001</c:v>
                </c:pt>
                <c:pt idx="5">
                  <c:v>0.13400000000000001</c:v>
                </c:pt>
                <c:pt idx="6">
                  <c:v>0.11700000000000001</c:v>
                </c:pt>
                <c:pt idx="7">
                  <c:v>0.121</c:v>
                </c:pt>
                <c:pt idx="8">
                  <c:v>0.106</c:v>
                </c:pt>
                <c:pt idx="9">
                  <c:v>0.11700000000000001</c:v>
                </c:pt>
                <c:pt idx="10">
                  <c:v>0.154</c:v>
                </c:pt>
                <c:pt idx="11">
                  <c:v>1.2E-2</c:v>
                </c:pt>
                <c:pt idx="12">
                  <c:v>7.0000000000000001E-3</c:v>
                </c:pt>
                <c:pt idx="13">
                  <c:v>8.9999999999999993E-3</c:v>
                </c:pt>
                <c:pt idx="14">
                  <c:v>8.9999999999999993E-3</c:v>
                </c:pt>
                <c:pt idx="15">
                  <c:v>1.2E-2</c:v>
                </c:pt>
                <c:pt idx="16">
                  <c:v>8.9999999999999993E-3</c:v>
                </c:pt>
                <c:pt idx="17">
                  <c:v>8.0000000000000002E-3</c:v>
                </c:pt>
                <c:pt idx="18">
                  <c:v>3.5999999999999997E-2</c:v>
                </c:pt>
                <c:pt idx="19">
                  <c:v>5.6000000000000001E-2</c:v>
                </c:pt>
                <c:pt idx="20">
                  <c:v>8.0000000000000002E-3</c:v>
                </c:pt>
                <c:pt idx="21">
                  <c:v>8.9999999999999993E-3</c:v>
                </c:pt>
                <c:pt idx="22">
                  <c:v>8.0000000000000002E-3</c:v>
                </c:pt>
                <c:pt idx="23">
                  <c:v>8.0000000000000002E-3</c:v>
                </c:pt>
                <c:pt idx="24">
                  <c:v>1.0999999999999999E-2</c:v>
                </c:pt>
                <c:pt idx="25">
                  <c:v>1.9E-2</c:v>
                </c:pt>
                <c:pt idx="26">
                  <c:v>8.9999999999999993E-3</c:v>
                </c:pt>
                <c:pt idx="27">
                  <c:v>8.9999999999999993E-3</c:v>
                </c:pt>
                <c:pt idx="28">
                  <c:v>1.0999999999999999E-2</c:v>
                </c:pt>
                <c:pt idx="29">
                  <c:v>4.8000000000000001E-2</c:v>
                </c:pt>
                <c:pt idx="30">
                  <c:v>3.9E-2</c:v>
                </c:pt>
                <c:pt idx="31">
                  <c:v>1.0999999999999999E-2</c:v>
                </c:pt>
                <c:pt idx="32">
                  <c:v>8.0000000000000002E-3</c:v>
                </c:pt>
                <c:pt idx="33">
                  <c:v>8.9999999999999993E-3</c:v>
                </c:pt>
                <c:pt idx="34">
                  <c:v>1.2999999999999999E-2</c:v>
                </c:pt>
                <c:pt idx="35">
                  <c:v>0.01</c:v>
                </c:pt>
                <c:pt idx="36">
                  <c:v>1.0999999999999999E-2</c:v>
                </c:pt>
                <c:pt idx="37">
                  <c:v>8.9999999999999993E-3</c:v>
                </c:pt>
                <c:pt idx="38">
                  <c:v>1.7000000000000001E-2</c:v>
                </c:pt>
                <c:pt idx="39">
                  <c:v>3.6999999999999998E-2</c:v>
                </c:pt>
                <c:pt idx="40">
                  <c:v>0.10199999999999999</c:v>
                </c:pt>
                <c:pt idx="41">
                  <c:v>7.3999999999999996E-2</c:v>
                </c:pt>
                <c:pt idx="42">
                  <c:v>6.0000000000000001E-3</c:v>
                </c:pt>
                <c:pt idx="43">
                  <c:v>8.9999999999999993E-3</c:v>
                </c:pt>
                <c:pt idx="44">
                  <c:v>8.9999999999999993E-3</c:v>
                </c:pt>
                <c:pt idx="45">
                  <c:v>8.9999999999999993E-3</c:v>
                </c:pt>
                <c:pt idx="46">
                  <c:v>1.0999999999999999E-2</c:v>
                </c:pt>
                <c:pt idx="47">
                  <c:v>1.2E-2</c:v>
                </c:pt>
                <c:pt idx="48">
                  <c:v>1.7000000000000001E-2</c:v>
                </c:pt>
                <c:pt idx="49">
                  <c:v>1.7000000000000001E-2</c:v>
                </c:pt>
                <c:pt idx="52">
                  <c:v>0</c:v>
                </c:pt>
                <c:pt idx="53">
                  <c:v>3.0000000000000001E-3</c:v>
                </c:pt>
                <c:pt idx="54">
                  <c:v>0</c:v>
                </c:pt>
                <c:pt idx="55">
                  <c:v>0</c:v>
                </c:pt>
                <c:pt idx="56">
                  <c:v>4.0000000000000001E-3</c:v>
                </c:pt>
                <c:pt idx="57">
                  <c:v>0</c:v>
                </c:pt>
                <c:pt idx="58">
                  <c:v>0</c:v>
                </c:pt>
                <c:pt idx="59">
                  <c:v>1.7999999999999999E-2</c:v>
                </c:pt>
                <c:pt idx="60">
                  <c:v>5.0000000000000001E-3</c:v>
                </c:pt>
                <c:pt idx="61">
                  <c:v>5.0000000000000001E-3</c:v>
                </c:pt>
                <c:pt idx="62">
                  <c:v>5.0000000000000001E-3</c:v>
                </c:pt>
                <c:pt idx="63">
                  <c:v>3.0000000000000001E-3</c:v>
                </c:pt>
                <c:pt idx="64">
                  <c:v>5.0000000000000001E-3</c:v>
                </c:pt>
                <c:pt idx="65">
                  <c:v>6.0000000000000001E-3</c:v>
                </c:pt>
                <c:pt idx="66">
                  <c:v>0.25900000000000001</c:v>
                </c:pt>
                <c:pt idx="67">
                  <c:v>4.2999999999999997E-2</c:v>
                </c:pt>
                <c:pt idx="68">
                  <c:v>0</c:v>
                </c:pt>
                <c:pt idx="69">
                  <c:v>2.1999999999999999E-2</c:v>
                </c:pt>
                <c:pt idx="70">
                  <c:v>0</c:v>
                </c:pt>
                <c:pt idx="71">
                  <c:v>3.0000000000000001E-3</c:v>
                </c:pt>
                <c:pt idx="72">
                  <c:v>0</c:v>
                </c:pt>
                <c:pt idx="73">
                  <c:v>0</c:v>
                </c:pt>
                <c:pt idx="74">
                  <c:v>0.28299999999999997</c:v>
                </c:pt>
                <c:pt idx="75">
                  <c:v>0.23300000000000001</c:v>
                </c:pt>
                <c:pt idx="76">
                  <c:v>0.17599999999999999</c:v>
                </c:pt>
                <c:pt idx="77">
                  <c:v>0.13</c:v>
                </c:pt>
                <c:pt idx="78">
                  <c:v>0.08</c:v>
                </c:pt>
                <c:pt idx="79">
                  <c:v>9.5000000000000001E-2</c:v>
                </c:pt>
                <c:pt idx="80">
                  <c:v>0.107</c:v>
                </c:pt>
                <c:pt idx="81">
                  <c:v>9.0999999999999998E-2</c:v>
                </c:pt>
                <c:pt idx="82">
                  <c:v>7.9000000000000001E-2</c:v>
                </c:pt>
                <c:pt idx="83">
                  <c:v>6.3E-2</c:v>
                </c:pt>
                <c:pt idx="84">
                  <c:v>0.26900000000000002</c:v>
                </c:pt>
                <c:pt idx="85">
                  <c:v>0.182</c:v>
                </c:pt>
                <c:pt idx="86">
                  <c:v>0.16</c:v>
                </c:pt>
                <c:pt idx="87">
                  <c:v>0.13600000000000001</c:v>
                </c:pt>
                <c:pt idx="88">
                  <c:v>0.14000000000000001</c:v>
                </c:pt>
                <c:pt idx="89">
                  <c:v>7.1999999999999995E-2</c:v>
                </c:pt>
                <c:pt idx="90">
                  <c:v>0.107</c:v>
                </c:pt>
                <c:pt idx="91">
                  <c:v>0.127</c:v>
                </c:pt>
                <c:pt idx="92">
                  <c:v>9.8000000000000004E-2</c:v>
                </c:pt>
                <c:pt idx="93">
                  <c:v>0.28999999999999998</c:v>
                </c:pt>
                <c:pt idx="94">
                  <c:v>0.22500000000000001</c:v>
                </c:pt>
                <c:pt idx="95">
                  <c:v>0.20499999999999999</c:v>
                </c:pt>
                <c:pt idx="96">
                  <c:v>0.17599999999999999</c:v>
                </c:pt>
                <c:pt idx="97">
                  <c:v>0.14499999999999999</c:v>
                </c:pt>
                <c:pt idx="98">
                  <c:v>0.13300000000000001</c:v>
                </c:pt>
                <c:pt idx="99">
                  <c:v>0.104</c:v>
                </c:pt>
                <c:pt idx="100">
                  <c:v>0.14000000000000001</c:v>
                </c:pt>
                <c:pt idx="101">
                  <c:v>0.14000000000000001</c:v>
                </c:pt>
              </c:numCache>
            </c:numRef>
          </c:val>
          <c:smooth val="0"/>
          <c:extLst>
            <c:ext xmlns:c16="http://schemas.microsoft.com/office/drawing/2014/chart" uri="{C3380CC4-5D6E-409C-BE32-E72D297353CC}">
              <c16:uniqueId val="{00000001-BA78-4834-AB65-61DF27F323AB}"/>
            </c:ext>
          </c:extLst>
        </c:ser>
        <c:ser>
          <c:idx val="2"/>
          <c:order val="2"/>
          <c:tx>
            <c:strRef>
              <c:f>'[1]Environmental data'!$A$10</c:f>
              <c:strCache>
                <c:ptCount val="1"/>
                <c:pt idx="0">
                  <c:v>Orthophosphate (mg/L)</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multiLvlStrRef>
              <c:f>'[1]Environmental data'!$B$6:$CY$7</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data'!$B$10:$CY$10</c:f>
              <c:numCache>
                <c:formatCode>General</c:formatCode>
                <c:ptCount val="102"/>
                <c:pt idx="0">
                  <c:v>7.2999999999999995E-2</c:v>
                </c:pt>
                <c:pt idx="1">
                  <c:v>6.2E-2</c:v>
                </c:pt>
                <c:pt idx="2">
                  <c:v>5.6000000000000001E-2</c:v>
                </c:pt>
                <c:pt idx="3">
                  <c:v>5.6000000000000001E-2</c:v>
                </c:pt>
                <c:pt idx="4">
                  <c:v>5.1999999999999998E-2</c:v>
                </c:pt>
                <c:pt idx="5">
                  <c:v>5.3999999999999999E-2</c:v>
                </c:pt>
                <c:pt idx="6">
                  <c:v>4.8000000000000001E-2</c:v>
                </c:pt>
                <c:pt idx="7">
                  <c:v>4.4999999999999998E-2</c:v>
                </c:pt>
                <c:pt idx="8">
                  <c:v>2.8000000000000001E-2</c:v>
                </c:pt>
                <c:pt idx="9">
                  <c:v>3.3000000000000002E-2</c:v>
                </c:pt>
                <c:pt idx="10">
                  <c:v>3.2000000000000001E-2</c:v>
                </c:pt>
                <c:pt idx="11">
                  <c:v>0.02</c:v>
                </c:pt>
                <c:pt idx="12">
                  <c:v>1.9E-2</c:v>
                </c:pt>
                <c:pt idx="13">
                  <c:v>0.02</c:v>
                </c:pt>
                <c:pt idx="14">
                  <c:v>1.9E-2</c:v>
                </c:pt>
                <c:pt idx="15">
                  <c:v>1.7999999999999999E-2</c:v>
                </c:pt>
                <c:pt idx="16">
                  <c:v>1.7999999999999999E-2</c:v>
                </c:pt>
                <c:pt idx="17">
                  <c:v>0.02</c:v>
                </c:pt>
                <c:pt idx="18">
                  <c:v>2.1000000000000001E-2</c:v>
                </c:pt>
                <c:pt idx="19">
                  <c:v>3.1E-2</c:v>
                </c:pt>
                <c:pt idx="20">
                  <c:v>2.3E-2</c:v>
                </c:pt>
                <c:pt idx="21">
                  <c:v>2.3E-2</c:v>
                </c:pt>
                <c:pt idx="22">
                  <c:v>2.1999999999999999E-2</c:v>
                </c:pt>
                <c:pt idx="23">
                  <c:v>2.1999999999999999E-2</c:v>
                </c:pt>
                <c:pt idx="24">
                  <c:v>2.1999999999999999E-2</c:v>
                </c:pt>
                <c:pt idx="25">
                  <c:v>2.1999999999999999E-2</c:v>
                </c:pt>
                <c:pt idx="26">
                  <c:v>2.1999999999999999E-2</c:v>
                </c:pt>
                <c:pt idx="27">
                  <c:v>2.4E-2</c:v>
                </c:pt>
                <c:pt idx="28">
                  <c:v>2.3E-2</c:v>
                </c:pt>
                <c:pt idx="29">
                  <c:v>1.9E-2</c:v>
                </c:pt>
                <c:pt idx="30">
                  <c:v>1.4999999999999999E-2</c:v>
                </c:pt>
                <c:pt idx="31">
                  <c:v>1.4E-2</c:v>
                </c:pt>
                <c:pt idx="32">
                  <c:v>1.4E-2</c:v>
                </c:pt>
                <c:pt idx="33">
                  <c:v>1.4E-2</c:v>
                </c:pt>
                <c:pt idx="34">
                  <c:v>1.2999999999999999E-2</c:v>
                </c:pt>
                <c:pt idx="35">
                  <c:v>1.2E-2</c:v>
                </c:pt>
                <c:pt idx="36">
                  <c:v>1.4999999999999999E-2</c:v>
                </c:pt>
                <c:pt idx="37">
                  <c:v>1.4999999999999999E-2</c:v>
                </c:pt>
                <c:pt idx="38">
                  <c:v>1.7000000000000001E-2</c:v>
                </c:pt>
                <c:pt idx="39">
                  <c:v>1.6E-2</c:v>
                </c:pt>
                <c:pt idx="40">
                  <c:v>3.1E-2</c:v>
                </c:pt>
                <c:pt idx="41">
                  <c:v>2.5000000000000001E-2</c:v>
                </c:pt>
                <c:pt idx="42">
                  <c:v>1.2999999999999999E-2</c:v>
                </c:pt>
                <c:pt idx="43">
                  <c:v>1.7999999999999999E-2</c:v>
                </c:pt>
                <c:pt idx="44">
                  <c:v>1.7999999999999999E-2</c:v>
                </c:pt>
                <c:pt idx="45">
                  <c:v>1.6E-2</c:v>
                </c:pt>
                <c:pt idx="46">
                  <c:v>0.02</c:v>
                </c:pt>
                <c:pt idx="47">
                  <c:v>1.7999999999999999E-2</c:v>
                </c:pt>
                <c:pt idx="48">
                  <c:v>1.9E-2</c:v>
                </c:pt>
                <c:pt idx="49">
                  <c:v>2.3E-2</c:v>
                </c:pt>
                <c:pt idx="52">
                  <c:v>2.1000000000000001E-2</c:v>
                </c:pt>
                <c:pt idx="53">
                  <c:v>1.4E-2</c:v>
                </c:pt>
                <c:pt idx="54">
                  <c:v>1.0999999999999999E-2</c:v>
                </c:pt>
                <c:pt idx="55">
                  <c:v>1.6E-2</c:v>
                </c:pt>
                <c:pt idx="56">
                  <c:v>5.0000000000000001E-3</c:v>
                </c:pt>
                <c:pt idx="57">
                  <c:v>1.0999999999999999E-2</c:v>
                </c:pt>
                <c:pt idx="58">
                  <c:v>4.0000000000000001E-3</c:v>
                </c:pt>
                <c:pt idx="59">
                  <c:v>7.4999999999999997E-2</c:v>
                </c:pt>
                <c:pt idx="60">
                  <c:v>4.4999999999999998E-2</c:v>
                </c:pt>
                <c:pt idx="61">
                  <c:v>0.04</c:v>
                </c:pt>
                <c:pt idx="62">
                  <c:v>4.1000000000000002E-2</c:v>
                </c:pt>
                <c:pt idx="63">
                  <c:v>3.9E-2</c:v>
                </c:pt>
                <c:pt idx="64">
                  <c:v>3.9E-2</c:v>
                </c:pt>
                <c:pt idx="65">
                  <c:v>2.5999999999999999E-2</c:v>
                </c:pt>
                <c:pt idx="66">
                  <c:v>0.11799999999999999</c:v>
                </c:pt>
                <c:pt idx="67">
                  <c:v>5.2999999999999999E-2</c:v>
                </c:pt>
                <c:pt idx="68">
                  <c:v>4.2000000000000003E-2</c:v>
                </c:pt>
                <c:pt idx="69">
                  <c:v>4.2999999999999997E-2</c:v>
                </c:pt>
                <c:pt idx="70">
                  <c:v>3.7999999999999999E-2</c:v>
                </c:pt>
                <c:pt idx="71">
                  <c:v>1.4E-2</c:v>
                </c:pt>
                <c:pt idx="72">
                  <c:v>1.2E-2</c:v>
                </c:pt>
                <c:pt idx="73">
                  <c:v>2.9000000000000001E-2</c:v>
                </c:pt>
                <c:pt idx="74">
                  <c:v>0.124</c:v>
                </c:pt>
                <c:pt idx="75">
                  <c:v>0.12</c:v>
                </c:pt>
                <c:pt idx="76">
                  <c:v>0.10299999999999999</c:v>
                </c:pt>
                <c:pt idx="77">
                  <c:v>8.3000000000000004E-2</c:v>
                </c:pt>
                <c:pt idx="78">
                  <c:v>7.1999999999999995E-2</c:v>
                </c:pt>
                <c:pt idx="79">
                  <c:v>6.9000000000000006E-2</c:v>
                </c:pt>
                <c:pt idx="80">
                  <c:v>6.9000000000000006E-2</c:v>
                </c:pt>
                <c:pt idx="81">
                  <c:v>6.0999999999999999E-2</c:v>
                </c:pt>
                <c:pt idx="82">
                  <c:v>3.7999999999999999E-2</c:v>
                </c:pt>
                <c:pt idx="83">
                  <c:v>3.6999999999999998E-2</c:v>
                </c:pt>
                <c:pt idx="84">
                  <c:v>0.109</c:v>
                </c:pt>
                <c:pt idx="85">
                  <c:v>7.9000000000000001E-2</c:v>
                </c:pt>
                <c:pt idx="86">
                  <c:v>8.1000000000000003E-2</c:v>
                </c:pt>
                <c:pt idx="87">
                  <c:v>7.1999999999999995E-2</c:v>
                </c:pt>
                <c:pt idx="88">
                  <c:v>7.2999999999999995E-2</c:v>
                </c:pt>
                <c:pt idx="89">
                  <c:v>6.5000000000000002E-2</c:v>
                </c:pt>
                <c:pt idx="90">
                  <c:v>6.5000000000000002E-2</c:v>
                </c:pt>
                <c:pt idx="91">
                  <c:v>5.8999999999999997E-2</c:v>
                </c:pt>
                <c:pt idx="92">
                  <c:v>3.9E-2</c:v>
                </c:pt>
                <c:pt idx="93">
                  <c:v>0.113</c:v>
                </c:pt>
                <c:pt idx="94">
                  <c:v>9.1999999999999998E-2</c:v>
                </c:pt>
                <c:pt idx="95">
                  <c:v>0.108</c:v>
                </c:pt>
                <c:pt idx="96">
                  <c:v>9.1999999999999998E-2</c:v>
                </c:pt>
                <c:pt idx="97">
                  <c:v>9.9000000000000005E-2</c:v>
                </c:pt>
                <c:pt idx="98">
                  <c:v>0.105</c:v>
                </c:pt>
                <c:pt idx="99">
                  <c:v>7.4999999999999997E-2</c:v>
                </c:pt>
                <c:pt idx="100">
                  <c:v>6.9000000000000006E-2</c:v>
                </c:pt>
                <c:pt idx="101">
                  <c:v>7.5999999999999998E-2</c:v>
                </c:pt>
              </c:numCache>
            </c:numRef>
          </c:val>
          <c:smooth val="0"/>
          <c:extLst>
            <c:ext xmlns:c16="http://schemas.microsoft.com/office/drawing/2014/chart" uri="{C3380CC4-5D6E-409C-BE32-E72D297353CC}">
              <c16:uniqueId val="{00000002-BA78-4834-AB65-61DF27F323AB}"/>
            </c:ext>
          </c:extLst>
        </c:ser>
        <c:ser>
          <c:idx val="3"/>
          <c:order val="3"/>
          <c:tx>
            <c:strRef>
              <c:f>'[1]Environmental data'!$A$11</c:f>
              <c:strCache>
                <c:ptCount val="1"/>
                <c:pt idx="0">
                  <c:v>Total Dissolved Nitrogen (mg/L)</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multiLvlStrRef>
              <c:f>'[1]Environmental data'!$B$6:$CY$7</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data'!$B$11:$CY$11</c:f>
              <c:numCache>
                <c:formatCode>General</c:formatCode>
                <c:ptCount val="102"/>
                <c:pt idx="0">
                  <c:v>0.55800000000000005</c:v>
                </c:pt>
                <c:pt idx="1">
                  <c:v>0.433</c:v>
                </c:pt>
                <c:pt idx="2">
                  <c:v>0.39200000000000002</c:v>
                </c:pt>
                <c:pt idx="3">
                  <c:v>0.41299999999999998</c:v>
                </c:pt>
                <c:pt idx="4">
                  <c:v>0.31900000000000001</c:v>
                </c:pt>
                <c:pt idx="5">
                  <c:v>0.29299999999999998</c:v>
                </c:pt>
                <c:pt idx="6">
                  <c:v>0.25800000000000001</c:v>
                </c:pt>
                <c:pt idx="7">
                  <c:v>0.26400000000000001</c:v>
                </c:pt>
                <c:pt idx="8">
                  <c:v>0.29799999999999999</c:v>
                </c:pt>
                <c:pt idx="9">
                  <c:v>0.26900000000000002</c:v>
                </c:pt>
                <c:pt idx="10">
                  <c:v>0.35</c:v>
                </c:pt>
                <c:pt idx="11">
                  <c:v>0.157</c:v>
                </c:pt>
                <c:pt idx="12">
                  <c:v>0.13300000000000001</c:v>
                </c:pt>
                <c:pt idx="13">
                  <c:v>0.13900000000000001</c:v>
                </c:pt>
                <c:pt idx="14">
                  <c:v>0.13200000000000001</c:v>
                </c:pt>
                <c:pt idx="15">
                  <c:v>0.13500000000000001</c:v>
                </c:pt>
                <c:pt idx="16">
                  <c:v>0.107</c:v>
                </c:pt>
                <c:pt idx="17">
                  <c:v>0.113</c:v>
                </c:pt>
                <c:pt idx="18">
                  <c:v>0.128</c:v>
                </c:pt>
                <c:pt idx="19">
                  <c:v>0.16500000000000001</c:v>
                </c:pt>
                <c:pt idx="20">
                  <c:v>0.16400000000000001</c:v>
                </c:pt>
                <c:pt idx="21">
                  <c:v>0.17</c:v>
                </c:pt>
                <c:pt idx="22">
                  <c:v>0.17100000000000001</c:v>
                </c:pt>
                <c:pt idx="23">
                  <c:v>0.157</c:v>
                </c:pt>
                <c:pt idx="24">
                  <c:v>0.19</c:v>
                </c:pt>
                <c:pt idx="25">
                  <c:v>0.245</c:v>
                </c:pt>
                <c:pt idx="26">
                  <c:v>0.13500000000000001</c:v>
                </c:pt>
                <c:pt idx="27">
                  <c:v>0.123</c:v>
                </c:pt>
                <c:pt idx="28">
                  <c:v>0.124</c:v>
                </c:pt>
                <c:pt idx="29">
                  <c:v>0.14499999999999999</c:v>
                </c:pt>
                <c:pt idx="30">
                  <c:v>0.26500000000000001</c:v>
                </c:pt>
                <c:pt idx="31">
                  <c:v>0.18</c:v>
                </c:pt>
                <c:pt idx="32">
                  <c:v>0.13</c:v>
                </c:pt>
                <c:pt idx="33">
                  <c:v>0.13800000000000001</c:v>
                </c:pt>
                <c:pt idx="34">
                  <c:v>0.14599999999999999</c:v>
                </c:pt>
                <c:pt idx="35">
                  <c:v>0.157</c:v>
                </c:pt>
                <c:pt idx="36">
                  <c:v>0.114</c:v>
                </c:pt>
                <c:pt idx="37">
                  <c:v>0.14299999999999999</c:v>
                </c:pt>
                <c:pt idx="38">
                  <c:v>0.13800000000000001</c:v>
                </c:pt>
                <c:pt idx="39">
                  <c:v>0.16500000000000001</c:v>
                </c:pt>
                <c:pt idx="40">
                  <c:v>0.48</c:v>
                </c:pt>
                <c:pt idx="41">
                  <c:v>0.39100000000000001</c:v>
                </c:pt>
                <c:pt idx="42">
                  <c:v>0.13400000000000001</c:v>
                </c:pt>
                <c:pt idx="43">
                  <c:v>0.185</c:v>
                </c:pt>
                <c:pt idx="44">
                  <c:v>0.16400000000000001</c:v>
                </c:pt>
                <c:pt idx="45">
                  <c:v>0.16500000000000001</c:v>
                </c:pt>
                <c:pt idx="46">
                  <c:v>0.13300000000000001</c:v>
                </c:pt>
                <c:pt idx="47">
                  <c:v>0.16400000000000001</c:v>
                </c:pt>
                <c:pt idx="48">
                  <c:v>0.156</c:v>
                </c:pt>
                <c:pt idx="49">
                  <c:v>0.14299999999999999</c:v>
                </c:pt>
                <c:pt idx="52">
                  <c:v>0.17699999999999999</c:v>
                </c:pt>
                <c:pt idx="53">
                  <c:v>0.16700000000000001</c:v>
                </c:pt>
                <c:pt idx="54">
                  <c:v>0.20300000000000001</c:v>
                </c:pt>
                <c:pt idx="55">
                  <c:v>0.16900000000000001</c:v>
                </c:pt>
                <c:pt idx="56">
                  <c:v>0.13900000000000001</c:v>
                </c:pt>
                <c:pt idx="57">
                  <c:v>0.14699999999999999</c:v>
                </c:pt>
                <c:pt idx="58">
                  <c:v>0.17</c:v>
                </c:pt>
                <c:pt idx="59">
                  <c:v>0.20499999999999999</c:v>
                </c:pt>
                <c:pt idx="60">
                  <c:v>0.193</c:v>
                </c:pt>
                <c:pt idx="61">
                  <c:v>0.18</c:v>
                </c:pt>
                <c:pt idx="62">
                  <c:v>0.17199999999999999</c:v>
                </c:pt>
                <c:pt idx="63">
                  <c:v>0.14599999999999999</c:v>
                </c:pt>
                <c:pt idx="64">
                  <c:v>0.159</c:v>
                </c:pt>
                <c:pt idx="65">
                  <c:v>0.14899999999999999</c:v>
                </c:pt>
                <c:pt idx="66">
                  <c:v>0.66</c:v>
                </c:pt>
                <c:pt idx="67">
                  <c:v>0.27700000000000002</c:v>
                </c:pt>
                <c:pt idx="68">
                  <c:v>0.222</c:v>
                </c:pt>
                <c:pt idx="69">
                  <c:v>0.17299999999999999</c:v>
                </c:pt>
                <c:pt idx="70">
                  <c:v>0.186</c:v>
                </c:pt>
                <c:pt idx="71">
                  <c:v>0.153</c:v>
                </c:pt>
                <c:pt idx="72">
                  <c:v>0.16200000000000001</c:v>
                </c:pt>
                <c:pt idx="73">
                  <c:v>0.128</c:v>
                </c:pt>
                <c:pt idx="74">
                  <c:v>0.83699999999999997</c:v>
                </c:pt>
                <c:pt idx="75">
                  <c:v>0.747</c:v>
                </c:pt>
                <c:pt idx="76">
                  <c:v>0.50800000000000001</c:v>
                </c:pt>
                <c:pt idx="77">
                  <c:v>0.375</c:v>
                </c:pt>
                <c:pt idx="78">
                  <c:v>0.27</c:v>
                </c:pt>
                <c:pt idx="79">
                  <c:v>0.26200000000000001</c:v>
                </c:pt>
                <c:pt idx="80">
                  <c:v>0.308</c:v>
                </c:pt>
                <c:pt idx="81">
                  <c:v>0.23400000000000001</c:v>
                </c:pt>
                <c:pt idx="82">
                  <c:v>0.22700000000000001</c:v>
                </c:pt>
                <c:pt idx="83">
                  <c:v>0.185</c:v>
                </c:pt>
                <c:pt idx="84">
                  <c:v>0.63</c:v>
                </c:pt>
                <c:pt idx="85">
                  <c:v>0.45800000000000002</c:v>
                </c:pt>
                <c:pt idx="86">
                  <c:v>0.34799999999999998</c:v>
                </c:pt>
                <c:pt idx="87">
                  <c:v>0.34899999999999998</c:v>
                </c:pt>
                <c:pt idx="88">
                  <c:v>0.30499999999999999</c:v>
                </c:pt>
                <c:pt idx="89">
                  <c:v>0.26</c:v>
                </c:pt>
                <c:pt idx="90">
                  <c:v>0.27300000000000002</c:v>
                </c:pt>
                <c:pt idx="91">
                  <c:v>0.309</c:v>
                </c:pt>
                <c:pt idx="92">
                  <c:v>0.26100000000000001</c:v>
                </c:pt>
                <c:pt idx="93">
                  <c:v>0.61299999999999999</c:v>
                </c:pt>
                <c:pt idx="94">
                  <c:v>0.41199999999999998</c:v>
                </c:pt>
                <c:pt idx="95">
                  <c:v>0.35799999999999998</c:v>
                </c:pt>
                <c:pt idx="96">
                  <c:v>0.29499999999999998</c:v>
                </c:pt>
                <c:pt idx="97">
                  <c:v>0.28100000000000003</c:v>
                </c:pt>
                <c:pt idx="98">
                  <c:v>0.28699999999999998</c:v>
                </c:pt>
                <c:pt idx="99">
                  <c:v>0.24199999999999999</c:v>
                </c:pt>
                <c:pt idx="100">
                  <c:v>0.32400000000000001</c:v>
                </c:pt>
                <c:pt idx="101">
                  <c:v>0.28599999999999998</c:v>
                </c:pt>
              </c:numCache>
            </c:numRef>
          </c:val>
          <c:smooth val="0"/>
          <c:extLst>
            <c:ext xmlns:c16="http://schemas.microsoft.com/office/drawing/2014/chart" uri="{C3380CC4-5D6E-409C-BE32-E72D297353CC}">
              <c16:uniqueId val="{00000003-BA78-4834-AB65-61DF27F323AB}"/>
            </c:ext>
          </c:extLst>
        </c:ser>
        <c:ser>
          <c:idx val="4"/>
          <c:order val="4"/>
          <c:tx>
            <c:strRef>
              <c:f>'[1]Environmental data'!$A$12</c:f>
              <c:strCache>
                <c:ptCount val="1"/>
                <c:pt idx="0">
                  <c:v>Total Dissolved Phosphorus (mg/L)</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multiLvlStrRef>
              <c:f>'[1]Environmental data'!$B$6:$CY$7</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data'!$B$12:$CY$12</c:f>
              <c:numCache>
                <c:formatCode>General</c:formatCode>
                <c:ptCount val="102"/>
                <c:pt idx="0">
                  <c:v>0.09</c:v>
                </c:pt>
                <c:pt idx="1">
                  <c:v>7.9000000000000001E-2</c:v>
                </c:pt>
                <c:pt idx="2">
                  <c:v>7.0999999999999994E-2</c:v>
                </c:pt>
                <c:pt idx="3">
                  <c:v>7.0999999999999994E-2</c:v>
                </c:pt>
                <c:pt idx="4">
                  <c:v>6.9000000000000006E-2</c:v>
                </c:pt>
                <c:pt idx="5">
                  <c:v>6.6000000000000003E-2</c:v>
                </c:pt>
                <c:pt idx="6">
                  <c:v>6.3E-2</c:v>
                </c:pt>
                <c:pt idx="7">
                  <c:v>0.06</c:v>
                </c:pt>
                <c:pt idx="8">
                  <c:v>4.2999999999999997E-2</c:v>
                </c:pt>
                <c:pt idx="9">
                  <c:v>3.5999999999999997E-2</c:v>
                </c:pt>
                <c:pt idx="10">
                  <c:v>5.1999999999999998E-2</c:v>
                </c:pt>
                <c:pt idx="11">
                  <c:v>3.5999999999999997E-2</c:v>
                </c:pt>
                <c:pt idx="12">
                  <c:v>3.4000000000000002E-2</c:v>
                </c:pt>
                <c:pt idx="13">
                  <c:v>3.7999999999999999E-2</c:v>
                </c:pt>
                <c:pt idx="14">
                  <c:v>2.9000000000000001E-2</c:v>
                </c:pt>
                <c:pt idx="15">
                  <c:v>0.03</c:v>
                </c:pt>
                <c:pt idx="16">
                  <c:v>2.8000000000000001E-2</c:v>
                </c:pt>
                <c:pt idx="17">
                  <c:v>3.1E-2</c:v>
                </c:pt>
                <c:pt idx="18">
                  <c:v>3.1E-2</c:v>
                </c:pt>
                <c:pt idx="19">
                  <c:v>2.8000000000000001E-2</c:v>
                </c:pt>
                <c:pt idx="20">
                  <c:v>1.9E-2</c:v>
                </c:pt>
                <c:pt idx="21">
                  <c:v>0.02</c:v>
                </c:pt>
                <c:pt idx="22">
                  <c:v>2.1000000000000001E-2</c:v>
                </c:pt>
                <c:pt idx="23">
                  <c:v>2.1999999999999999E-2</c:v>
                </c:pt>
                <c:pt idx="24">
                  <c:v>2.3E-2</c:v>
                </c:pt>
                <c:pt idx="25">
                  <c:v>2.5000000000000001E-2</c:v>
                </c:pt>
                <c:pt idx="26">
                  <c:v>2.3E-2</c:v>
                </c:pt>
                <c:pt idx="27">
                  <c:v>2.1000000000000001E-2</c:v>
                </c:pt>
                <c:pt idx="28">
                  <c:v>1.7999999999999999E-2</c:v>
                </c:pt>
                <c:pt idx="29">
                  <c:v>1.4E-2</c:v>
                </c:pt>
                <c:pt idx="30">
                  <c:v>0.03</c:v>
                </c:pt>
                <c:pt idx="31">
                  <c:v>2.5999999999999999E-2</c:v>
                </c:pt>
                <c:pt idx="32">
                  <c:v>2.5999999999999999E-2</c:v>
                </c:pt>
                <c:pt idx="33">
                  <c:v>2.5000000000000001E-2</c:v>
                </c:pt>
                <c:pt idx="34">
                  <c:v>2.4E-2</c:v>
                </c:pt>
                <c:pt idx="35">
                  <c:v>2.5000000000000001E-2</c:v>
                </c:pt>
                <c:pt idx="36">
                  <c:v>2.5999999999999999E-2</c:v>
                </c:pt>
                <c:pt idx="37">
                  <c:v>2.9000000000000001E-2</c:v>
                </c:pt>
                <c:pt idx="38">
                  <c:v>2.5999999999999999E-2</c:v>
                </c:pt>
                <c:pt idx="39">
                  <c:v>2.5000000000000001E-2</c:v>
                </c:pt>
                <c:pt idx="40">
                  <c:v>4.1000000000000002E-2</c:v>
                </c:pt>
                <c:pt idx="41">
                  <c:v>3.5999999999999997E-2</c:v>
                </c:pt>
                <c:pt idx="42">
                  <c:v>2.1999999999999999E-2</c:v>
                </c:pt>
                <c:pt idx="43">
                  <c:v>3.5000000000000003E-2</c:v>
                </c:pt>
                <c:pt idx="44">
                  <c:v>2.7E-2</c:v>
                </c:pt>
                <c:pt idx="45">
                  <c:v>2.7E-2</c:v>
                </c:pt>
                <c:pt idx="46">
                  <c:v>3.3000000000000002E-2</c:v>
                </c:pt>
                <c:pt idx="47">
                  <c:v>2.7E-2</c:v>
                </c:pt>
                <c:pt idx="48">
                  <c:v>2.7E-2</c:v>
                </c:pt>
                <c:pt idx="49">
                  <c:v>0.03</c:v>
                </c:pt>
                <c:pt idx="52">
                  <c:v>4.2999999999999997E-2</c:v>
                </c:pt>
                <c:pt idx="53">
                  <c:v>3.3000000000000002E-2</c:v>
                </c:pt>
                <c:pt idx="54">
                  <c:v>2.9000000000000001E-2</c:v>
                </c:pt>
                <c:pt idx="55">
                  <c:v>0.03</c:v>
                </c:pt>
                <c:pt idx="56">
                  <c:v>2.1000000000000001E-2</c:v>
                </c:pt>
                <c:pt idx="57">
                  <c:v>2.5000000000000001E-2</c:v>
                </c:pt>
                <c:pt idx="58">
                  <c:v>2.1000000000000001E-2</c:v>
                </c:pt>
                <c:pt idx="59">
                  <c:v>8.3000000000000004E-2</c:v>
                </c:pt>
                <c:pt idx="60">
                  <c:v>5.8999999999999997E-2</c:v>
                </c:pt>
                <c:pt idx="61">
                  <c:v>5.3999999999999999E-2</c:v>
                </c:pt>
                <c:pt idx="62">
                  <c:v>4.9000000000000002E-2</c:v>
                </c:pt>
                <c:pt idx="63">
                  <c:v>4.5999999999999999E-2</c:v>
                </c:pt>
                <c:pt idx="64">
                  <c:v>4.7E-2</c:v>
                </c:pt>
                <c:pt idx="65">
                  <c:v>4.1000000000000002E-2</c:v>
                </c:pt>
                <c:pt idx="66">
                  <c:v>0.128</c:v>
                </c:pt>
                <c:pt idx="67">
                  <c:v>7.1999999999999995E-2</c:v>
                </c:pt>
                <c:pt idx="68">
                  <c:v>6.2E-2</c:v>
                </c:pt>
                <c:pt idx="69">
                  <c:v>4.9000000000000002E-2</c:v>
                </c:pt>
                <c:pt idx="70">
                  <c:v>5.2999999999999999E-2</c:v>
                </c:pt>
                <c:pt idx="71">
                  <c:v>2.5999999999999999E-2</c:v>
                </c:pt>
                <c:pt idx="72">
                  <c:v>2.3E-2</c:v>
                </c:pt>
                <c:pt idx="73">
                  <c:v>3.5999999999999997E-2</c:v>
                </c:pt>
                <c:pt idx="74">
                  <c:v>0.13400000000000001</c:v>
                </c:pt>
                <c:pt idx="75">
                  <c:v>0.11600000000000001</c:v>
                </c:pt>
                <c:pt idx="76">
                  <c:v>0.1</c:v>
                </c:pt>
                <c:pt idx="77">
                  <c:v>8.3000000000000004E-2</c:v>
                </c:pt>
                <c:pt idx="78">
                  <c:v>7.1999999999999995E-2</c:v>
                </c:pt>
                <c:pt idx="79">
                  <c:v>7.0000000000000007E-2</c:v>
                </c:pt>
                <c:pt idx="80">
                  <c:v>6.9000000000000006E-2</c:v>
                </c:pt>
                <c:pt idx="81">
                  <c:v>5.8999999999999997E-2</c:v>
                </c:pt>
                <c:pt idx="82">
                  <c:v>4.2999999999999997E-2</c:v>
                </c:pt>
                <c:pt idx="83">
                  <c:v>3.6999999999999998E-2</c:v>
                </c:pt>
                <c:pt idx="84">
                  <c:v>0.111</c:v>
                </c:pt>
                <c:pt idx="85">
                  <c:v>9.0999999999999998E-2</c:v>
                </c:pt>
                <c:pt idx="86">
                  <c:v>8.4000000000000005E-2</c:v>
                </c:pt>
                <c:pt idx="87">
                  <c:v>7.2999999999999995E-2</c:v>
                </c:pt>
                <c:pt idx="88">
                  <c:v>7.5999999999999998E-2</c:v>
                </c:pt>
                <c:pt idx="89">
                  <c:v>7.0000000000000007E-2</c:v>
                </c:pt>
                <c:pt idx="90">
                  <c:v>6.8000000000000005E-2</c:v>
                </c:pt>
                <c:pt idx="91">
                  <c:v>6.2E-2</c:v>
                </c:pt>
                <c:pt idx="92">
                  <c:v>4.2000000000000003E-2</c:v>
                </c:pt>
                <c:pt idx="93">
                  <c:v>0.124</c:v>
                </c:pt>
                <c:pt idx="94">
                  <c:v>0.27</c:v>
                </c:pt>
                <c:pt idx="95">
                  <c:v>0.108</c:v>
                </c:pt>
                <c:pt idx="96">
                  <c:v>8.5000000000000006E-2</c:v>
                </c:pt>
                <c:pt idx="97">
                  <c:v>7.5999999999999998E-2</c:v>
                </c:pt>
                <c:pt idx="98">
                  <c:v>0.10100000000000001</c:v>
                </c:pt>
                <c:pt idx="99">
                  <c:v>8.4000000000000005E-2</c:v>
                </c:pt>
                <c:pt idx="100">
                  <c:v>6.6000000000000003E-2</c:v>
                </c:pt>
                <c:pt idx="101">
                  <c:v>5.6000000000000001E-2</c:v>
                </c:pt>
              </c:numCache>
            </c:numRef>
          </c:val>
          <c:smooth val="0"/>
          <c:extLst>
            <c:ext xmlns:c16="http://schemas.microsoft.com/office/drawing/2014/chart" uri="{C3380CC4-5D6E-409C-BE32-E72D297353CC}">
              <c16:uniqueId val="{00000004-BA78-4834-AB65-61DF27F323AB}"/>
            </c:ext>
          </c:extLst>
        </c:ser>
        <c:dLbls>
          <c:showLegendKey val="0"/>
          <c:showVal val="0"/>
          <c:showCatName val="0"/>
          <c:showSerName val="0"/>
          <c:showPercent val="0"/>
          <c:showBubbleSize val="0"/>
        </c:dLbls>
        <c:marker val="1"/>
        <c:smooth val="0"/>
        <c:axId val="1706806303"/>
        <c:axId val="1706808383"/>
      </c:lineChart>
      <c:catAx>
        <c:axId val="1706806303"/>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706808383"/>
        <c:crosses val="autoZero"/>
        <c:auto val="1"/>
        <c:lblAlgn val="ctr"/>
        <c:lblOffset val="100"/>
        <c:noMultiLvlLbl val="0"/>
      </c:catAx>
      <c:valAx>
        <c:axId val="170680838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mg/L</a:t>
                </a:r>
              </a:p>
            </c:rich>
          </c:tx>
          <c:layout>
            <c:manualLayout>
              <c:xMode val="edge"/>
              <c:yMode val="edge"/>
              <c:x val="3.3550154056836436E-6"/>
              <c:y val="0.23993257199587792"/>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1706806303"/>
        <c:crosses val="autoZero"/>
        <c:crossBetween val="between"/>
        <c:majorUnit val="0.2"/>
      </c:valAx>
      <c:spPr>
        <a:noFill/>
        <a:ln>
          <a:noFill/>
        </a:ln>
        <a:effectLst/>
      </c:spPr>
    </c:plotArea>
    <c:legend>
      <c:legendPos val="b"/>
      <c:layout>
        <c:manualLayout>
          <c:xMode val="edge"/>
          <c:yMode val="edge"/>
          <c:x val="4.7505685458867568E-2"/>
          <c:y val="0.87896492204815746"/>
          <c:w val="0.93872637207621257"/>
          <c:h val="9.6140071833224053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4945771995891816E-2"/>
          <c:y val="0.14769534767634657"/>
          <c:w val="0.94535487846627853"/>
          <c:h val="0.54930543685642608"/>
        </c:manualLayout>
      </c:layout>
      <c:lineChart>
        <c:grouping val="standard"/>
        <c:varyColors val="0"/>
        <c:ser>
          <c:idx val="0"/>
          <c:order val="0"/>
          <c:tx>
            <c:strRef>
              <c:f>'[1]Environmental data'!$A$16</c:f>
              <c:strCache>
                <c:ptCount val="1"/>
                <c:pt idx="0">
                  <c:v>Chlorophyll a (µg/L)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multiLvlStrRef>
              <c:f>'[1]Environmental data'!$B$14:$CY$15</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data'!$B$16:$CY$16</c:f>
              <c:numCache>
                <c:formatCode>General</c:formatCode>
                <c:ptCount val="102"/>
                <c:pt idx="0">
                  <c:v>1.7</c:v>
                </c:pt>
                <c:pt idx="1">
                  <c:v>2.8</c:v>
                </c:pt>
                <c:pt idx="2">
                  <c:v>2.2000000000000002</c:v>
                </c:pt>
                <c:pt idx="3">
                  <c:v>3.4</c:v>
                </c:pt>
                <c:pt idx="4">
                  <c:v>2.1</c:v>
                </c:pt>
                <c:pt idx="5">
                  <c:v>1.6</c:v>
                </c:pt>
                <c:pt idx="6">
                  <c:v>1.5</c:v>
                </c:pt>
                <c:pt idx="7">
                  <c:v>1.7</c:v>
                </c:pt>
                <c:pt idx="8">
                  <c:v>2.4</c:v>
                </c:pt>
                <c:pt idx="9">
                  <c:v>1.8</c:v>
                </c:pt>
                <c:pt idx="10">
                  <c:v>13.6</c:v>
                </c:pt>
                <c:pt idx="11">
                  <c:v>18.600000000000001</c:v>
                </c:pt>
                <c:pt idx="12">
                  <c:v>25.9</c:v>
                </c:pt>
                <c:pt idx="13">
                  <c:v>23</c:v>
                </c:pt>
                <c:pt idx="14">
                  <c:v>26.4</c:v>
                </c:pt>
                <c:pt idx="15">
                  <c:v>21</c:v>
                </c:pt>
                <c:pt idx="16">
                  <c:v>20.2</c:v>
                </c:pt>
                <c:pt idx="17">
                  <c:v>17.8</c:v>
                </c:pt>
                <c:pt idx="18">
                  <c:v>11.7</c:v>
                </c:pt>
                <c:pt idx="19">
                  <c:v>7.8</c:v>
                </c:pt>
                <c:pt idx="20">
                  <c:v>6.4</c:v>
                </c:pt>
                <c:pt idx="21">
                  <c:v>3.8</c:v>
                </c:pt>
                <c:pt idx="22">
                  <c:v>1.2</c:v>
                </c:pt>
                <c:pt idx="23">
                  <c:v>6.2</c:v>
                </c:pt>
                <c:pt idx="24">
                  <c:v>1.5</c:v>
                </c:pt>
                <c:pt idx="25">
                  <c:v>2.9</c:v>
                </c:pt>
                <c:pt idx="26">
                  <c:v>1.1000000000000001</c:v>
                </c:pt>
                <c:pt idx="27">
                  <c:v>1.9</c:v>
                </c:pt>
                <c:pt idx="28">
                  <c:v>2.5</c:v>
                </c:pt>
                <c:pt idx="29">
                  <c:v>3</c:v>
                </c:pt>
                <c:pt idx="30">
                  <c:v>14.2</c:v>
                </c:pt>
                <c:pt idx="31">
                  <c:v>12</c:v>
                </c:pt>
                <c:pt idx="32">
                  <c:v>9</c:v>
                </c:pt>
                <c:pt idx="33">
                  <c:v>5.5</c:v>
                </c:pt>
                <c:pt idx="34">
                  <c:v>2.8</c:v>
                </c:pt>
                <c:pt idx="35">
                  <c:v>3.1</c:v>
                </c:pt>
                <c:pt idx="36">
                  <c:v>3.1</c:v>
                </c:pt>
                <c:pt idx="37">
                  <c:v>2.1</c:v>
                </c:pt>
                <c:pt idx="38">
                  <c:v>2.8</c:v>
                </c:pt>
                <c:pt idx="39">
                  <c:v>2.2000000000000002</c:v>
                </c:pt>
                <c:pt idx="40">
                  <c:v>7.2</c:v>
                </c:pt>
                <c:pt idx="41">
                  <c:v>8.4</c:v>
                </c:pt>
                <c:pt idx="42">
                  <c:v>9</c:v>
                </c:pt>
                <c:pt idx="43">
                  <c:v>11.5</c:v>
                </c:pt>
                <c:pt idx="44">
                  <c:v>4.4000000000000004</c:v>
                </c:pt>
                <c:pt idx="45">
                  <c:v>1.3</c:v>
                </c:pt>
                <c:pt idx="46">
                  <c:v>2.2000000000000002</c:v>
                </c:pt>
                <c:pt idx="47">
                  <c:v>2</c:v>
                </c:pt>
                <c:pt idx="48">
                  <c:v>5.3</c:v>
                </c:pt>
                <c:pt idx="49">
                  <c:v>1.9</c:v>
                </c:pt>
                <c:pt idx="52">
                  <c:v>7.6</c:v>
                </c:pt>
                <c:pt idx="53">
                  <c:v>8.3000000000000007</c:v>
                </c:pt>
                <c:pt idx="54">
                  <c:v>8.3000000000000007</c:v>
                </c:pt>
                <c:pt idx="55">
                  <c:v>6</c:v>
                </c:pt>
                <c:pt idx="56">
                  <c:v>1</c:v>
                </c:pt>
                <c:pt idx="57">
                  <c:v>1.2</c:v>
                </c:pt>
                <c:pt idx="58">
                  <c:v>0.6</c:v>
                </c:pt>
                <c:pt idx="59">
                  <c:v>18.600000000000001</c:v>
                </c:pt>
                <c:pt idx="60">
                  <c:v>5.4</c:v>
                </c:pt>
                <c:pt idx="61">
                  <c:v>5.4</c:v>
                </c:pt>
                <c:pt idx="62">
                  <c:v>4.5999999999999996</c:v>
                </c:pt>
                <c:pt idx="63">
                  <c:v>1.9</c:v>
                </c:pt>
                <c:pt idx="64">
                  <c:v>3.9</c:v>
                </c:pt>
                <c:pt idx="65">
                  <c:v>1.8</c:v>
                </c:pt>
                <c:pt idx="66">
                  <c:v>7.5</c:v>
                </c:pt>
                <c:pt idx="67">
                  <c:v>10.6</c:v>
                </c:pt>
                <c:pt idx="68">
                  <c:v>10.8</c:v>
                </c:pt>
                <c:pt idx="69">
                  <c:v>9.4</c:v>
                </c:pt>
                <c:pt idx="70">
                  <c:v>2.7</c:v>
                </c:pt>
                <c:pt idx="71">
                  <c:v>8.5</c:v>
                </c:pt>
                <c:pt idx="72">
                  <c:v>2.4</c:v>
                </c:pt>
                <c:pt idx="73">
                  <c:v>2</c:v>
                </c:pt>
                <c:pt idx="74">
                  <c:v>2.8</c:v>
                </c:pt>
                <c:pt idx="75">
                  <c:v>2.5</c:v>
                </c:pt>
                <c:pt idx="76">
                  <c:v>5.9</c:v>
                </c:pt>
                <c:pt idx="77">
                  <c:v>5.8</c:v>
                </c:pt>
                <c:pt idx="78">
                  <c:v>8.1999999999999993</c:v>
                </c:pt>
                <c:pt idx="79">
                  <c:v>2.6</c:v>
                </c:pt>
                <c:pt idx="80">
                  <c:v>2</c:v>
                </c:pt>
                <c:pt idx="81">
                  <c:v>1.1000000000000001</c:v>
                </c:pt>
                <c:pt idx="82">
                  <c:v>2.2999999999999998</c:v>
                </c:pt>
                <c:pt idx="83">
                  <c:v>1.1000000000000001</c:v>
                </c:pt>
                <c:pt idx="84">
                  <c:v>2.2999999999999998</c:v>
                </c:pt>
                <c:pt idx="85">
                  <c:v>4.3</c:v>
                </c:pt>
                <c:pt idx="86">
                  <c:v>3</c:v>
                </c:pt>
                <c:pt idx="87">
                  <c:v>1.8</c:v>
                </c:pt>
                <c:pt idx="88">
                  <c:v>2</c:v>
                </c:pt>
                <c:pt idx="89">
                  <c:v>5.4</c:v>
                </c:pt>
                <c:pt idx="90">
                  <c:v>3.2</c:v>
                </c:pt>
                <c:pt idx="91">
                  <c:v>2.7</c:v>
                </c:pt>
                <c:pt idx="92">
                  <c:v>2.2000000000000002</c:v>
                </c:pt>
                <c:pt idx="93">
                  <c:v>2.2999999999999998</c:v>
                </c:pt>
                <c:pt idx="94">
                  <c:v>2.4</c:v>
                </c:pt>
                <c:pt idx="95">
                  <c:v>1.6</c:v>
                </c:pt>
                <c:pt idx="96">
                  <c:v>2.4</c:v>
                </c:pt>
                <c:pt idx="97">
                  <c:v>2.5</c:v>
                </c:pt>
                <c:pt idx="98">
                  <c:v>3.4</c:v>
                </c:pt>
                <c:pt idx="99">
                  <c:v>2.2999999999999998</c:v>
                </c:pt>
                <c:pt idx="100">
                  <c:v>1.6</c:v>
                </c:pt>
                <c:pt idx="101">
                  <c:v>3.4</c:v>
                </c:pt>
              </c:numCache>
            </c:numRef>
          </c:val>
          <c:smooth val="0"/>
          <c:extLst>
            <c:ext xmlns:c16="http://schemas.microsoft.com/office/drawing/2014/chart" uri="{C3380CC4-5D6E-409C-BE32-E72D297353CC}">
              <c16:uniqueId val="{00000000-136E-4F87-9C6D-1048414984CE}"/>
            </c:ext>
          </c:extLst>
        </c:ser>
        <c:ser>
          <c:idx val="1"/>
          <c:order val="1"/>
          <c:tx>
            <c:strRef>
              <c:f>'[1]Environmental data'!$A$17</c:f>
              <c:strCache>
                <c:ptCount val="1"/>
                <c:pt idx="0">
                  <c:v>Temperature (ºC) </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multiLvlStrRef>
              <c:f>'[1]Environmental data'!$B$14:$CY$15</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data'!$B$17:$CY$17</c:f>
              <c:numCache>
                <c:formatCode>General</c:formatCode>
                <c:ptCount val="102"/>
                <c:pt idx="0">
                  <c:v>1.06</c:v>
                </c:pt>
                <c:pt idx="1">
                  <c:v>1.61</c:v>
                </c:pt>
                <c:pt idx="2">
                  <c:v>2.5499999999999998</c:v>
                </c:pt>
                <c:pt idx="3">
                  <c:v>2.27</c:v>
                </c:pt>
                <c:pt idx="4">
                  <c:v>2.72</c:v>
                </c:pt>
                <c:pt idx="5">
                  <c:v>2.99</c:v>
                </c:pt>
                <c:pt idx="6">
                  <c:v>3.32</c:v>
                </c:pt>
                <c:pt idx="7">
                  <c:v>3.65</c:v>
                </c:pt>
                <c:pt idx="8">
                  <c:v>4.59</c:v>
                </c:pt>
                <c:pt idx="9">
                  <c:v>4.33</c:v>
                </c:pt>
                <c:pt idx="10">
                  <c:v>0.55000000000000004</c:v>
                </c:pt>
                <c:pt idx="11">
                  <c:v>0.96</c:v>
                </c:pt>
                <c:pt idx="12">
                  <c:v>1.1200000000000001</c:v>
                </c:pt>
                <c:pt idx="13">
                  <c:v>1.27</c:v>
                </c:pt>
                <c:pt idx="14">
                  <c:v>1.04</c:v>
                </c:pt>
                <c:pt idx="15">
                  <c:v>0.76</c:v>
                </c:pt>
                <c:pt idx="16">
                  <c:v>1.52</c:v>
                </c:pt>
                <c:pt idx="17">
                  <c:v>1.7</c:v>
                </c:pt>
                <c:pt idx="18">
                  <c:v>2.33</c:v>
                </c:pt>
                <c:pt idx="19">
                  <c:v>2.56</c:v>
                </c:pt>
                <c:pt idx="20">
                  <c:v>2.0099999999999998</c:v>
                </c:pt>
                <c:pt idx="21">
                  <c:v>1.9</c:v>
                </c:pt>
                <c:pt idx="22">
                  <c:v>2.37</c:v>
                </c:pt>
                <c:pt idx="23">
                  <c:v>2.2799999999999998</c:v>
                </c:pt>
                <c:pt idx="24">
                  <c:v>2.13</c:v>
                </c:pt>
                <c:pt idx="25">
                  <c:v>2.12</c:v>
                </c:pt>
                <c:pt idx="26">
                  <c:v>2.4900000000000002</c:v>
                </c:pt>
                <c:pt idx="27">
                  <c:v>2.2799999999999998</c:v>
                </c:pt>
                <c:pt idx="28">
                  <c:v>2.69</c:v>
                </c:pt>
                <c:pt idx="29">
                  <c:v>3.47</c:v>
                </c:pt>
                <c:pt idx="30">
                  <c:v>6.59</c:v>
                </c:pt>
                <c:pt idx="31">
                  <c:v>6.07</c:v>
                </c:pt>
                <c:pt idx="32">
                  <c:v>5.73</c:v>
                </c:pt>
                <c:pt idx="33">
                  <c:v>5.8</c:v>
                </c:pt>
                <c:pt idx="34">
                  <c:v>6.07</c:v>
                </c:pt>
                <c:pt idx="35">
                  <c:v>5.82</c:v>
                </c:pt>
                <c:pt idx="36">
                  <c:v>4.9800000000000004</c:v>
                </c:pt>
                <c:pt idx="37">
                  <c:v>7.48</c:v>
                </c:pt>
                <c:pt idx="38">
                  <c:v>5.82</c:v>
                </c:pt>
                <c:pt idx="39">
                  <c:v>5.98</c:v>
                </c:pt>
                <c:pt idx="40">
                  <c:v>13.3</c:v>
                </c:pt>
                <c:pt idx="41">
                  <c:v>12.04</c:v>
                </c:pt>
                <c:pt idx="42">
                  <c:v>12.15</c:v>
                </c:pt>
                <c:pt idx="43">
                  <c:v>11.84</c:v>
                </c:pt>
                <c:pt idx="44">
                  <c:v>11.19</c:v>
                </c:pt>
                <c:pt idx="45">
                  <c:v>13.02</c:v>
                </c:pt>
                <c:pt idx="46">
                  <c:v>10.75</c:v>
                </c:pt>
                <c:pt idx="47">
                  <c:v>10.33</c:v>
                </c:pt>
                <c:pt idx="48">
                  <c:v>10.14</c:v>
                </c:pt>
                <c:pt idx="49">
                  <c:v>10.039999999999999</c:v>
                </c:pt>
                <c:pt idx="52">
                  <c:v>20.75</c:v>
                </c:pt>
                <c:pt idx="53">
                  <c:v>20.309999999999999</c:v>
                </c:pt>
                <c:pt idx="54">
                  <c:v>21.78</c:v>
                </c:pt>
                <c:pt idx="55">
                  <c:v>21.91</c:v>
                </c:pt>
                <c:pt idx="56">
                  <c:v>21.66</c:v>
                </c:pt>
                <c:pt idx="57">
                  <c:v>24.52</c:v>
                </c:pt>
                <c:pt idx="58">
                  <c:v>23.95</c:v>
                </c:pt>
                <c:pt idx="59">
                  <c:v>22.04</c:v>
                </c:pt>
                <c:pt idx="60">
                  <c:v>23.2</c:v>
                </c:pt>
                <c:pt idx="61">
                  <c:v>23.46</c:v>
                </c:pt>
                <c:pt idx="62">
                  <c:v>23.44</c:v>
                </c:pt>
                <c:pt idx="63">
                  <c:v>22.9</c:v>
                </c:pt>
                <c:pt idx="64">
                  <c:v>23.03</c:v>
                </c:pt>
                <c:pt idx="65">
                  <c:v>23.39</c:v>
                </c:pt>
                <c:pt idx="66">
                  <c:v>23.18</c:v>
                </c:pt>
                <c:pt idx="67">
                  <c:v>24.14</c:v>
                </c:pt>
                <c:pt idx="68">
                  <c:v>23.7</c:v>
                </c:pt>
                <c:pt idx="69">
                  <c:v>23.51</c:v>
                </c:pt>
                <c:pt idx="70">
                  <c:v>24.02</c:v>
                </c:pt>
                <c:pt idx="71">
                  <c:v>23.37</c:v>
                </c:pt>
                <c:pt idx="72">
                  <c:v>23.2</c:v>
                </c:pt>
                <c:pt idx="73">
                  <c:v>23.89</c:v>
                </c:pt>
                <c:pt idx="74">
                  <c:v>18.510000000000002</c:v>
                </c:pt>
                <c:pt idx="75">
                  <c:v>18.29</c:v>
                </c:pt>
                <c:pt idx="76">
                  <c:v>18.57</c:v>
                </c:pt>
                <c:pt idx="77">
                  <c:v>18.809999999999999</c:v>
                </c:pt>
                <c:pt idx="78">
                  <c:v>19.03</c:v>
                </c:pt>
                <c:pt idx="79">
                  <c:v>18.95</c:v>
                </c:pt>
                <c:pt idx="80">
                  <c:v>19.66</c:v>
                </c:pt>
                <c:pt idx="81">
                  <c:v>19.09</c:v>
                </c:pt>
                <c:pt idx="82">
                  <c:v>19.09</c:v>
                </c:pt>
                <c:pt idx="83">
                  <c:v>18.87</c:v>
                </c:pt>
                <c:pt idx="84">
                  <c:v>14.26</c:v>
                </c:pt>
                <c:pt idx="85">
                  <c:v>14.9</c:v>
                </c:pt>
                <c:pt idx="86">
                  <c:v>15.32</c:v>
                </c:pt>
                <c:pt idx="87">
                  <c:v>15.35</c:v>
                </c:pt>
                <c:pt idx="88">
                  <c:v>14.81</c:v>
                </c:pt>
                <c:pt idx="89">
                  <c:v>13.34</c:v>
                </c:pt>
                <c:pt idx="90">
                  <c:v>14.89</c:v>
                </c:pt>
                <c:pt idx="91">
                  <c:v>14.76</c:v>
                </c:pt>
                <c:pt idx="92">
                  <c:v>14.23</c:v>
                </c:pt>
                <c:pt idx="93">
                  <c:v>9.64</c:v>
                </c:pt>
                <c:pt idx="94">
                  <c:v>9.86</c:v>
                </c:pt>
                <c:pt idx="95">
                  <c:v>10.31</c:v>
                </c:pt>
                <c:pt idx="96">
                  <c:v>10.47</c:v>
                </c:pt>
                <c:pt idx="97">
                  <c:v>9.6300000000000008</c:v>
                </c:pt>
                <c:pt idx="98">
                  <c:v>9.9600000000000009</c:v>
                </c:pt>
                <c:pt idx="99">
                  <c:v>10.93</c:v>
                </c:pt>
                <c:pt idx="100">
                  <c:v>10.6</c:v>
                </c:pt>
                <c:pt idx="101">
                  <c:v>10.7</c:v>
                </c:pt>
              </c:numCache>
            </c:numRef>
          </c:val>
          <c:smooth val="0"/>
          <c:extLst>
            <c:ext xmlns:c16="http://schemas.microsoft.com/office/drawing/2014/chart" uri="{C3380CC4-5D6E-409C-BE32-E72D297353CC}">
              <c16:uniqueId val="{00000001-136E-4F87-9C6D-1048414984CE}"/>
            </c:ext>
          </c:extLst>
        </c:ser>
        <c:ser>
          <c:idx val="2"/>
          <c:order val="2"/>
          <c:tx>
            <c:strRef>
              <c:f>'[1]Environmental data'!$A$18</c:f>
              <c:strCache>
                <c:ptCount val="1"/>
                <c:pt idx="0">
                  <c:v>Salinity (psu)</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multiLvlStrRef>
              <c:f>'[1]Environmental data'!$B$14:$CY$15</c:f>
              <c:multiLvlStrCache>
                <c:ptCount val="102"/>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J2      </c:v>
                  </c:pt>
                  <c:pt idx="39">
                    <c:v>K2      </c:v>
                  </c:pt>
                  <c:pt idx="40">
                    <c:v>A4      </c:v>
                  </c:pt>
                  <c:pt idx="41">
                    <c:v>B3      </c:v>
                  </c:pt>
                  <c:pt idx="42">
                    <c:v>C1      </c:v>
                  </c:pt>
                  <c:pt idx="43">
                    <c:v>D3      </c:v>
                  </c:pt>
                  <c:pt idx="44">
                    <c:v>E1      </c:v>
                  </c:pt>
                  <c:pt idx="45">
                    <c:v>F2      </c:v>
                  </c:pt>
                  <c:pt idx="46">
                    <c:v>H4      </c:v>
                  </c:pt>
                  <c:pt idx="47">
                    <c:v>I2      </c:v>
                  </c:pt>
                  <c:pt idx="48">
                    <c:v>J2      </c:v>
                  </c:pt>
                  <c:pt idx="49">
                    <c:v>K2      </c:v>
                  </c:pt>
                  <c:pt idx="52">
                    <c:v>A4      </c:v>
                  </c:pt>
                  <c:pt idx="53">
                    <c:v>B3      </c:v>
                  </c:pt>
                  <c:pt idx="54">
                    <c:v>C1      </c:v>
                  </c:pt>
                  <c:pt idx="55">
                    <c:v>D3      </c:v>
                  </c:pt>
                  <c:pt idx="56">
                    <c:v>E1      </c:v>
                  </c:pt>
                  <c:pt idx="57">
                    <c:v>F2      </c:v>
                  </c:pt>
                  <c:pt idx="58">
                    <c:v>H4      </c:v>
                  </c:pt>
                  <c:pt idx="59">
                    <c:v>A4      </c:v>
                  </c:pt>
                  <c:pt idx="60">
                    <c:v>B3      </c:v>
                  </c:pt>
                  <c:pt idx="61">
                    <c:v>C1      </c:v>
                  </c:pt>
                  <c:pt idx="62">
                    <c:v>D3      </c:v>
                  </c:pt>
                  <c:pt idx="63">
                    <c:v>E1      </c:v>
                  </c:pt>
                  <c:pt idx="64">
                    <c:v>F2      </c:v>
                  </c:pt>
                  <c:pt idx="65">
                    <c:v>H4      </c:v>
                  </c:pt>
                  <c:pt idx="66">
                    <c:v>A4      </c:v>
                  </c:pt>
                  <c:pt idx="67">
                    <c:v>B3      </c:v>
                  </c:pt>
                  <c:pt idx="68">
                    <c:v>C1      </c:v>
                  </c:pt>
                  <c:pt idx="69">
                    <c:v>D3      </c:v>
                  </c:pt>
                  <c:pt idx="70">
                    <c:v>E1      </c:v>
                  </c:pt>
                  <c:pt idx="71">
                    <c:v>F2      </c:v>
                  </c:pt>
                  <c:pt idx="72">
                    <c:v>H4      </c:v>
                  </c:pt>
                  <c:pt idx="73">
                    <c:v>I2      </c:v>
                  </c:pt>
                  <c:pt idx="74">
                    <c:v>A4      </c:v>
                  </c:pt>
                  <c:pt idx="75">
                    <c:v>B3      </c:v>
                  </c:pt>
                  <c:pt idx="76">
                    <c:v>C1      </c:v>
                  </c:pt>
                  <c:pt idx="77">
                    <c:v>D3      </c:v>
                  </c:pt>
                  <c:pt idx="78">
                    <c:v>E1      </c:v>
                  </c:pt>
                  <c:pt idx="79">
                    <c:v>F2      </c:v>
                  </c:pt>
                  <c:pt idx="80">
                    <c:v>H4      </c:v>
                  </c:pt>
                  <c:pt idx="81">
                    <c:v>I2      </c:v>
                  </c:pt>
                  <c:pt idx="82">
                    <c:v>J2      </c:v>
                  </c:pt>
                  <c:pt idx="83">
                    <c:v>K2      </c:v>
                  </c:pt>
                  <c:pt idx="84">
                    <c:v>A4      </c:v>
                  </c:pt>
                  <c:pt idx="85">
                    <c:v>B3      </c:v>
                  </c:pt>
                  <c:pt idx="86">
                    <c:v>C1      </c:v>
                  </c:pt>
                  <c:pt idx="87">
                    <c:v>D3      </c:v>
                  </c:pt>
                  <c:pt idx="88">
                    <c:v>E1      </c:v>
                  </c:pt>
                  <c:pt idx="89">
                    <c:v>F2      </c:v>
                  </c:pt>
                  <c:pt idx="90">
                    <c:v>H4      </c:v>
                  </c:pt>
                  <c:pt idx="91">
                    <c:v>I2      </c:v>
                  </c:pt>
                  <c:pt idx="92">
                    <c:v>J2      </c:v>
                  </c:pt>
                  <c:pt idx="93">
                    <c:v>A4      </c:v>
                  </c:pt>
                  <c:pt idx="94">
                    <c:v>B3      </c:v>
                  </c:pt>
                  <c:pt idx="95">
                    <c:v>C1      </c:v>
                  </c:pt>
                  <c:pt idx="96">
                    <c:v>D3      </c:v>
                  </c:pt>
                  <c:pt idx="97">
                    <c:v>E1      </c:v>
                  </c:pt>
                  <c:pt idx="98">
                    <c:v>F2      </c:v>
                  </c:pt>
                  <c:pt idx="99">
                    <c:v>H4      </c:v>
                  </c:pt>
                  <c:pt idx="100">
                    <c:v>I2      </c:v>
                  </c:pt>
                  <c:pt idx="101">
                    <c:v>J2      </c:v>
                  </c:pt>
                </c:lvl>
                <c:lvl>
                  <c:pt idx="0">
                    <c:v>Jan</c:v>
                  </c:pt>
                  <c:pt idx="10">
                    <c:v>Feb</c:v>
                  </c:pt>
                  <c:pt idx="20">
                    <c:v>Mar</c:v>
                  </c:pt>
                  <c:pt idx="30">
                    <c:v>Apr</c:v>
                  </c:pt>
                  <c:pt idx="40">
                    <c:v>May</c:v>
                  </c:pt>
                  <c:pt idx="50">
                    <c:v>Jun</c:v>
                  </c:pt>
                  <c:pt idx="52">
                    <c:v>Jul</c:v>
                  </c:pt>
                  <c:pt idx="59">
                    <c:v>Aug</c:v>
                  </c:pt>
                  <c:pt idx="66">
                    <c:v>Sep</c:v>
                  </c:pt>
                  <c:pt idx="74">
                    <c:v>Oct</c:v>
                  </c:pt>
                  <c:pt idx="84">
                    <c:v>Nov</c:v>
                  </c:pt>
                  <c:pt idx="93">
                    <c:v>Dec</c:v>
                  </c:pt>
                </c:lvl>
              </c:multiLvlStrCache>
            </c:multiLvlStrRef>
          </c:cat>
          <c:val>
            <c:numRef>
              <c:f>'[1]Environmental data'!$B$18:$CY$18</c:f>
              <c:numCache>
                <c:formatCode>General</c:formatCode>
                <c:ptCount val="102"/>
                <c:pt idx="0">
                  <c:v>25.73</c:v>
                </c:pt>
                <c:pt idx="1">
                  <c:v>26.09</c:v>
                </c:pt>
                <c:pt idx="2">
                  <c:v>26.44</c:v>
                </c:pt>
                <c:pt idx="3">
                  <c:v>26.45</c:v>
                </c:pt>
                <c:pt idx="4">
                  <c:v>26.41</c:v>
                </c:pt>
                <c:pt idx="5">
                  <c:v>26.5</c:v>
                </c:pt>
                <c:pt idx="6">
                  <c:v>26.99</c:v>
                </c:pt>
                <c:pt idx="7">
                  <c:v>27.41</c:v>
                </c:pt>
                <c:pt idx="8">
                  <c:v>28.82</c:v>
                </c:pt>
                <c:pt idx="9">
                  <c:v>27.61</c:v>
                </c:pt>
                <c:pt idx="10">
                  <c:v>25.14</c:v>
                </c:pt>
                <c:pt idx="11">
                  <c:v>26.16</c:v>
                </c:pt>
                <c:pt idx="12">
                  <c:v>26.4</c:v>
                </c:pt>
                <c:pt idx="13">
                  <c:v>26.63</c:v>
                </c:pt>
                <c:pt idx="14">
                  <c:v>27.04</c:v>
                </c:pt>
                <c:pt idx="15">
                  <c:v>25.42</c:v>
                </c:pt>
                <c:pt idx="16">
                  <c:v>27.03</c:v>
                </c:pt>
                <c:pt idx="17">
                  <c:v>27.15</c:v>
                </c:pt>
                <c:pt idx="18">
                  <c:v>28.19</c:v>
                </c:pt>
                <c:pt idx="19">
                  <c:v>28.45</c:v>
                </c:pt>
                <c:pt idx="20">
                  <c:v>25.7</c:v>
                </c:pt>
                <c:pt idx="21">
                  <c:v>25.92</c:v>
                </c:pt>
                <c:pt idx="22">
                  <c:v>26.11</c:v>
                </c:pt>
                <c:pt idx="23">
                  <c:v>26.07</c:v>
                </c:pt>
                <c:pt idx="24">
                  <c:v>26.06</c:v>
                </c:pt>
                <c:pt idx="25">
                  <c:v>25.61</c:v>
                </c:pt>
                <c:pt idx="26">
                  <c:v>26.83</c:v>
                </c:pt>
                <c:pt idx="27">
                  <c:v>27.37</c:v>
                </c:pt>
                <c:pt idx="28">
                  <c:v>27.61</c:v>
                </c:pt>
                <c:pt idx="29">
                  <c:v>25.46</c:v>
                </c:pt>
                <c:pt idx="30">
                  <c:v>23.59</c:v>
                </c:pt>
                <c:pt idx="31">
                  <c:v>24.07</c:v>
                </c:pt>
                <c:pt idx="32">
                  <c:v>24.35</c:v>
                </c:pt>
                <c:pt idx="33">
                  <c:v>24.23</c:v>
                </c:pt>
                <c:pt idx="34">
                  <c:v>23.83</c:v>
                </c:pt>
                <c:pt idx="35">
                  <c:v>24.57</c:v>
                </c:pt>
                <c:pt idx="36">
                  <c:v>26.21</c:v>
                </c:pt>
                <c:pt idx="37">
                  <c:v>25.37</c:v>
                </c:pt>
                <c:pt idx="38">
                  <c:v>25.68</c:v>
                </c:pt>
                <c:pt idx="39">
                  <c:v>24.72</c:v>
                </c:pt>
                <c:pt idx="40">
                  <c:v>23.43</c:v>
                </c:pt>
                <c:pt idx="41">
                  <c:v>23.87</c:v>
                </c:pt>
                <c:pt idx="42">
                  <c:v>24.39</c:v>
                </c:pt>
                <c:pt idx="43">
                  <c:v>24.45</c:v>
                </c:pt>
                <c:pt idx="44">
                  <c:v>24.86</c:v>
                </c:pt>
                <c:pt idx="45">
                  <c:v>24.32</c:v>
                </c:pt>
                <c:pt idx="46">
                  <c:v>25.09</c:v>
                </c:pt>
                <c:pt idx="47">
                  <c:v>25.09</c:v>
                </c:pt>
                <c:pt idx="48">
                  <c:v>26.83</c:v>
                </c:pt>
                <c:pt idx="49">
                  <c:v>25.12</c:v>
                </c:pt>
                <c:pt idx="52">
                  <c:v>25.96</c:v>
                </c:pt>
                <c:pt idx="53">
                  <c:v>26.09</c:v>
                </c:pt>
                <c:pt idx="54">
                  <c:v>26.07</c:v>
                </c:pt>
                <c:pt idx="55">
                  <c:v>26.77</c:v>
                </c:pt>
                <c:pt idx="56">
                  <c:v>26.79</c:v>
                </c:pt>
                <c:pt idx="57">
                  <c:v>26.53</c:v>
                </c:pt>
                <c:pt idx="58">
                  <c:v>26.74</c:v>
                </c:pt>
                <c:pt idx="59">
                  <c:v>26.5</c:v>
                </c:pt>
                <c:pt idx="60">
                  <c:v>26.87</c:v>
                </c:pt>
                <c:pt idx="61">
                  <c:v>26.98</c:v>
                </c:pt>
                <c:pt idx="62">
                  <c:v>27.29</c:v>
                </c:pt>
                <c:pt idx="63">
                  <c:v>27.21</c:v>
                </c:pt>
                <c:pt idx="64">
                  <c:v>27.37</c:v>
                </c:pt>
                <c:pt idx="65">
                  <c:v>27.86</c:v>
                </c:pt>
                <c:pt idx="66">
                  <c:v>26.77</c:v>
                </c:pt>
                <c:pt idx="67">
                  <c:v>27.17</c:v>
                </c:pt>
                <c:pt idx="68">
                  <c:v>27.6</c:v>
                </c:pt>
                <c:pt idx="69">
                  <c:v>27.8</c:v>
                </c:pt>
                <c:pt idx="70">
                  <c:v>28.15</c:v>
                </c:pt>
                <c:pt idx="71">
                  <c:v>27.89</c:v>
                </c:pt>
                <c:pt idx="72">
                  <c:v>28.2</c:v>
                </c:pt>
                <c:pt idx="73">
                  <c:v>28.67</c:v>
                </c:pt>
                <c:pt idx="74">
                  <c:v>26.27</c:v>
                </c:pt>
                <c:pt idx="75">
                  <c:v>26.79</c:v>
                </c:pt>
                <c:pt idx="76">
                  <c:v>27.45</c:v>
                </c:pt>
                <c:pt idx="77">
                  <c:v>27.93</c:v>
                </c:pt>
                <c:pt idx="78">
                  <c:v>28.48</c:v>
                </c:pt>
                <c:pt idx="79">
                  <c:v>28.31</c:v>
                </c:pt>
                <c:pt idx="80">
                  <c:v>29.09</c:v>
                </c:pt>
                <c:pt idx="81">
                  <c:v>29.66</c:v>
                </c:pt>
                <c:pt idx="82">
                  <c:v>29.66</c:v>
                </c:pt>
                <c:pt idx="83">
                  <c:v>28.77</c:v>
                </c:pt>
                <c:pt idx="84">
                  <c:v>27.25</c:v>
                </c:pt>
                <c:pt idx="85">
                  <c:v>27.94</c:v>
                </c:pt>
                <c:pt idx="86">
                  <c:v>28.3</c:v>
                </c:pt>
                <c:pt idx="87">
                  <c:v>28.32</c:v>
                </c:pt>
                <c:pt idx="88">
                  <c:v>28.51</c:v>
                </c:pt>
                <c:pt idx="89">
                  <c:v>27.21</c:v>
                </c:pt>
                <c:pt idx="90">
                  <c:v>28.73</c:v>
                </c:pt>
                <c:pt idx="91">
                  <c:v>28.91</c:v>
                </c:pt>
                <c:pt idx="92">
                  <c:v>29.45</c:v>
                </c:pt>
                <c:pt idx="93">
                  <c:v>27.13</c:v>
                </c:pt>
                <c:pt idx="94">
                  <c:v>27.83</c:v>
                </c:pt>
                <c:pt idx="95">
                  <c:v>28.05</c:v>
                </c:pt>
                <c:pt idx="96">
                  <c:v>28.28</c:v>
                </c:pt>
                <c:pt idx="97">
                  <c:v>27.65</c:v>
                </c:pt>
                <c:pt idx="98">
                  <c:v>27.5</c:v>
                </c:pt>
                <c:pt idx="99">
                  <c:v>28.43</c:v>
                </c:pt>
                <c:pt idx="100">
                  <c:v>28.73</c:v>
                </c:pt>
                <c:pt idx="101">
                  <c:v>28.93</c:v>
                </c:pt>
              </c:numCache>
            </c:numRef>
          </c:val>
          <c:smooth val="0"/>
          <c:extLst>
            <c:ext xmlns:c16="http://schemas.microsoft.com/office/drawing/2014/chart" uri="{C3380CC4-5D6E-409C-BE32-E72D297353CC}">
              <c16:uniqueId val="{00000002-136E-4F87-9C6D-1048414984CE}"/>
            </c:ext>
          </c:extLst>
        </c:ser>
        <c:dLbls>
          <c:showLegendKey val="0"/>
          <c:showVal val="0"/>
          <c:showCatName val="0"/>
          <c:showSerName val="0"/>
          <c:showPercent val="0"/>
          <c:showBubbleSize val="0"/>
        </c:dLbls>
        <c:marker val="1"/>
        <c:smooth val="0"/>
        <c:axId val="1525686831"/>
        <c:axId val="1525690575"/>
      </c:lineChart>
      <c:catAx>
        <c:axId val="1525686831"/>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525690575"/>
        <c:crosses val="autoZero"/>
        <c:auto val="1"/>
        <c:lblAlgn val="ctr"/>
        <c:lblOffset val="100"/>
        <c:tickMarkSkip val="1"/>
        <c:noMultiLvlLbl val="0"/>
      </c:catAx>
      <c:valAx>
        <c:axId val="152569057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1525686831"/>
        <c:crossesAt val="1"/>
        <c:crossBetween val="midCat"/>
      </c:valAx>
      <c:spPr>
        <a:noFill/>
        <a:ln>
          <a:noFill/>
        </a:ln>
        <a:effectLst/>
      </c:spPr>
    </c:plotArea>
    <c:legend>
      <c:legendPos val="b"/>
      <c:layout>
        <c:manualLayout>
          <c:xMode val="edge"/>
          <c:yMode val="edge"/>
          <c:x val="0.35786072886612508"/>
          <c:y val="0.90848028220482546"/>
          <c:w val="0.33011037489369099"/>
          <c:h val="9.1223813375755788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US" sz="1800" b="1" i="0" u="none" strike="noStrike" baseline="0">
                <a:effectLst/>
              </a:rPr>
              <a:t>Temporal and spatial variations of of Long Island Sound phytoplankton cell abundance in 2010</a:t>
            </a:r>
            <a:endParaRPr lang="en-US" sz="1800" b="1"/>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621681702782189E-2"/>
          <c:y val="0.15616851601989648"/>
          <c:w val="0.94285662716800056"/>
          <c:h val="0.59674003665142883"/>
        </c:manualLayout>
      </c:layout>
      <c:barChart>
        <c:barDir val="col"/>
        <c:grouping val="stacked"/>
        <c:varyColors val="0"/>
        <c:ser>
          <c:idx val="0"/>
          <c:order val="0"/>
          <c:tx>
            <c:strRef>
              <c:f>'[1]Cell abundance'!$A$3</c:f>
              <c:strCache>
                <c:ptCount val="1"/>
                <c:pt idx="0">
                  <c:v>Diatom</c:v>
                </c:pt>
              </c:strCache>
            </c:strRef>
          </c:tx>
          <c:spPr>
            <a:solidFill>
              <a:schemeClr val="accent1"/>
            </a:solidFill>
            <a:ln>
              <a:noFill/>
            </a:ln>
            <a:effectLst/>
          </c:spPr>
          <c:invertIfNegative val="0"/>
          <c:cat>
            <c:multiLvlStrRef>
              <c:f>'[1]Cell abundance'!$B$1:$CT$2</c:f>
              <c:multiLvlStrCache>
                <c:ptCount val="97"/>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K2      </c:v>
                  </c:pt>
                  <c:pt idx="39">
                    <c:v>A4      </c:v>
                  </c:pt>
                  <c:pt idx="40">
                    <c:v>B3      </c:v>
                  </c:pt>
                  <c:pt idx="41">
                    <c:v>C1      </c:v>
                  </c:pt>
                  <c:pt idx="42">
                    <c:v>D3      </c:v>
                  </c:pt>
                  <c:pt idx="43">
                    <c:v>E1      </c:v>
                  </c:pt>
                  <c:pt idx="44">
                    <c:v>F2      </c:v>
                  </c:pt>
                  <c:pt idx="45">
                    <c:v>H4      </c:v>
                  </c:pt>
                  <c:pt idx="46">
                    <c:v>I2      </c:v>
                  </c:pt>
                  <c:pt idx="47">
                    <c:v>J2      </c:v>
                  </c:pt>
                  <c:pt idx="48">
                    <c:v>K2      </c:v>
                  </c:pt>
                  <c:pt idx="51">
                    <c:v>A4      </c:v>
                  </c:pt>
                  <c:pt idx="52">
                    <c:v>B3      </c:v>
                  </c:pt>
                  <c:pt idx="53">
                    <c:v>D3      </c:v>
                  </c:pt>
                  <c:pt idx="54">
                    <c:v>E1      </c:v>
                  </c:pt>
                  <c:pt idx="55">
                    <c:v>F2      </c:v>
                  </c:pt>
                  <c:pt idx="56">
                    <c:v>H4      </c:v>
                  </c:pt>
                  <c:pt idx="57">
                    <c:v>A4      </c:v>
                  </c:pt>
                  <c:pt idx="58">
                    <c:v>B3      </c:v>
                  </c:pt>
                  <c:pt idx="59">
                    <c:v>C1      </c:v>
                  </c:pt>
                  <c:pt idx="60">
                    <c:v>D3      </c:v>
                  </c:pt>
                  <c:pt idx="61">
                    <c:v>F2      </c:v>
                  </c:pt>
                  <c:pt idx="62">
                    <c:v>H4      </c:v>
                  </c:pt>
                  <c:pt idx="63">
                    <c:v>B3      </c:v>
                  </c:pt>
                  <c:pt idx="64">
                    <c:v>D3      </c:v>
                  </c:pt>
                  <c:pt idx="65">
                    <c:v>E1      </c:v>
                  </c:pt>
                  <c:pt idx="66">
                    <c:v>F2      </c:v>
                  </c:pt>
                  <c:pt idx="67">
                    <c:v>H4      </c:v>
                  </c:pt>
                  <c:pt idx="68">
                    <c:v>I2      </c:v>
                  </c:pt>
                  <c:pt idx="69">
                    <c:v>A4      </c:v>
                  </c:pt>
                  <c:pt idx="70">
                    <c:v>B3      </c:v>
                  </c:pt>
                  <c:pt idx="71">
                    <c:v>C1      </c:v>
                  </c:pt>
                  <c:pt idx="72">
                    <c:v>D3      </c:v>
                  </c:pt>
                  <c:pt idx="73">
                    <c:v>E1      </c:v>
                  </c:pt>
                  <c:pt idx="74">
                    <c:v>F2      </c:v>
                  </c:pt>
                  <c:pt idx="75">
                    <c:v>H4      </c:v>
                  </c:pt>
                  <c:pt idx="76">
                    <c:v>I2      </c:v>
                  </c:pt>
                  <c:pt idx="77">
                    <c:v>J2      </c:v>
                  </c:pt>
                  <c:pt idx="78">
                    <c:v>K2      </c:v>
                  </c:pt>
                  <c:pt idx="79">
                    <c:v>A4      </c:v>
                  </c:pt>
                  <c:pt idx="80">
                    <c:v>B3      </c:v>
                  </c:pt>
                  <c:pt idx="81">
                    <c:v>C1      </c:v>
                  </c:pt>
                  <c:pt idx="82">
                    <c:v>D3      </c:v>
                  </c:pt>
                  <c:pt idx="83">
                    <c:v>E1      </c:v>
                  </c:pt>
                  <c:pt idx="84">
                    <c:v>F2      </c:v>
                  </c:pt>
                  <c:pt idx="85">
                    <c:v>H4      </c:v>
                  </c:pt>
                  <c:pt idx="86">
                    <c:v>I2      </c:v>
                  </c:pt>
                  <c:pt idx="87">
                    <c:v>J2      </c:v>
                  </c:pt>
                  <c:pt idx="88">
                    <c:v>A4      </c:v>
                  </c:pt>
                  <c:pt idx="89">
                    <c:v>B3      </c:v>
                  </c:pt>
                  <c:pt idx="90">
                    <c:v>C1      </c:v>
                  </c:pt>
                  <c:pt idx="91">
                    <c:v>D3      </c:v>
                  </c:pt>
                  <c:pt idx="92">
                    <c:v>E1      </c:v>
                  </c:pt>
                  <c:pt idx="93">
                    <c:v>F2      </c:v>
                  </c:pt>
                  <c:pt idx="94">
                    <c:v>H4      </c:v>
                  </c:pt>
                  <c:pt idx="95">
                    <c:v>I2      </c:v>
                  </c:pt>
                  <c:pt idx="96">
                    <c:v>J2      </c:v>
                  </c:pt>
                </c:lvl>
                <c:lvl>
                  <c:pt idx="0">
                    <c:v>Jan</c:v>
                  </c:pt>
                  <c:pt idx="10">
                    <c:v>Feb</c:v>
                  </c:pt>
                  <c:pt idx="20">
                    <c:v>Mar</c:v>
                  </c:pt>
                  <c:pt idx="30">
                    <c:v>Apr</c:v>
                  </c:pt>
                  <c:pt idx="39">
                    <c:v>May</c:v>
                  </c:pt>
                  <c:pt idx="49">
                    <c:v>Jun</c:v>
                  </c:pt>
                  <c:pt idx="51">
                    <c:v>Jul</c:v>
                  </c:pt>
                  <c:pt idx="57">
                    <c:v>Aug</c:v>
                  </c:pt>
                  <c:pt idx="63">
                    <c:v>Sep</c:v>
                  </c:pt>
                  <c:pt idx="69">
                    <c:v>Oct</c:v>
                  </c:pt>
                  <c:pt idx="79">
                    <c:v>Nov</c:v>
                  </c:pt>
                  <c:pt idx="88">
                    <c:v>Dec</c:v>
                  </c:pt>
                </c:lvl>
              </c:multiLvlStrCache>
            </c:multiLvlStrRef>
          </c:cat>
          <c:val>
            <c:numRef>
              <c:f>'[1]Cell abundance'!$B$3:$CT$3</c:f>
              <c:numCache>
                <c:formatCode>General</c:formatCode>
                <c:ptCount val="97"/>
                <c:pt idx="0">
                  <c:v>148000</c:v>
                </c:pt>
                <c:pt idx="1">
                  <c:v>152800</c:v>
                </c:pt>
                <c:pt idx="2">
                  <c:v>38200</c:v>
                </c:pt>
                <c:pt idx="3">
                  <c:v>89000</c:v>
                </c:pt>
                <c:pt idx="4">
                  <c:v>112380.95238095238</c:v>
                </c:pt>
                <c:pt idx="5">
                  <c:v>193777.77777777778</c:v>
                </c:pt>
                <c:pt idx="6">
                  <c:v>58240.000000000007</c:v>
                </c:pt>
                <c:pt idx="7">
                  <c:v>125600</c:v>
                </c:pt>
                <c:pt idx="8">
                  <c:v>284280</c:v>
                </c:pt>
                <c:pt idx="9">
                  <c:v>124000</c:v>
                </c:pt>
                <c:pt idx="10">
                  <c:v>2547028</c:v>
                </c:pt>
                <c:pt idx="11">
                  <c:v>3615040</c:v>
                </c:pt>
                <c:pt idx="12">
                  <c:v>2742272</c:v>
                </c:pt>
                <c:pt idx="13">
                  <c:v>2749900</c:v>
                </c:pt>
                <c:pt idx="14">
                  <c:v>1843204</c:v>
                </c:pt>
                <c:pt idx="15">
                  <c:v>2747680</c:v>
                </c:pt>
                <c:pt idx="16">
                  <c:v>1676400</c:v>
                </c:pt>
                <c:pt idx="17">
                  <c:v>1318800</c:v>
                </c:pt>
                <c:pt idx="18">
                  <c:v>1727600</c:v>
                </c:pt>
                <c:pt idx="19">
                  <c:v>376800</c:v>
                </c:pt>
                <c:pt idx="20">
                  <c:v>492752</c:v>
                </c:pt>
                <c:pt idx="21">
                  <c:v>240464</c:v>
                </c:pt>
                <c:pt idx="22">
                  <c:v>195600</c:v>
                </c:pt>
                <c:pt idx="23">
                  <c:v>265600</c:v>
                </c:pt>
                <c:pt idx="24">
                  <c:v>198812</c:v>
                </c:pt>
                <c:pt idx="25">
                  <c:v>336108</c:v>
                </c:pt>
                <c:pt idx="26">
                  <c:v>51200</c:v>
                </c:pt>
                <c:pt idx="27">
                  <c:v>187600</c:v>
                </c:pt>
                <c:pt idx="28">
                  <c:v>120640</c:v>
                </c:pt>
                <c:pt idx="29">
                  <c:v>322121.59999999998</c:v>
                </c:pt>
                <c:pt idx="30">
                  <c:v>191200</c:v>
                </c:pt>
                <c:pt idx="31">
                  <c:v>270848</c:v>
                </c:pt>
                <c:pt idx="32">
                  <c:v>274000</c:v>
                </c:pt>
                <c:pt idx="33">
                  <c:v>215200</c:v>
                </c:pt>
                <c:pt idx="34">
                  <c:v>285200</c:v>
                </c:pt>
                <c:pt idx="35">
                  <c:v>212000</c:v>
                </c:pt>
                <c:pt idx="36">
                  <c:v>199200</c:v>
                </c:pt>
                <c:pt idx="37">
                  <c:v>14000</c:v>
                </c:pt>
                <c:pt idx="38">
                  <c:v>103200</c:v>
                </c:pt>
                <c:pt idx="39">
                  <c:v>656000</c:v>
                </c:pt>
                <c:pt idx="40">
                  <c:v>640800</c:v>
                </c:pt>
                <c:pt idx="41">
                  <c:v>952000</c:v>
                </c:pt>
                <c:pt idx="42">
                  <c:v>1744000</c:v>
                </c:pt>
                <c:pt idx="43">
                  <c:v>2153920</c:v>
                </c:pt>
                <c:pt idx="44">
                  <c:v>1186800</c:v>
                </c:pt>
                <c:pt idx="45">
                  <c:v>86100</c:v>
                </c:pt>
                <c:pt idx="46">
                  <c:v>212000</c:v>
                </c:pt>
                <c:pt idx="47">
                  <c:v>316000</c:v>
                </c:pt>
                <c:pt idx="48">
                  <c:v>289600</c:v>
                </c:pt>
                <c:pt idx="51">
                  <c:v>2152000</c:v>
                </c:pt>
                <c:pt idx="52">
                  <c:v>446940</c:v>
                </c:pt>
                <c:pt idx="53">
                  <c:v>152000</c:v>
                </c:pt>
                <c:pt idx="54">
                  <c:v>226240</c:v>
                </c:pt>
                <c:pt idx="55">
                  <c:v>444000</c:v>
                </c:pt>
                <c:pt idx="56">
                  <c:v>128000</c:v>
                </c:pt>
                <c:pt idx="57">
                  <c:v>1196800</c:v>
                </c:pt>
                <c:pt idx="58">
                  <c:v>104960</c:v>
                </c:pt>
                <c:pt idx="59">
                  <c:v>163333.33333333334</c:v>
                </c:pt>
                <c:pt idx="60">
                  <c:v>113529.41176470589</c:v>
                </c:pt>
                <c:pt idx="61">
                  <c:v>148000</c:v>
                </c:pt>
                <c:pt idx="62">
                  <c:v>10000</c:v>
                </c:pt>
                <c:pt idx="63">
                  <c:v>34200</c:v>
                </c:pt>
                <c:pt idx="64">
                  <c:v>4131428.5714285718</c:v>
                </c:pt>
                <c:pt idx="65">
                  <c:v>226000</c:v>
                </c:pt>
                <c:pt idx="66">
                  <c:v>5946543.7788018426</c:v>
                </c:pt>
                <c:pt idx="67">
                  <c:v>3110714.285714285</c:v>
                </c:pt>
                <c:pt idx="68">
                  <c:v>280000</c:v>
                </c:pt>
                <c:pt idx="69">
                  <c:v>316981.13207547169</c:v>
                </c:pt>
                <c:pt idx="70">
                  <c:v>374509.80392156861</c:v>
                </c:pt>
                <c:pt idx="71">
                  <c:v>661110.88888888876</c:v>
                </c:pt>
                <c:pt idx="72">
                  <c:v>509803.78431372554</c:v>
                </c:pt>
                <c:pt idx="73">
                  <c:v>272727.27272727271</c:v>
                </c:pt>
                <c:pt idx="74">
                  <c:v>272000</c:v>
                </c:pt>
                <c:pt idx="75">
                  <c:v>244000</c:v>
                </c:pt>
                <c:pt idx="76">
                  <c:v>106792.45283018867</c:v>
                </c:pt>
                <c:pt idx="77">
                  <c:v>178909.09090909088</c:v>
                </c:pt>
                <c:pt idx="78">
                  <c:v>182142.85714285713</c:v>
                </c:pt>
                <c:pt idx="79">
                  <c:v>133846.15384615384</c:v>
                </c:pt>
                <c:pt idx="80">
                  <c:v>206101.77966101698</c:v>
                </c:pt>
                <c:pt idx="81">
                  <c:v>236000</c:v>
                </c:pt>
                <c:pt idx="82">
                  <c:v>201904.76190476189</c:v>
                </c:pt>
                <c:pt idx="83">
                  <c:v>232000</c:v>
                </c:pt>
                <c:pt idx="84">
                  <c:v>19328.859060402683</c:v>
                </c:pt>
                <c:pt idx="85">
                  <c:v>258571.42857142858</c:v>
                </c:pt>
                <c:pt idx="86">
                  <c:v>169019.60784313723</c:v>
                </c:pt>
                <c:pt idx="87">
                  <c:v>254901.96078431371</c:v>
                </c:pt>
                <c:pt idx="88">
                  <c:v>164285.71428571426</c:v>
                </c:pt>
                <c:pt idx="89">
                  <c:v>96428.57142857142</c:v>
                </c:pt>
                <c:pt idx="90">
                  <c:v>86037.735849056597</c:v>
                </c:pt>
                <c:pt idx="91">
                  <c:v>50909.090909090897</c:v>
                </c:pt>
                <c:pt idx="92">
                  <c:v>64615.38461538461</c:v>
                </c:pt>
                <c:pt idx="93">
                  <c:v>115384.61538461538</c:v>
                </c:pt>
                <c:pt idx="94">
                  <c:v>116800</c:v>
                </c:pt>
                <c:pt idx="95">
                  <c:v>126800</c:v>
                </c:pt>
                <c:pt idx="96">
                  <c:v>180357.14285714281</c:v>
                </c:pt>
              </c:numCache>
            </c:numRef>
          </c:val>
          <c:extLst>
            <c:ext xmlns:c16="http://schemas.microsoft.com/office/drawing/2014/chart" uri="{C3380CC4-5D6E-409C-BE32-E72D297353CC}">
              <c16:uniqueId val="{00000000-C249-46C4-8643-97AD7E738993}"/>
            </c:ext>
          </c:extLst>
        </c:ser>
        <c:ser>
          <c:idx val="1"/>
          <c:order val="1"/>
          <c:tx>
            <c:strRef>
              <c:f>'[1]Cell abundance'!$A$4</c:f>
              <c:strCache>
                <c:ptCount val="1"/>
                <c:pt idx="0">
                  <c:v>Dinoflagellate</c:v>
                </c:pt>
              </c:strCache>
            </c:strRef>
          </c:tx>
          <c:spPr>
            <a:solidFill>
              <a:schemeClr val="accent2"/>
            </a:solidFill>
            <a:ln>
              <a:noFill/>
            </a:ln>
            <a:effectLst/>
          </c:spPr>
          <c:invertIfNegative val="0"/>
          <c:cat>
            <c:multiLvlStrRef>
              <c:f>'[1]Cell abundance'!$B$1:$CT$2</c:f>
              <c:multiLvlStrCache>
                <c:ptCount val="97"/>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K2      </c:v>
                  </c:pt>
                  <c:pt idx="39">
                    <c:v>A4      </c:v>
                  </c:pt>
                  <c:pt idx="40">
                    <c:v>B3      </c:v>
                  </c:pt>
                  <c:pt idx="41">
                    <c:v>C1      </c:v>
                  </c:pt>
                  <c:pt idx="42">
                    <c:v>D3      </c:v>
                  </c:pt>
                  <c:pt idx="43">
                    <c:v>E1      </c:v>
                  </c:pt>
                  <c:pt idx="44">
                    <c:v>F2      </c:v>
                  </c:pt>
                  <c:pt idx="45">
                    <c:v>H4      </c:v>
                  </c:pt>
                  <c:pt idx="46">
                    <c:v>I2      </c:v>
                  </c:pt>
                  <c:pt idx="47">
                    <c:v>J2      </c:v>
                  </c:pt>
                  <c:pt idx="48">
                    <c:v>K2      </c:v>
                  </c:pt>
                  <c:pt idx="51">
                    <c:v>A4      </c:v>
                  </c:pt>
                  <c:pt idx="52">
                    <c:v>B3      </c:v>
                  </c:pt>
                  <c:pt idx="53">
                    <c:v>D3      </c:v>
                  </c:pt>
                  <c:pt idx="54">
                    <c:v>E1      </c:v>
                  </c:pt>
                  <c:pt idx="55">
                    <c:v>F2      </c:v>
                  </c:pt>
                  <c:pt idx="56">
                    <c:v>H4      </c:v>
                  </c:pt>
                  <c:pt idx="57">
                    <c:v>A4      </c:v>
                  </c:pt>
                  <c:pt idx="58">
                    <c:v>B3      </c:v>
                  </c:pt>
                  <c:pt idx="59">
                    <c:v>C1      </c:v>
                  </c:pt>
                  <c:pt idx="60">
                    <c:v>D3      </c:v>
                  </c:pt>
                  <c:pt idx="61">
                    <c:v>F2      </c:v>
                  </c:pt>
                  <c:pt idx="62">
                    <c:v>H4      </c:v>
                  </c:pt>
                  <c:pt idx="63">
                    <c:v>B3      </c:v>
                  </c:pt>
                  <c:pt idx="64">
                    <c:v>D3      </c:v>
                  </c:pt>
                  <c:pt idx="65">
                    <c:v>E1      </c:v>
                  </c:pt>
                  <c:pt idx="66">
                    <c:v>F2      </c:v>
                  </c:pt>
                  <c:pt idx="67">
                    <c:v>H4      </c:v>
                  </c:pt>
                  <c:pt idx="68">
                    <c:v>I2      </c:v>
                  </c:pt>
                  <c:pt idx="69">
                    <c:v>A4      </c:v>
                  </c:pt>
                  <c:pt idx="70">
                    <c:v>B3      </c:v>
                  </c:pt>
                  <c:pt idx="71">
                    <c:v>C1      </c:v>
                  </c:pt>
                  <c:pt idx="72">
                    <c:v>D3      </c:v>
                  </c:pt>
                  <c:pt idx="73">
                    <c:v>E1      </c:v>
                  </c:pt>
                  <c:pt idx="74">
                    <c:v>F2      </c:v>
                  </c:pt>
                  <c:pt idx="75">
                    <c:v>H4      </c:v>
                  </c:pt>
                  <c:pt idx="76">
                    <c:v>I2      </c:v>
                  </c:pt>
                  <c:pt idx="77">
                    <c:v>J2      </c:v>
                  </c:pt>
                  <c:pt idx="78">
                    <c:v>K2      </c:v>
                  </c:pt>
                  <c:pt idx="79">
                    <c:v>A4      </c:v>
                  </c:pt>
                  <c:pt idx="80">
                    <c:v>B3      </c:v>
                  </c:pt>
                  <c:pt idx="81">
                    <c:v>C1      </c:v>
                  </c:pt>
                  <c:pt idx="82">
                    <c:v>D3      </c:v>
                  </c:pt>
                  <c:pt idx="83">
                    <c:v>E1      </c:v>
                  </c:pt>
                  <c:pt idx="84">
                    <c:v>F2      </c:v>
                  </c:pt>
                  <c:pt idx="85">
                    <c:v>H4      </c:v>
                  </c:pt>
                  <c:pt idx="86">
                    <c:v>I2      </c:v>
                  </c:pt>
                  <c:pt idx="87">
                    <c:v>J2      </c:v>
                  </c:pt>
                  <c:pt idx="88">
                    <c:v>A4      </c:v>
                  </c:pt>
                  <c:pt idx="89">
                    <c:v>B3      </c:v>
                  </c:pt>
                  <c:pt idx="90">
                    <c:v>C1      </c:v>
                  </c:pt>
                  <c:pt idx="91">
                    <c:v>D3      </c:v>
                  </c:pt>
                  <c:pt idx="92">
                    <c:v>E1      </c:v>
                  </c:pt>
                  <c:pt idx="93">
                    <c:v>F2      </c:v>
                  </c:pt>
                  <c:pt idx="94">
                    <c:v>H4      </c:v>
                  </c:pt>
                  <c:pt idx="95">
                    <c:v>I2      </c:v>
                  </c:pt>
                  <c:pt idx="96">
                    <c:v>J2      </c:v>
                  </c:pt>
                </c:lvl>
                <c:lvl>
                  <c:pt idx="0">
                    <c:v>Jan</c:v>
                  </c:pt>
                  <c:pt idx="10">
                    <c:v>Feb</c:v>
                  </c:pt>
                  <c:pt idx="20">
                    <c:v>Mar</c:v>
                  </c:pt>
                  <c:pt idx="30">
                    <c:v>Apr</c:v>
                  </c:pt>
                  <c:pt idx="39">
                    <c:v>May</c:v>
                  </c:pt>
                  <c:pt idx="49">
                    <c:v>Jun</c:v>
                  </c:pt>
                  <c:pt idx="51">
                    <c:v>Jul</c:v>
                  </c:pt>
                  <c:pt idx="57">
                    <c:v>Aug</c:v>
                  </c:pt>
                  <c:pt idx="63">
                    <c:v>Sep</c:v>
                  </c:pt>
                  <c:pt idx="69">
                    <c:v>Oct</c:v>
                  </c:pt>
                  <c:pt idx="79">
                    <c:v>Nov</c:v>
                  </c:pt>
                  <c:pt idx="88">
                    <c:v>Dec</c:v>
                  </c:pt>
                </c:lvl>
              </c:multiLvlStrCache>
            </c:multiLvlStrRef>
          </c:cat>
          <c:val>
            <c:numRef>
              <c:f>'[1]Cell abundance'!$B$4:$CT$4</c:f>
              <c:numCache>
                <c:formatCode>General</c:formatCode>
                <c:ptCount val="97"/>
                <c:pt idx="0">
                  <c:v>80000</c:v>
                </c:pt>
                <c:pt idx="1">
                  <c:v>36000</c:v>
                </c:pt>
                <c:pt idx="2">
                  <c:v>29000</c:v>
                </c:pt>
                <c:pt idx="3">
                  <c:v>26000</c:v>
                </c:pt>
                <c:pt idx="4">
                  <c:v>13571.428571428572</c:v>
                </c:pt>
                <c:pt idx="5">
                  <c:v>40000</c:v>
                </c:pt>
                <c:pt idx="6">
                  <c:v>4576.0000000000009</c:v>
                </c:pt>
                <c:pt idx="7">
                  <c:v>5600</c:v>
                </c:pt>
                <c:pt idx="8">
                  <c:v>5356</c:v>
                </c:pt>
                <c:pt idx="9">
                  <c:v>6400</c:v>
                </c:pt>
                <c:pt idx="10">
                  <c:v>5992</c:v>
                </c:pt>
                <c:pt idx="11">
                  <c:v>4160</c:v>
                </c:pt>
                <c:pt idx="12">
                  <c:v>4120</c:v>
                </c:pt>
                <c:pt idx="13">
                  <c:v>6848</c:v>
                </c:pt>
                <c:pt idx="14">
                  <c:v>3815.9999999999991</c:v>
                </c:pt>
                <c:pt idx="15">
                  <c:v>4576</c:v>
                </c:pt>
                <c:pt idx="16">
                  <c:v>4800</c:v>
                </c:pt>
                <c:pt idx="17">
                  <c:v>4400</c:v>
                </c:pt>
                <c:pt idx="18">
                  <c:v>4400</c:v>
                </c:pt>
                <c:pt idx="19">
                  <c:v>2000</c:v>
                </c:pt>
                <c:pt idx="20">
                  <c:v>11948</c:v>
                </c:pt>
                <c:pt idx="21">
                  <c:v>9492</c:v>
                </c:pt>
                <c:pt idx="22">
                  <c:v>13520</c:v>
                </c:pt>
                <c:pt idx="23">
                  <c:v>11600</c:v>
                </c:pt>
                <c:pt idx="24">
                  <c:v>8740</c:v>
                </c:pt>
                <c:pt idx="25">
                  <c:v>10212</c:v>
                </c:pt>
                <c:pt idx="26">
                  <c:v>15600</c:v>
                </c:pt>
                <c:pt idx="27">
                  <c:v>18000</c:v>
                </c:pt>
                <c:pt idx="28">
                  <c:v>8400</c:v>
                </c:pt>
                <c:pt idx="29">
                  <c:v>8694.4</c:v>
                </c:pt>
                <c:pt idx="30">
                  <c:v>18000</c:v>
                </c:pt>
                <c:pt idx="31">
                  <c:v>27872</c:v>
                </c:pt>
                <c:pt idx="32">
                  <c:v>9600</c:v>
                </c:pt>
                <c:pt idx="33">
                  <c:v>4000</c:v>
                </c:pt>
                <c:pt idx="34">
                  <c:v>14800</c:v>
                </c:pt>
                <c:pt idx="35">
                  <c:v>7600</c:v>
                </c:pt>
                <c:pt idx="36">
                  <c:v>2400</c:v>
                </c:pt>
                <c:pt idx="37">
                  <c:v>4800</c:v>
                </c:pt>
                <c:pt idx="38">
                  <c:v>1200</c:v>
                </c:pt>
                <c:pt idx="39">
                  <c:v>10800</c:v>
                </c:pt>
                <c:pt idx="40">
                  <c:v>26400</c:v>
                </c:pt>
                <c:pt idx="41">
                  <c:v>120000</c:v>
                </c:pt>
                <c:pt idx="42">
                  <c:v>76000</c:v>
                </c:pt>
                <c:pt idx="43">
                  <c:v>40640</c:v>
                </c:pt>
                <c:pt idx="44">
                  <c:v>105800</c:v>
                </c:pt>
                <c:pt idx="45">
                  <c:v>46200</c:v>
                </c:pt>
                <c:pt idx="46">
                  <c:v>64000</c:v>
                </c:pt>
                <c:pt idx="47">
                  <c:v>36000</c:v>
                </c:pt>
                <c:pt idx="48">
                  <c:v>3100</c:v>
                </c:pt>
                <c:pt idx="51">
                  <c:v>436000</c:v>
                </c:pt>
                <c:pt idx="52">
                  <c:v>893880</c:v>
                </c:pt>
                <c:pt idx="53">
                  <c:v>596000</c:v>
                </c:pt>
                <c:pt idx="54">
                  <c:v>55752</c:v>
                </c:pt>
                <c:pt idx="55">
                  <c:v>60000</c:v>
                </c:pt>
                <c:pt idx="56">
                  <c:v>28000</c:v>
                </c:pt>
                <c:pt idx="57">
                  <c:v>64000</c:v>
                </c:pt>
                <c:pt idx="58">
                  <c:v>140800</c:v>
                </c:pt>
                <c:pt idx="59">
                  <c:v>95000.000000000015</c:v>
                </c:pt>
                <c:pt idx="60">
                  <c:v>3921.5686274509803</c:v>
                </c:pt>
                <c:pt idx="61">
                  <c:v>24000</c:v>
                </c:pt>
                <c:pt idx="62">
                  <c:v>16000</c:v>
                </c:pt>
                <c:pt idx="63">
                  <c:v>6800</c:v>
                </c:pt>
                <c:pt idx="64">
                  <c:v>11428.571428571429</c:v>
                </c:pt>
                <c:pt idx="65">
                  <c:v>28000</c:v>
                </c:pt>
                <c:pt idx="66">
                  <c:v>46082.949308755764</c:v>
                </c:pt>
                <c:pt idx="67">
                  <c:v>12500</c:v>
                </c:pt>
                <c:pt idx="68">
                  <c:v>180000</c:v>
                </c:pt>
                <c:pt idx="69">
                  <c:v>26037.7358490566</c:v>
                </c:pt>
                <c:pt idx="70">
                  <c:v>23529.411764705881</c:v>
                </c:pt>
                <c:pt idx="71">
                  <c:v>155555.55555555556</c:v>
                </c:pt>
                <c:pt idx="72">
                  <c:v>82352.941176470587</c:v>
                </c:pt>
                <c:pt idx="73">
                  <c:v>58181.818181818177</c:v>
                </c:pt>
                <c:pt idx="74">
                  <c:v>162000</c:v>
                </c:pt>
                <c:pt idx="75">
                  <c:v>116000</c:v>
                </c:pt>
                <c:pt idx="76">
                  <c:v>22641.509433962266</c:v>
                </c:pt>
                <c:pt idx="77">
                  <c:v>18181.81818181818</c:v>
                </c:pt>
                <c:pt idx="78">
                  <c:v>14285.714285714284</c:v>
                </c:pt>
                <c:pt idx="79">
                  <c:v>7692.3076923076915</c:v>
                </c:pt>
                <c:pt idx="80">
                  <c:v>22033.898305084746</c:v>
                </c:pt>
                <c:pt idx="81">
                  <c:v>40000</c:v>
                </c:pt>
                <c:pt idx="82">
                  <c:v>68571.428571428565</c:v>
                </c:pt>
                <c:pt idx="83">
                  <c:v>64000</c:v>
                </c:pt>
                <c:pt idx="84">
                  <c:v>2953.020134228188</c:v>
                </c:pt>
                <c:pt idx="85">
                  <c:v>96428.571428571391</c:v>
                </c:pt>
                <c:pt idx="86">
                  <c:v>15686.274509803923</c:v>
                </c:pt>
                <c:pt idx="87">
                  <c:v>21176.470588235294</c:v>
                </c:pt>
                <c:pt idx="88">
                  <c:v>96428.571428571435</c:v>
                </c:pt>
                <c:pt idx="89">
                  <c:v>39285.71428571429</c:v>
                </c:pt>
                <c:pt idx="90">
                  <c:v>43396.226415094337</c:v>
                </c:pt>
                <c:pt idx="91">
                  <c:v>21818.181818181816</c:v>
                </c:pt>
                <c:pt idx="92">
                  <c:v>11538.461538461537</c:v>
                </c:pt>
                <c:pt idx="93">
                  <c:v>53846.153846153844</c:v>
                </c:pt>
                <c:pt idx="94">
                  <c:v>44000</c:v>
                </c:pt>
                <c:pt idx="95">
                  <c:v>40000</c:v>
                </c:pt>
                <c:pt idx="96">
                  <c:v>35714.28571428571</c:v>
                </c:pt>
              </c:numCache>
            </c:numRef>
          </c:val>
          <c:extLst>
            <c:ext xmlns:c16="http://schemas.microsoft.com/office/drawing/2014/chart" uri="{C3380CC4-5D6E-409C-BE32-E72D297353CC}">
              <c16:uniqueId val="{00000001-C249-46C4-8643-97AD7E738993}"/>
            </c:ext>
          </c:extLst>
        </c:ser>
        <c:ser>
          <c:idx val="2"/>
          <c:order val="2"/>
          <c:tx>
            <c:strRef>
              <c:f>'[1]Cell abundance'!$A$5</c:f>
              <c:strCache>
                <c:ptCount val="1"/>
                <c:pt idx="0">
                  <c:v>Other phytoplankton </c:v>
                </c:pt>
              </c:strCache>
            </c:strRef>
          </c:tx>
          <c:spPr>
            <a:solidFill>
              <a:schemeClr val="accent3"/>
            </a:solidFill>
            <a:ln>
              <a:noFill/>
            </a:ln>
            <a:effectLst/>
          </c:spPr>
          <c:invertIfNegative val="0"/>
          <c:cat>
            <c:multiLvlStrRef>
              <c:f>'[1]Cell abundance'!$B$1:$CT$2</c:f>
              <c:multiLvlStrCache>
                <c:ptCount val="97"/>
                <c:lvl>
                  <c:pt idx="0">
                    <c:v>A4      </c:v>
                  </c:pt>
                  <c:pt idx="1">
                    <c:v>B3      </c:v>
                  </c:pt>
                  <c:pt idx="2">
                    <c:v>C1      </c:v>
                  </c:pt>
                  <c:pt idx="3">
                    <c:v>D3      </c:v>
                  </c:pt>
                  <c:pt idx="4">
                    <c:v>E1      </c:v>
                  </c:pt>
                  <c:pt idx="5">
                    <c:v>F2      </c:v>
                  </c:pt>
                  <c:pt idx="6">
                    <c:v>H4      </c:v>
                  </c:pt>
                  <c:pt idx="7">
                    <c:v>I2      </c:v>
                  </c:pt>
                  <c:pt idx="8">
                    <c:v>J2      </c:v>
                  </c:pt>
                  <c:pt idx="9">
                    <c:v>K2      </c:v>
                  </c:pt>
                  <c:pt idx="10">
                    <c:v>A4      </c:v>
                  </c:pt>
                  <c:pt idx="11">
                    <c:v>B3      </c:v>
                  </c:pt>
                  <c:pt idx="12">
                    <c:v>C1      </c:v>
                  </c:pt>
                  <c:pt idx="13">
                    <c:v>D3      </c:v>
                  </c:pt>
                  <c:pt idx="14">
                    <c:v>E1      </c:v>
                  </c:pt>
                  <c:pt idx="15">
                    <c:v>F2      </c:v>
                  </c:pt>
                  <c:pt idx="16">
                    <c:v>H4      </c:v>
                  </c:pt>
                  <c:pt idx="17">
                    <c:v>I2      </c:v>
                  </c:pt>
                  <c:pt idx="18">
                    <c:v>J2      </c:v>
                  </c:pt>
                  <c:pt idx="19">
                    <c:v>K2      </c:v>
                  </c:pt>
                  <c:pt idx="20">
                    <c:v>A4      </c:v>
                  </c:pt>
                  <c:pt idx="21">
                    <c:v>B3      </c:v>
                  </c:pt>
                  <c:pt idx="22">
                    <c:v>C1      </c:v>
                  </c:pt>
                  <c:pt idx="23">
                    <c:v>D3      </c:v>
                  </c:pt>
                  <c:pt idx="24">
                    <c:v>E1      </c:v>
                  </c:pt>
                  <c:pt idx="25">
                    <c:v>F2      </c:v>
                  </c:pt>
                  <c:pt idx="26">
                    <c:v>H4      </c:v>
                  </c:pt>
                  <c:pt idx="27">
                    <c:v>I2      </c:v>
                  </c:pt>
                  <c:pt idx="28">
                    <c:v>J2      </c:v>
                  </c:pt>
                  <c:pt idx="29">
                    <c:v>K2      </c:v>
                  </c:pt>
                  <c:pt idx="30">
                    <c:v>A4      </c:v>
                  </c:pt>
                  <c:pt idx="31">
                    <c:v>B3      </c:v>
                  </c:pt>
                  <c:pt idx="32">
                    <c:v>C1      </c:v>
                  </c:pt>
                  <c:pt idx="33">
                    <c:v>D3      </c:v>
                  </c:pt>
                  <c:pt idx="34">
                    <c:v>E1      </c:v>
                  </c:pt>
                  <c:pt idx="35">
                    <c:v>F2      </c:v>
                  </c:pt>
                  <c:pt idx="36">
                    <c:v>H4      </c:v>
                  </c:pt>
                  <c:pt idx="37">
                    <c:v>I2      </c:v>
                  </c:pt>
                  <c:pt idx="38">
                    <c:v>K2      </c:v>
                  </c:pt>
                  <c:pt idx="39">
                    <c:v>A4      </c:v>
                  </c:pt>
                  <c:pt idx="40">
                    <c:v>B3      </c:v>
                  </c:pt>
                  <c:pt idx="41">
                    <c:v>C1      </c:v>
                  </c:pt>
                  <c:pt idx="42">
                    <c:v>D3      </c:v>
                  </c:pt>
                  <c:pt idx="43">
                    <c:v>E1      </c:v>
                  </c:pt>
                  <c:pt idx="44">
                    <c:v>F2      </c:v>
                  </c:pt>
                  <c:pt idx="45">
                    <c:v>H4      </c:v>
                  </c:pt>
                  <c:pt idx="46">
                    <c:v>I2      </c:v>
                  </c:pt>
                  <c:pt idx="47">
                    <c:v>J2      </c:v>
                  </c:pt>
                  <c:pt idx="48">
                    <c:v>K2      </c:v>
                  </c:pt>
                  <c:pt idx="51">
                    <c:v>A4      </c:v>
                  </c:pt>
                  <c:pt idx="52">
                    <c:v>B3      </c:v>
                  </c:pt>
                  <c:pt idx="53">
                    <c:v>D3      </c:v>
                  </c:pt>
                  <c:pt idx="54">
                    <c:v>E1      </c:v>
                  </c:pt>
                  <c:pt idx="55">
                    <c:v>F2      </c:v>
                  </c:pt>
                  <c:pt idx="56">
                    <c:v>H4      </c:v>
                  </c:pt>
                  <c:pt idx="57">
                    <c:v>A4      </c:v>
                  </c:pt>
                  <c:pt idx="58">
                    <c:v>B3      </c:v>
                  </c:pt>
                  <c:pt idx="59">
                    <c:v>C1      </c:v>
                  </c:pt>
                  <c:pt idx="60">
                    <c:v>D3      </c:v>
                  </c:pt>
                  <c:pt idx="61">
                    <c:v>F2      </c:v>
                  </c:pt>
                  <c:pt idx="62">
                    <c:v>H4      </c:v>
                  </c:pt>
                  <c:pt idx="63">
                    <c:v>B3      </c:v>
                  </c:pt>
                  <c:pt idx="64">
                    <c:v>D3      </c:v>
                  </c:pt>
                  <c:pt idx="65">
                    <c:v>E1      </c:v>
                  </c:pt>
                  <c:pt idx="66">
                    <c:v>F2      </c:v>
                  </c:pt>
                  <c:pt idx="67">
                    <c:v>H4      </c:v>
                  </c:pt>
                  <c:pt idx="68">
                    <c:v>I2      </c:v>
                  </c:pt>
                  <c:pt idx="69">
                    <c:v>A4      </c:v>
                  </c:pt>
                  <c:pt idx="70">
                    <c:v>B3      </c:v>
                  </c:pt>
                  <c:pt idx="71">
                    <c:v>C1      </c:v>
                  </c:pt>
                  <c:pt idx="72">
                    <c:v>D3      </c:v>
                  </c:pt>
                  <c:pt idx="73">
                    <c:v>E1      </c:v>
                  </c:pt>
                  <c:pt idx="74">
                    <c:v>F2      </c:v>
                  </c:pt>
                  <c:pt idx="75">
                    <c:v>H4      </c:v>
                  </c:pt>
                  <c:pt idx="76">
                    <c:v>I2      </c:v>
                  </c:pt>
                  <c:pt idx="77">
                    <c:v>J2      </c:v>
                  </c:pt>
                  <c:pt idx="78">
                    <c:v>K2      </c:v>
                  </c:pt>
                  <c:pt idx="79">
                    <c:v>A4      </c:v>
                  </c:pt>
                  <c:pt idx="80">
                    <c:v>B3      </c:v>
                  </c:pt>
                  <c:pt idx="81">
                    <c:v>C1      </c:v>
                  </c:pt>
                  <c:pt idx="82">
                    <c:v>D3      </c:v>
                  </c:pt>
                  <c:pt idx="83">
                    <c:v>E1      </c:v>
                  </c:pt>
                  <c:pt idx="84">
                    <c:v>F2      </c:v>
                  </c:pt>
                  <c:pt idx="85">
                    <c:v>H4      </c:v>
                  </c:pt>
                  <c:pt idx="86">
                    <c:v>I2      </c:v>
                  </c:pt>
                  <c:pt idx="87">
                    <c:v>J2      </c:v>
                  </c:pt>
                  <c:pt idx="88">
                    <c:v>A4      </c:v>
                  </c:pt>
                  <c:pt idx="89">
                    <c:v>B3      </c:v>
                  </c:pt>
                  <c:pt idx="90">
                    <c:v>C1      </c:v>
                  </c:pt>
                  <c:pt idx="91">
                    <c:v>D3      </c:v>
                  </c:pt>
                  <c:pt idx="92">
                    <c:v>E1      </c:v>
                  </c:pt>
                  <c:pt idx="93">
                    <c:v>F2      </c:v>
                  </c:pt>
                  <c:pt idx="94">
                    <c:v>H4      </c:v>
                  </c:pt>
                  <c:pt idx="95">
                    <c:v>I2      </c:v>
                  </c:pt>
                  <c:pt idx="96">
                    <c:v>J2      </c:v>
                  </c:pt>
                </c:lvl>
                <c:lvl>
                  <c:pt idx="0">
                    <c:v>Jan</c:v>
                  </c:pt>
                  <c:pt idx="10">
                    <c:v>Feb</c:v>
                  </c:pt>
                  <c:pt idx="20">
                    <c:v>Mar</c:v>
                  </c:pt>
                  <c:pt idx="30">
                    <c:v>Apr</c:v>
                  </c:pt>
                  <c:pt idx="39">
                    <c:v>May</c:v>
                  </c:pt>
                  <c:pt idx="49">
                    <c:v>Jun</c:v>
                  </c:pt>
                  <c:pt idx="51">
                    <c:v>Jul</c:v>
                  </c:pt>
                  <c:pt idx="57">
                    <c:v>Aug</c:v>
                  </c:pt>
                  <c:pt idx="63">
                    <c:v>Sep</c:v>
                  </c:pt>
                  <c:pt idx="69">
                    <c:v>Oct</c:v>
                  </c:pt>
                  <c:pt idx="79">
                    <c:v>Nov</c:v>
                  </c:pt>
                  <c:pt idx="88">
                    <c:v>Dec</c:v>
                  </c:pt>
                </c:lvl>
              </c:multiLvlStrCache>
            </c:multiLvlStrRef>
          </c:cat>
          <c:val>
            <c:numRef>
              <c:f>'[1]Cell abundance'!$B$5:$CT$5</c:f>
              <c:numCache>
                <c:formatCode>General</c:formatCode>
                <c:ptCount val="97"/>
                <c:pt idx="0">
                  <c:v>24000</c:v>
                </c:pt>
                <c:pt idx="1">
                  <c:v>328000</c:v>
                </c:pt>
                <c:pt idx="2">
                  <c:v>202000</c:v>
                </c:pt>
                <c:pt idx="3">
                  <c:v>78000</c:v>
                </c:pt>
                <c:pt idx="4">
                  <c:v>747619.04761904769</c:v>
                </c:pt>
                <c:pt idx="5">
                  <c:v>2222.2222222222222</c:v>
                </c:pt>
                <c:pt idx="6">
                  <c:v>8320</c:v>
                </c:pt>
                <c:pt idx="7">
                  <c:v>17600</c:v>
                </c:pt>
                <c:pt idx="8">
                  <c:v>7004</c:v>
                </c:pt>
                <c:pt idx="9">
                  <c:v>8800</c:v>
                </c:pt>
                <c:pt idx="10">
                  <c:v>11984</c:v>
                </c:pt>
                <c:pt idx="11">
                  <c:v>37440</c:v>
                </c:pt>
                <c:pt idx="12">
                  <c:v>204352</c:v>
                </c:pt>
                <c:pt idx="13">
                  <c:v>103148</c:v>
                </c:pt>
                <c:pt idx="14">
                  <c:v>33411.199999999997</c:v>
                </c:pt>
                <c:pt idx="15">
                  <c:v>92768</c:v>
                </c:pt>
                <c:pt idx="16">
                  <c:v>116400</c:v>
                </c:pt>
                <c:pt idx="17">
                  <c:v>47200</c:v>
                </c:pt>
                <c:pt idx="18">
                  <c:v>28000</c:v>
                </c:pt>
                <c:pt idx="19">
                  <c:v>25200</c:v>
                </c:pt>
                <c:pt idx="20">
                  <c:v>104236</c:v>
                </c:pt>
                <c:pt idx="21">
                  <c:v>93564</c:v>
                </c:pt>
                <c:pt idx="22">
                  <c:v>186000</c:v>
                </c:pt>
                <c:pt idx="23">
                  <c:v>250000</c:v>
                </c:pt>
                <c:pt idx="24">
                  <c:v>122820</c:v>
                </c:pt>
                <c:pt idx="25">
                  <c:v>151848</c:v>
                </c:pt>
                <c:pt idx="26">
                  <c:v>94800</c:v>
                </c:pt>
                <c:pt idx="27">
                  <c:v>212000</c:v>
                </c:pt>
                <c:pt idx="28">
                  <c:v>67600</c:v>
                </c:pt>
                <c:pt idx="29">
                  <c:v>47840</c:v>
                </c:pt>
                <c:pt idx="30">
                  <c:v>116000</c:v>
                </c:pt>
                <c:pt idx="31">
                  <c:v>290368</c:v>
                </c:pt>
                <c:pt idx="32">
                  <c:v>188800</c:v>
                </c:pt>
                <c:pt idx="33">
                  <c:v>78000</c:v>
                </c:pt>
                <c:pt idx="34">
                  <c:v>235600</c:v>
                </c:pt>
                <c:pt idx="35">
                  <c:v>84400</c:v>
                </c:pt>
                <c:pt idx="36">
                  <c:v>102000</c:v>
                </c:pt>
                <c:pt idx="37">
                  <c:v>60800</c:v>
                </c:pt>
                <c:pt idx="38">
                  <c:v>131200</c:v>
                </c:pt>
                <c:pt idx="39">
                  <c:v>35400</c:v>
                </c:pt>
                <c:pt idx="40">
                  <c:v>86800</c:v>
                </c:pt>
                <c:pt idx="41">
                  <c:v>1560000</c:v>
                </c:pt>
                <c:pt idx="42">
                  <c:v>532000</c:v>
                </c:pt>
                <c:pt idx="43">
                  <c:v>589280</c:v>
                </c:pt>
                <c:pt idx="44">
                  <c:v>372600</c:v>
                </c:pt>
                <c:pt idx="45">
                  <c:v>273000</c:v>
                </c:pt>
                <c:pt idx="46">
                  <c:v>2268000</c:v>
                </c:pt>
                <c:pt idx="47">
                  <c:v>324000</c:v>
                </c:pt>
                <c:pt idx="48">
                  <c:v>72000</c:v>
                </c:pt>
                <c:pt idx="51">
                  <c:v>40000</c:v>
                </c:pt>
                <c:pt idx="52">
                  <c:v>360359.99999999994</c:v>
                </c:pt>
                <c:pt idx="53">
                  <c:v>400000</c:v>
                </c:pt>
                <c:pt idx="54">
                  <c:v>141400</c:v>
                </c:pt>
                <c:pt idx="55">
                  <c:v>424000</c:v>
                </c:pt>
                <c:pt idx="56">
                  <c:v>88000</c:v>
                </c:pt>
                <c:pt idx="57">
                  <c:v>25600</c:v>
                </c:pt>
                <c:pt idx="58">
                  <c:v>403200</c:v>
                </c:pt>
                <c:pt idx="59">
                  <c:v>376666.66666666669</c:v>
                </c:pt>
                <c:pt idx="60">
                  <c:v>980.39215686274508</c:v>
                </c:pt>
                <c:pt idx="61">
                  <c:v>128000</c:v>
                </c:pt>
                <c:pt idx="62">
                  <c:v>96000</c:v>
                </c:pt>
                <c:pt idx="63">
                  <c:v>128000</c:v>
                </c:pt>
                <c:pt idx="64">
                  <c:v>394285.71428571438</c:v>
                </c:pt>
                <c:pt idx="65">
                  <c:v>220000</c:v>
                </c:pt>
                <c:pt idx="66">
                  <c:v>29493.087557603692</c:v>
                </c:pt>
                <c:pt idx="67">
                  <c:v>85714.28571428571</c:v>
                </c:pt>
                <c:pt idx="68">
                  <c:v>884000</c:v>
                </c:pt>
                <c:pt idx="69">
                  <c:v>909433.96226415085</c:v>
                </c:pt>
                <c:pt idx="70">
                  <c:v>1003921.5686274508</c:v>
                </c:pt>
                <c:pt idx="71">
                  <c:v>2125925.9259259254</c:v>
                </c:pt>
                <c:pt idx="72">
                  <c:v>1807843.1372549022</c:v>
                </c:pt>
                <c:pt idx="73">
                  <c:v>618181.81818181812</c:v>
                </c:pt>
                <c:pt idx="74">
                  <c:v>992000</c:v>
                </c:pt>
                <c:pt idx="75">
                  <c:v>800000</c:v>
                </c:pt>
                <c:pt idx="76">
                  <c:v>301886.79245283012</c:v>
                </c:pt>
                <c:pt idx="77">
                  <c:v>283636.36363636359</c:v>
                </c:pt>
                <c:pt idx="78">
                  <c:v>285714.28571428568</c:v>
                </c:pt>
                <c:pt idx="79">
                  <c:v>147692.30769230769</c:v>
                </c:pt>
                <c:pt idx="80">
                  <c:v>125423.72881355933</c:v>
                </c:pt>
                <c:pt idx="81">
                  <c:v>264000</c:v>
                </c:pt>
                <c:pt idx="82">
                  <c:v>163809.52380952385</c:v>
                </c:pt>
                <c:pt idx="83">
                  <c:v>356000</c:v>
                </c:pt>
                <c:pt idx="84">
                  <c:v>30604.026845637585</c:v>
                </c:pt>
                <c:pt idx="85">
                  <c:v>650000</c:v>
                </c:pt>
                <c:pt idx="86">
                  <c:v>156862.74509803922</c:v>
                </c:pt>
                <c:pt idx="87">
                  <c:v>435294.1176470588</c:v>
                </c:pt>
                <c:pt idx="88">
                  <c:v>521428.57142857136</c:v>
                </c:pt>
                <c:pt idx="89">
                  <c:v>532142.85714285716</c:v>
                </c:pt>
                <c:pt idx="90">
                  <c:v>181132.07547169813</c:v>
                </c:pt>
                <c:pt idx="91">
                  <c:v>487272.72727272724</c:v>
                </c:pt>
                <c:pt idx="92">
                  <c:v>619230.76923076925</c:v>
                </c:pt>
                <c:pt idx="93">
                  <c:v>542307.69230769225</c:v>
                </c:pt>
                <c:pt idx="94">
                  <c:v>344000</c:v>
                </c:pt>
                <c:pt idx="95">
                  <c:v>472000</c:v>
                </c:pt>
                <c:pt idx="96">
                  <c:v>300000</c:v>
                </c:pt>
              </c:numCache>
            </c:numRef>
          </c:val>
          <c:extLst>
            <c:ext xmlns:c16="http://schemas.microsoft.com/office/drawing/2014/chart" uri="{C3380CC4-5D6E-409C-BE32-E72D297353CC}">
              <c16:uniqueId val="{00000002-C249-46C4-8643-97AD7E738993}"/>
            </c:ext>
          </c:extLst>
        </c:ser>
        <c:dLbls>
          <c:showLegendKey val="0"/>
          <c:showVal val="0"/>
          <c:showCatName val="0"/>
          <c:showSerName val="0"/>
          <c:showPercent val="0"/>
          <c:showBubbleSize val="0"/>
        </c:dLbls>
        <c:gapWidth val="150"/>
        <c:overlap val="100"/>
        <c:axId val="842202255"/>
        <c:axId val="842212655"/>
      </c:barChart>
      <c:catAx>
        <c:axId val="842202255"/>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842212655"/>
        <c:crosses val="autoZero"/>
        <c:auto val="1"/>
        <c:lblAlgn val="ctr"/>
        <c:lblOffset val="100"/>
        <c:noMultiLvlLbl val="0"/>
      </c:catAx>
      <c:valAx>
        <c:axId val="8422126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842202255"/>
        <c:crosses val="autoZero"/>
        <c:crossBetween val="between"/>
        <c:dispUnits>
          <c:builtInUnit val="hundredThousands"/>
          <c:dispUnitsLbl>
            <c:layout>
              <c:manualLayout>
                <c:xMode val="edge"/>
                <c:yMode val="edge"/>
                <c:x val="4.7822375861553889E-3"/>
                <c:y val="4.8349071308615162E-2"/>
              </c:manualLayout>
            </c:layout>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i="0" baseline="0">
                      <a:effectLst/>
                    </a:rPr>
                    <a:t>Cell concentration (10</a:t>
                  </a:r>
                  <a:r>
                    <a:rPr lang="en-US" sz="1200" b="1" i="0" baseline="30000">
                      <a:effectLst/>
                    </a:rPr>
                    <a:t>5</a:t>
                  </a:r>
                  <a:r>
                    <a:rPr lang="en-US" sz="1200" b="1" i="0" baseline="0">
                      <a:effectLst/>
                    </a:rPr>
                    <a:t> cells L</a:t>
                  </a:r>
                  <a:r>
                    <a:rPr lang="en-US" sz="1200" b="1" i="0" baseline="30000">
                      <a:effectLst/>
                    </a:rPr>
                    <a:t>-1</a:t>
                  </a:r>
                  <a:r>
                    <a:rPr lang="en-US" sz="1200" b="1" i="0" baseline="0">
                      <a:effectLst/>
                    </a:rPr>
                    <a:t>)</a:t>
                  </a:r>
                  <a:endParaRPr lang="en-US" sz="1200" b="1">
                    <a:effectLst/>
                  </a:endParaRPr>
                </a:p>
              </c:rich>
            </c:tx>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legend>
      <c:legendPos val="b"/>
      <c:layout>
        <c:manualLayout>
          <c:xMode val="edge"/>
          <c:yMode val="edge"/>
          <c:x val="0.37710844214449774"/>
          <c:y val="0.15407330533326824"/>
          <c:w val="0.24806947911998803"/>
          <c:h val="7.8702004574552981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US" sz="1800" b="1"/>
              <a:t>Seasonal change of Long Island Sound </a:t>
            </a:r>
            <a:r>
              <a:rPr lang="en-US" sz="1800" b="1" i="0" u="none" strike="noStrike" baseline="0">
                <a:effectLst/>
              </a:rPr>
              <a:t>DiPPR gene </a:t>
            </a:r>
            <a:r>
              <a:rPr lang="en-US" sz="1800" b="1"/>
              <a:t>abundance in 2010</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629028516993317E-2"/>
          <c:y val="0.17336560765775025"/>
          <c:w val="0.94224915221046057"/>
          <c:h val="0.64066454767008252"/>
        </c:manualLayout>
      </c:layout>
      <c:barChart>
        <c:barDir val="col"/>
        <c:grouping val="clustered"/>
        <c:varyColors val="0"/>
        <c:ser>
          <c:idx val="0"/>
          <c:order val="0"/>
          <c:tx>
            <c:strRef>
              <c:f>'[1]18S vs DiPPR'!$BB$3</c:f>
              <c:strCache>
                <c:ptCount val="1"/>
                <c:pt idx="0">
                  <c:v>DiPPR gene</c:v>
                </c:pt>
              </c:strCache>
            </c:strRef>
          </c:tx>
          <c:spPr>
            <a:solidFill>
              <a:schemeClr val="accent4">
                <a:lumMod val="75000"/>
              </a:schemeClr>
            </a:solidFill>
            <a:ln>
              <a:noFill/>
            </a:ln>
            <a:effectLst/>
          </c:spPr>
          <c:invertIfNegative val="0"/>
          <c:errBars>
            <c:errBarType val="plus"/>
            <c:errValType val="cust"/>
            <c:noEndCap val="0"/>
            <c:plus>
              <c:numRef>
                <c:f>'[1]18S vs DiPPR'!$BC$4:$EU$4</c:f>
                <c:numCache>
                  <c:formatCode>General</c:formatCode>
                  <c:ptCount val="97"/>
                  <c:pt idx="0">
                    <c:v>2.037211331311823</c:v>
                  </c:pt>
                  <c:pt idx="1">
                    <c:v>62573.966086192711</c:v>
                  </c:pt>
                  <c:pt idx="2">
                    <c:v>157.92460858236819</c:v>
                  </c:pt>
                  <c:pt idx="3">
                    <c:v>433.97093668984201</c:v>
                  </c:pt>
                  <c:pt idx="4">
                    <c:v>16.399977483810392</c:v>
                  </c:pt>
                  <c:pt idx="5">
                    <c:v>82389.395260085643</c:v>
                  </c:pt>
                  <c:pt idx="6">
                    <c:v>32.938601638681838</c:v>
                  </c:pt>
                  <c:pt idx="7">
                    <c:v>17.483514890670097</c:v>
                  </c:pt>
                  <c:pt idx="8">
                    <c:v>9238.6252908174483</c:v>
                  </c:pt>
                  <c:pt idx="9">
                    <c:v>0.46770248325902264</c:v>
                  </c:pt>
                  <c:pt idx="10">
                    <c:v>37747.506127841742</c:v>
                  </c:pt>
                  <c:pt idx="11">
                    <c:v>67.437694213137704</c:v>
                  </c:pt>
                  <c:pt idx="12">
                    <c:v>118.4172789130882</c:v>
                  </c:pt>
                  <c:pt idx="13">
                    <c:v>108.96673357594771</c:v>
                  </c:pt>
                  <c:pt idx="14">
                    <c:v>1312.6523663421092</c:v>
                  </c:pt>
                  <c:pt idx="15">
                    <c:v>129.51341997517963</c:v>
                  </c:pt>
                  <c:pt idx="16">
                    <c:v>33001.883188046217</c:v>
                  </c:pt>
                  <c:pt idx="17">
                    <c:v>414.96436020902115</c:v>
                  </c:pt>
                  <c:pt idx="18">
                    <c:v>9005.195684173359</c:v>
                  </c:pt>
                  <c:pt idx="19">
                    <c:v>57580.1162962792</c:v>
                  </c:pt>
                  <c:pt idx="20">
                    <c:v>36559.101719988423</c:v>
                  </c:pt>
                  <c:pt idx="21">
                    <c:v>50664.241569201287</c:v>
                  </c:pt>
                  <c:pt idx="22">
                    <c:v>26892.12588974641</c:v>
                  </c:pt>
                  <c:pt idx="23">
                    <c:v>529.17057032391801</c:v>
                  </c:pt>
                  <c:pt idx="24">
                    <c:v>66282.766834921495</c:v>
                  </c:pt>
                  <c:pt idx="25">
                    <c:v>46920.10232757419</c:v>
                  </c:pt>
                  <c:pt idx="26">
                    <c:v>100463.04854184657</c:v>
                  </c:pt>
                  <c:pt idx="27">
                    <c:v>179826.77924028251</c:v>
                  </c:pt>
                  <c:pt idx="28">
                    <c:v>196677.21971237205</c:v>
                  </c:pt>
                  <c:pt idx="29">
                    <c:v>136576.73721295194</c:v>
                  </c:pt>
                  <c:pt idx="30">
                    <c:v>409581.77601026505</c:v>
                  </c:pt>
                  <c:pt idx="31">
                    <c:v>381832.22177961323</c:v>
                  </c:pt>
                  <c:pt idx="32">
                    <c:v>220731.31386302813</c:v>
                  </c:pt>
                  <c:pt idx="33">
                    <c:v>117162.20546015482</c:v>
                  </c:pt>
                  <c:pt idx="34">
                    <c:v>425277.78717665834</c:v>
                  </c:pt>
                  <c:pt idx="35">
                    <c:v>30393.112145456987</c:v>
                  </c:pt>
                  <c:pt idx="36">
                    <c:v>724.60647052404738</c:v>
                  </c:pt>
                  <c:pt idx="37">
                    <c:v>12019.474515301257</c:v>
                  </c:pt>
                  <c:pt idx="38">
                    <c:v>75.73108867032991</c:v>
                  </c:pt>
                  <c:pt idx="39">
                    <c:v>105762.26539329528</c:v>
                  </c:pt>
                  <c:pt idx="40">
                    <c:v>235.00520360459902</c:v>
                  </c:pt>
                  <c:pt idx="41">
                    <c:v>34541.89538297792</c:v>
                  </c:pt>
                  <c:pt idx="42">
                    <c:v>61250.747687008501</c:v>
                  </c:pt>
                  <c:pt idx="43">
                    <c:v>19.137536705622008</c:v>
                  </c:pt>
                  <c:pt idx="44">
                    <c:v>30006.688740064783</c:v>
                  </c:pt>
                  <c:pt idx="45">
                    <c:v>115.52034399605394</c:v>
                  </c:pt>
                  <c:pt idx="46">
                    <c:v>1.4525481883655658</c:v>
                  </c:pt>
                  <c:pt idx="47">
                    <c:v>87905.167474115748</c:v>
                  </c:pt>
                  <c:pt idx="48">
                    <c:v>454.22191845776553</c:v>
                  </c:pt>
                  <c:pt idx="51">
                    <c:v>154916.2877046497</c:v>
                  </c:pt>
                  <c:pt idx="52">
                    <c:v>293438.31684646825</c:v>
                  </c:pt>
                  <c:pt idx="53">
                    <c:v>243991.16615451599</c:v>
                  </c:pt>
                  <c:pt idx="54">
                    <c:v>119504.64506133292</c:v>
                  </c:pt>
                  <c:pt idx="55">
                    <c:v>64661.239441249105</c:v>
                  </c:pt>
                  <c:pt idx="56">
                    <c:v>21791.674009879</c:v>
                  </c:pt>
                  <c:pt idx="57">
                    <c:v>37778.599918325672</c:v>
                  </c:pt>
                  <c:pt idx="58">
                    <c:v>6188.7924300501072</c:v>
                  </c:pt>
                  <c:pt idx="59">
                    <c:v>767.77987478969396</c:v>
                  </c:pt>
                  <c:pt idx="60">
                    <c:v>2998.5328459993871</c:v>
                  </c:pt>
                  <c:pt idx="61">
                    <c:v>7067.8053060453294</c:v>
                  </c:pt>
                  <c:pt idx="62">
                    <c:v>30241.082604561878</c:v>
                  </c:pt>
                  <c:pt idx="63">
                    <c:v>1.5103970719086637</c:v>
                  </c:pt>
                  <c:pt idx="64">
                    <c:v>19127.13857760973</c:v>
                  </c:pt>
                  <c:pt idx="65">
                    <c:v>27014.055330305964</c:v>
                  </c:pt>
                  <c:pt idx="66">
                    <c:v>46028.224217260089</c:v>
                  </c:pt>
                  <c:pt idx="67">
                    <c:v>52613.877714162787</c:v>
                  </c:pt>
                  <c:pt idx="68">
                    <c:v>10287.586791133041</c:v>
                  </c:pt>
                  <c:pt idx="69">
                    <c:v>76830.868711305491</c:v>
                  </c:pt>
                  <c:pt idx="70">
                    <c:v>16717.251766666424</c:v>
                  </c:pt>
                  <c:pt idx="71">
                    <c:v>5182.7784180287908</c:v>
                  </c:pt>
                  <c:pt idx="72">
                    <c:v>69391.758786585793</c:v>
                  </c:pt>
                  <c:pt idx="73">
                    <c:v>2907.9601755856165</c:v>
                  </c:pt>
                  <c:pt idx="74">
                    <c:v>52598.660768325099</c:v>
                  </c:pt>
                  <c:pt idx="75">
                    <c:v>12907.660331900794</c:v>
                  </c:pt>
                  <c:pt idx="76">
                    <c:v>1744.7108673830187</c:v>
                  </c:pt>
                  <c:pt idx="77">
                    <c:v>6185.4322368125577</c:v>
                  </c:pt>
                  <c:pt idx="78">
                    <c:v>26.971398170683525</c:v>
                  </c:pt>
                  <c:pt idx="79">
                    <c:v>51764.371160318216</c:v>
                  </c:pt>
                  <c:pt idx="80">
                    <c:v>87124.696609385719</c:v>
                  </c:pt>
                  <c:pt idx="81">
                    <c:v>53485.706008845074</c:v>
                  </c:pt>
                  <c:pt idx="82">
                    <c:v>571.62715420670372</c:v>
                  </c:pt>
                  <c:pt idx="83">
                    <c:v>1691.8878068347597</c:v>
                  </c:pt>
                  <c:pt idx="84">
                    <c:v>1500.0311839742046</c:v>
                  </c:pt>
                  <c:pt idx="85">
                    <c:v>5508.7825274749603</c:v>
                  </c:pt>
                  <c:pt idx="86">
                    <c:v>18.577726280760835</c:v>
                  </c:pt>
                  <c:pt idx="87">
                    <c:v>132.28136558846009</c:v>
                  </c:pt>
                  <c:pt idx="88">
                    <c:v>36008.479197670778</c:v>
                  </c:pt>
                  <c:pt idx="89">
                    <c:v>1124.9549730651302</c:v>
                  </c:pt>
                  <c:pt idx="90">
                    <c:v>79.747664163282494</c:v>
                  </c:pt>
                  <c:pt idx="91">
                    <c:v>1.7435360980520682</c:v>
                  </c:pt>
                  <c:pt idx="92">
                    <c:v>3013.9328708221929</c:v>
                  </c:pt>
                  <c:pt idx="93">
                    <c:v>888.27446361863247</c:v>
                  </c:pt>
                  <c:pt idx="94">
                    <c:v>500.92939472661419</c:v>
                  </c:pt>
                  <c:pt idx="95">
                    <c:v>691.12373672173169</c:v>
                  </c:pt>
                  <c:pt idx="96">
                    <c:v>2565.3681212425622</c:v>
                  </c:pt>
                </c:numCache>
              </c:numRef>
            </c:plus>
            <c:minus>
              <c:numLit>
                <c:formatCode>General</c:formatCode>
                <c:ptCount val="1"/>
                <c:pt idx="0">
                  <c:v>1</c:v>
                </c:pt>
              </c:numLit>
            </c:minus>
            <c:spPr>
              <a:noFill/>
              <a:ln w="9525" cap="flat" cmpd="sng" algn="ctr">
                <a:solidFill>
                  <a:schemeClr val="tx1">
                    <a:lumMod val="65000"/>
                    <a:lumOff val="35000"/>
                  </a:schemeClr>
                </a:solidFill>
                <a:round/>
              </a:ln>
              <a:effectLst/>
            </c:spPr>
          </c:errBars>
          <c:cat>
            <c:multiLvlStrRef>
              <c:f>'[1]18S vs DiPPR'!$BC$1:$EU$2</c:f>
              <c:multiLvlStrCache>
                <c:ptCount val="97"/>
                <c:lvl>
                  <c:pt idx="0">
                    <c:v>A4</c:v>
                  </c:pt>
                  <c:pt idx="1">
                    <c:v>B3</c:v>
                  </c:pt>
                  <c:pt idx="2">
                    <c:v>C1</c:v>
                  </c:pt>
                  <c:pt idx="3">
                    <c:v>D3</c:v>
                  </c:pt>
                  <c:pt idx="4">
                    <c:v>E1</c:v>
                  </c:pt>
                  <c:pt idx="5">
                    <c:v>F2</c:v>
                  </c:pt>
                  <c:pt idx="6">
                    <c:v>H4</c:v>
                  </c:pt>
                  <c:pt idx="7">
                    <c:v>I2</c:v>
                  </c:pt>
                  <c:pt idx="8">
                    <c:v>J2</c:v>
                  </c:pt>
                  <c:pt idx="9">
                    <c:v>K2</c:v>
                  </c:pt>
                  <c:pt idx="10">
                    <c:v>A4</c:v>
                  </c:pt>
                  <c:pt idx="11">
                    <c:v>B3</c:v>
                  </c:pt>
                  <c:pt idx="12">
                    <c:v>C1</c:v>
                  </c:pt>
                  <c:pt idx="13">
                    <c:v>D3</c:v>
                  </c:pt>
                  <c:pt idx="14">
                    <c:v>E1</c:v>
                  </c:pt>
                  <c:pt idx="15">
                    <c:v>F2</c:v>
                  </c:pt>
                  <c:pt idx="16">
                    <c:v>H4</c:v>
                  </c:pt>
                  <c:pt idx="17">
                    <c:v>I2</c:v>
                  </c:pt>
                  <c:pt idx="18">
                    <c:v>J2</c:v>
                  </c:pt>
                  <c:pt idx="19">
                    <c:v>K2</c:v>
                  </c:pt>
                  <c:pt idx="20">
                    <c:v>A4</c:v>
                  </c:pt>
                  <c:pt idx="21">
                    <c:v>B3</c:v>
                  </c:pt>
                  <c:pt idx="22">
                    <c:v>C1</c:v>
                  </c:pt>
                  <c:pt idx="23">
                    <c:v>D3</c:v>
                  </c:pt>
                  <c:pt idx="24">
                    <c:v>E1</c:v>
                  </c:pt>
                  <c:pt idx="25">
                    <c:v>F2</c:v>
                  </c:pt>
                  <c:pt idx="26">
                    <c:v>H4</c:v>
                  </c:pt>
                  <c:pt idx="27">
                    <c:v>I2</c:v>
                  </c:pt>
                  <c:pt idx="28">
                    <c:v>J2</c:v>
                  </c:pt>
                  <c:pt idx="29">
                    <c:v>K2</c:v>
                  </c:pt>
                  <c:pt idx="30">
                    <c:v>A4</c:v>
                  </c:pt>
                  <c:pt idx="31">
                    <c:v>B3</c:v>
                  </c:pt>
                  <c:pt idx="32">
                    <c:v>C1</c:v>
                  </c:pt>
                  <c:pt idx="33">
                    <c:v>D3</c:v>
                  </c:pt>
                  <c:pt idx="34">
                    <c:v>E1</c:v>
                  </c:pt>
                  <c:pt idx="35">
                    <c:v>F2</c:v>
                  </c:pt>
                  <c:pt idx="36">
                    <c:v>H4</c:v>
                  </c:pt>
                  <c:pt idx="37">
                    <c:v>I2</c:v>
                  </c:pt>
                  <c:pt idx="38">
                    <c:v>K2</c:v>
                  </c:pt>
                  <c:pt idx="39">
                    <c:v>A4</c:v>
                  </c:pt>
                  <c:pt idx="40">
                    <c:v>B3</c:v>
                  </c:pt>
                  <c:pt idx="41">
                    <c:v>C1</c:v>
                  </c:pt>
                  <c:pt idx="42">
                    <c:v>D3</c:v>
                  </c:pt>
                  <c:pt idx="43">
                    <c:v>E1</c:v>
                  </c:pt>
                  <c:pt idx="44">
                    <c:v>F2</c:v>
                  </c:pt>
                  <c:pt idx="45">
                    <c:v>H4</c:v>
                  </c:pt>
                  <c:pt idx="46">
                    <c:v>I2</c:v>
                  </c:pt>
                  <c:pt idx="47">
                    <c:v>J2</c:v>
                  </c:pt>
                  <c:pt idx="48">
                    <c:v>K2</c:v>
                  </c:pt>
                  <c:pt idx="51">
                    <c:v>A4</c:v>
                  </c:pt>
                  <c:pt idx="52">
                    <c:v>B3</c:v>
                  </c:pt>
                  <c:pt idx="53">
                    <c:v>D3</c:v>
                  </c:pt>
                  <c:pt idx="54">
                    <c:v>E1</c:v>
                  </c:pt>
                  <c:pt idx="55">
                    <c:v>F2</c:v>
                  </c:pt>
                  <c:pt idx="56">
                    <c:v>H4</c:v>
                  </c:pt>
                  <c:pt idx="57">
                    <c:v>A4</c:v>
                  </c:pt>
                  <c:pt idx="58">
                    <c:v>B3</c:v>
                  </c:pt>
                  <c:pt idx="59">
                    <c:v>C1</c:v>
                  </c:pt>
                  <c:pt idx="60">
                    <c:v>D3</c:v>
                  </c:pt>
                  <c:pt idx="61">
                    <c:v>F2</c:v>
                  </c:pt>
                  <c:pt idx="62">
                    <c:v>H4</c:v>
                  </c:pt>
                  <c:pt idx="63">
                    <c:v>B3</c:v>
                  </c:pt>
                  <c:pt idx="64">
                    <c:v>D3</c:v>
                  </c:pt>
                  <c:pt idx="65">
                    <c:v>E1</c:v>
                  </c:pt>
                  <c:pt idx="66">
                    <c:v>F2</c:v>
                  </c:pt>
                  <c:pt idx="67">
                    <c:v>H4</c:v>
                  </c:pt>
                  <c:pt idx="68">
                    <c:v>I2</c:v>
                  </c:pt>
                  <c:pt idx="69">
                    <c:v>A4</c:v>
                  </c:pt>
                  <c:pt idx="70">
                    <c:v>B3</c:v>
                  </c:pt>
                  <c:pt idx="71">
                    <c:v>C1</c:v>
                  </c:pt>
                  <c:pt idx="72">
                    <c:v>D3</c:v>
                  </c:pt>
                  <c:pt idx="73">
                    <c:v>E1</c:v>
                  </c:pt>
                  <c:pt idx="74">
                    <c:v>F2</c:v>
                  </c:pt>
                  <c:pt idx="75">
                    <c:v>H4</c:v>
                  </c:pt>
                  <c:pt idx="76">
                    <c:v>I2</c:v>
                  </c:pt>
                  <c:pt idx="77">
                    <c:v>J2</c:v>
                  </c:pt>
                  <c:pt idx="78">
                    <c:v>K2</c:v>
                  </c:pt>
                  <c:pt idx="79">
                    <c:v>A4</c:v>
                  </c:pt>
                  <c:pt idx="80">
                    <c:v>B3</c:v>
                  </c:pt>
                  <c:pt idx="81">
                    <c:v>C1</c:v>
                  </c:pt>
                  <c:pt idx="82">
                    <c:v>D3</c:v>
                  </c:pt>
                  <c:pt idx="83">
                    <c:v>E1</c:v>
                  </c:pt>
                  <c:pt idx="84">
                    <c:v>F2</c:v>
                  </c:pt>
                  <c:pt idx="85">
                    <c:v>H4</c:v>
                  </c:pt>
                  <c:pt idx="86">
                    <c:v>I2</c:v>
                  </c:pt>
                  <c:pt idx="87">
                    <c:v>J2</c:v>
                  </c:pt>
                  <c:pt idx="88">
                    <c:v>A4</c:v>
                  </c:pt>
                  <c:pt idx="89">
                    <c:v>B3</c:v>
                  </c:pt>
                  <c:pt idx="90">
                    <c:v>C1</c:v>
                  </c:pt>
                  <c:pt idx="91">
                    <c:v>D3</c:v>
                  </c:pt>
                  <c:pt idx="92">
                    <c:v>E1</c:v>
                  </c:pt>
                  <c:pt idx="93">
                    <c:v>F2</c:v>
                  </c:pt>
                  <c:pt idx="94">
                    <c:v>H4</c:v>
                  </c:pt>
                  <c:pt idx="95">
                    <c:v>I2</c:v>
                  </c:pt>
                  <c:pt idx="96">
                    <c:v>J2</c:v>
                  </c:pt>
                </c:lvl>
                <c:lvl>
                  <c:pt idx="0">
                    <c:v>Jan</c:v>
                  </c:pt>
                  <c:pt idx="10">
                    <c:v>Feb</c:v>
                  </c:pt>
                  <c:pt idx="20">
                    <c:v>Mar</c:v>
                  </c:pt>
                  <c:pt idx="30">
                    <c:v>Apr</c:v>
                  </c:pt>
                  <c:pt idx="39">
                    <c:v>May</c:v>
                  </c:pt>
                  <c:pt idx="49">
                    <c:v>Jun</c:v>
                  </c:pt>
                  <c:pt idx="51">
                    <c:v>July</c:v>
                  </c:pt>
                  <c:pt idx="57">
                    <c:v>Aug</c:v>
                  </c:pt>
                  <c:pt idx="63">
                    <c:v>Sept</c:v>
                  </c:pt>
                  <c:pt idx="69">
                    <c:v>Oct</c:v>
                  </c:pt>
                  <c:pt idx="79">
                    <c:v>Nov</c:v>
                  </c:pt>
                  <c:pt idx="88">
                    <c:v>Dec</c:v>
                  </c:pt>
                </c:lvl>
              </c:multiLvlStrCache>
            </c:multiLvlStrRef>
          </c:cat>
          <c:val>
            <c:numRef>
              <c:f>'[1]18S vs DiPPR'!$BC$3:$EU$3</c:f>
              <c:numCache>
                <c:formatCode>General</c:formatCode>
                <c:ptCount val="97"/>
                <c:pt idx="0">
                  <c:v>2.5465141641397784</c:v>
                </c:pt>
                <c:pt idx="1">
                  <c:v>78217.457607740886</c:v>
                </c:pt>
                <c:pt idx="2">
                  <c:v>197.40576072796023</c:v>
                </c:pt>
                <c:pt idx="3">
                  <c:v>542.46367086230248</c:v>
                </c:pt>
                <c:pt idx="4">
                  <c:v>20.49997185476299</c:v>
                </c:pt>
                <c:pt idx="5">
                  <c:v>102986.74407510704</c:v>
                </c:pt>
                <c:pt idx="6">
                  <c:v>41.173252048352296</c:v>
                </c:pt>
                <c:pt idx="7">
                  <c:v>21.854393613337621</c:v>
                </c:pt>
                <c:pt idx="8">
                  <c:v>11548.281613521811</c:v>
                </c:pt>
                <c:pt idx="9">
                  <c:v>0.5846281040737783</c:v>
                </c:pt>
                <c:pt idx="10">
                  <c:v>47184.382659802177</c:v>
                </c:pt>
                <c:pt idx="11">
                  <c:v>84.297117766422119</c:v>
                </c:pt>
                <c:pt idx="12">
                  <c:v>148.02159864136024</c:v>
                </c:pt>
                <c:pt idx="13">
                  <c:v>136.20841696993463</c:v>
                </c:pt>
                <c:pt idx="14">
                  <c:v>1640.8154579276363</c:v>
                </c:pt>
                <c:pt idx="15">
                  <c:v>161.89177496897454</c:v>
                </c:pt>
                <c:pt idx="16">
                  <c:v>41252.353985057773</c:v>
                </c:pt>
                <c:pt idx="17">
                  <c:v>518.70545026127638</c:v>
                </c:pt>
                <c:pt idx="18">
                  <c:v>11256.494605216698</c:v>
                </c:pt>
                <c:pt idx="19">
                  <c:v>71975.145370348997</c:v>
                </c:pt>
                <c:pt idx="20">
                  <c:v>45698.877149985528</c:v>
                </c:pt>
                <c:pt idx="21">
                  <c:v>63330.301961501609</c:v>
                </c:pt>
                <c:pt idx="22">
                  <c:v>33615.15736218301</c:v>
                </c:pt>
                <c:pt idx="23">
                  <c:v>661.46321290489755</c:v>
                </c:pt>
                <c:pt idx="24">
                  <c:v>82853.458543651868</c:v>
                </c:pt>
                <c:pt idx="25">
                  <c:v>58650.127909467737</c:v>
                </c:pt>
                <c:pt idx="26">
                  <c:v>125578.81067730821</c:v>
                </c:pt>
                <c:pt idx="27">
                  <c:v>224783.47405035314</c:v>
                </c:pt>
                <c:pt idx="28">
                  <c:v>245846.52464046504</c:v>
                </c:pt>
                <c:pt idx="29">
                  <c:v>170720.9215161899</c:v>
                </c:pt>
                <c:pt idx="30">
                  <c:v>1023954.4400256625</c:v>
                </c:pt>
                <c:pt idx="31">
                  <c:v>1272774.0725987109</c:v>
                </c:pt>
                <c:pt idx="32">
                  <c:v>367885.52310504689</c:v>
                </c:pt>
                <c:pt idx="33">
                  <c:v>195270.34243359137</c:v>
                </c:pt>
                <c:pt idx="34">
                  <c:v>850555.57435331668</c:v>
                </c:pt>
                <c:pt idx="35">
                  <c:v>43418.731636367127</c:v>
                </c:pt>
                <c:pt idx="36">
                  <c:v>1035.1521007486392</c:v>
                </c:pt>
                <c:pt idx="37">
                  <c:v>17170.677879001796</c:v>
                </c:pt>
                <c:pt idx="38">
                  <c:v>108.18726952904274</c:v>
                </c:pt>
                <c:pt idx="39">
                  <c:v>176270.44232215881</c:v>
                </c:pt>
                <c:pt idx="40">
                  <c:v>335.72171943514149</c:v>
                </c:pt>
                <c:pt idx="41">
                  <c:v>49345.564832825607</c:v>
                </c:pt>
                <c:pt idx="42">
                  <c:v>153126.86921752125</c:v>
                </c:pt>
                <c:pt idx="43">
                  <c:v>27.339338150888587</c:v>
                </c:pt>
                <c:pt idx="44">
                  <c:v>42866.698200092549</c:v>
                </c:pt>
                <c:pt idx="45">
                  <c:v>165.02906285150564</c:v>
                </c:pt>
                <c:pt idx="46">
                  <c:v>2.0750688405222371</c:v>
                </c:pt>
                <c:pt idx="47">
                  <c:v>125578.81067730821</c:v>
                </c:pt>
                <c:pt idx="48">
                  <c:v>648.88845493966505</c:v>
                </c:pt>
                <c:pt idx="51">
                  <c:v>516387.62568216573</c:v>
                </c:pt>
                <c:pt idx="52">
                  <c:v>586876.63369293651</c:v>
                </c:pt>
                <c:pt idx="53">
                  <c:v>813303.88718172</c:v>
                </c:pt>
                <c:pt idx="54">
                  <c:v>170720.9215161899</c:v>
                </c:pt>
                <c:pt idx="55">
                  <c:v>92373.199201784446</c:v>
                </c:pt>
                <c:pt idx="56">
                  <c:v>31130.962871255713</c:v>
                </c:pt>
                <c:pt idx="57">
                  <c:v>53969.428454750967</c:v>
                </c:pt>
                <c:pt idx="58">
                  <c:v>6318.7147028307354</c:v>
                </c:pt>
                <c:pt idx="59">
                  <c:v>611.18720035394631</c:v>
                </c:pt>
                <c:pt idx="60">
                  <c:v>2874.6236561244841</c:v>
                </c:pt>
                <c:pt idx="61">
                  <c:v>7157.04944075198</c:v>
                </c:pt>
                <c:pt idx="62">
                  <c:v>27961.890252717363</c:v>
                </c:pt>
                <c:pt idx="63">
                  <c:v>17.085506919607099</c:v>
                </c:pt>
                <c:pt idx="64">
                  <c:v>15305.423499661913</c:v>
                </c:pt>
                <c:pt idx="65">
                  <c:v>23491.497368625307</c:v>
                </c:pt>
                <c:pt idx="66">
                  <c:v>34109.239083527646</c:v>
                </c:pt>
                <c:pt idx="67">
                  <c:v>44074.741706285895</c:v>
                </c:pt>
                <c:pt idx="68">
                  <c:v>62882.148325605238</c:v>
                </c:pt>
                <c:pt idx="69">
                  <c:v>119701.68046002291</c:v>
                </c:pt>
                <c:pt idx="70">
                  <c:v>60616.225448588375</c:v>
                </c:pt>
                <c:pt idx="71">
                  <c:v>40313.096344194404</c:v>
                </c:pt>
                <c:pt idx="72">
                  <c:v>69484.762643151291</c:v>
                </c:pt>
                <c:pt idx="73">
                  <c:v>4354.245381191804</c:v>
                </c:pt>
                <c:pt idx="74">
                  <c:v>67789.646319616557</c:v>
                </c:pt>
                <c:pt idx="75">
                  <c:v>38057.288509862541</c:v>
                </c:pt>
                <c:pt idx="76">
                  <c:v>129259.43762941974</c:v>
                </c:pt>
                <c:pt idx="77">
                  <c:v>13242.009246817875</c:v>
                </c:pt>
                <c:pt idx="78">
                  <c:v>26.248708116971144</c:v>
                </c:pt>
                <c:pt idx="79">
                  <c:v>97272.79510433707</c:v>
                </c:pt>
                <c:pt idx="80">
                  <c:v>80204.173272701926</c:v>
                </c:pt>
                <c:pt idx="81">
                  <c:v>100407.44430868815</c:v>
                </c:pt>
                <c:pt idx="82">
                  <c:v>1637.5365076195994</c:v>
                </c:pt>
                <c:pt idx="83">
                  <c:v>29591.434929199342</c:v>
                </c:pt>
                <c:pt idx="84">
                  <c:v>7974.6878662193621</c:v>
                </c:pt>
                <c:pt idx="85">
                  <c:v>16777.792998190871</c:v>
                </c:pt>
                <c:pt idx="86">
                  <c:v>21.949666861771071</c:v>
                </c:pt>
                <c:pt idx="87">
                  <c:v>3758.3689085741084</c:v>
                </c:pt>
                <c:pt idx="88">
                  <c:v>90430.319305542653</c:v>
                </c:pt>
                <c:pt idx="89">
                  <c:v>51132.992182717215</c:v>
                </c:pt>
                <c:pt idx="90">
                  <c:v>1067.0257193371917</c:v>
                </c:pt>
                <c:pt idx="91">
                  <c:v>22.035010663437479</c:v>
                </c:pt>
                <c:pt idx="92">
                  <c:v>34289.784476851804</c:v>
                </c:pt>
                <c:pt idx="93">
                  <c:v>5630.6289925487908</c:v>
                </c:pt>
                <c:pt idx="94">
                  <c:v>3265.2899921871549</c:v>
                </c:pt>
                <c:pt idx="95">
                  <c:v>9247.2526946569778</c:v>
                </c:pt>
                <c:pt idx="96">
                  <c:v>36466.102814967548</c:v>
                </c:pt>
              </c:numCache>
            </c:numRef>
          </c:val>
          <c:extLst>
            <c:ext xmlns:c16="http://schemas.microsoft.com/office/drawing/2014/chart" uri="{C3380CC4-5D6E-409C-BE32-E72D297353CC}">
              <c16:uniqueId val="{00000000-6708-4CDF-8489-69F2BE2D8A07}"/>
            </c:ext>
          </c:extLst>
        </c:ser>
        <c:dLbls>
          <c:showLegendKey val="0"/>
          <c:showVal val="0"/>
          <c:showCatName val="0"/>
          <c:showSerName val="0"/>
          <c:showPercent val="0"/>
          <c:showBubbleSize val="0"/>
        </c:dLbls>
        <c:gapWidth val="219"/>
        <c:overlap val="-27"/>
        <c:axId val="360055440"/>
        <c:axId val="360055856"/>
      </c:barChart>
      <c:catAx>
        <c:axId val="36005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360055856"/>
        <c:crosses val="autoZero"/>
        <c:auto val="1"/>
        <c:lblAlgn val="ctr"/>
        <c:lblOffset val="100"/>
        <c:noMultiLvlLbl val="0"/>
      </c:catAx>
      <c:valAx>
        <c:axId val="360055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360055440"/>
        <c:crosses val="autoZero"/>
        <c:crossBetween val="between"/>
        <c:majorUnit val="300000"/>
        <c:dispUnits>
          <c:builtInUnit val="hundredThousands"/>
          <c:dispUnitsLbl>
            <c:layout>
              <c:manualLayout>
                <c:xMode val="edge"/>
                <c:yMode val="edge"/>
                <c:x val="3.5363977055683383E-4"/>
                <c:y val="0.23009559262323995"/>
              </c:manualLayout>
            </c:layout>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lumMod val="65000"/>
                          <a:lumOff val="35000"/>
                        </a:sysClr>
                      </a:solidFill>
                      <a:latin typeface="+mn-lt"/>
                      <a:ea typeface="+mn-ea"/>
                      <a:cs typeface="+mn-cs"/>
                    </a:defRPr>
                  </a:pPr>
                  <a:r>
                    <a:rPr lang="en-US" sz="1200" b="1" i="0" baseline="0">
                      <a:effectLst/>
                    </a:rPr>
                    <a:t>Copies of DiPPR gene (100,000/ml)</a:t>
                  </a:r>
                  <a:endParaRPr lang="en-US" sz="1200" b="1">
                    <a:effectLst/>
                  </a:endParaRPr>
                </a:p>
              </c:rich>
            </c:tx>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lumMod val="65000"/>
                        <a:lumOff val="35000"/>
                      </a:sysClr>
                    </a:solidFill>
                    <a:latin typeface="+mn-lt"/>
                    <a:ea typeface="+mn-ea"/>
                    <a:cs typeface="+mn-cs"/>
                  </a:defRPr>
                </a:pPr>
                <a:endParaRPr lang="en-US"/>
              </a:p>
            </c:txPr>
          </c:dispUnitsLbl>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US" sz="1800" b="1"/>
              <a:t>Seasonal change of Long Island Sound </a:t>
            </a:r>
            <a:r>
              <a:rPr lang="en-US" sz="1800" b="1" i="0" u="none" strike="noStrike" baseline="0">
                <a:effectLst/>
              </a:rPr>
              <a:t>18S rDNA </a:t>
            </a:r>
            <a:r>
              <a:rPr lang="en-US" sz="1800" b="1"/>
              <a:t>abundance in 2010</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818271278181061E-2"/>
          <c:y val="0.14085004672495549"/>
          <c:w val="0.94205981744452671"/>
          <c:h val="0.67317987553422809"/>
        </c:manualLayout>
      </c:layout>
      <c:barChart>
        <c:barDir val="col"/>
        <c:grouping val="clustered"/>
        <c:varyColors val="0"/>
        <c:ser>
          <c:idx val="0"/>
          <c:order val="0"/>
          <c:tx>
            <c:strRef>
              <c:f>'[1]18S vs DiPPR'!$BB$8</c:f>
              <c:strCache>
                <c:ptCount val="1"/>
                <c:pt idx="0">
                  <c:v>18S rDNA</c:v>
                </c:pt>
              </c:strCache>
            </c:strRef>
          </c:tx>
          <c:spPr>
            <a:solidFill>
              <a:srgbClr val="00B050"/>
            </a:solidFill>
            <a:ln>
              <a:solidFill>
                <a:srgbClr val="00B050"/>
              </a:solidFill>
            </a:ln>
            <a:effectLst/>
          </c:spPr>
          <c:invertIfNegative val="0"/>
          <c:errBars>
            <c:errBarType val="plus"/>
            <c:errValType val="cust"/>
            <c:noEndCap val="0"/>
            <c:plus>
              <c:numRef>
                <c:f>'[1]18S vs DiPPR'!$BC$9:$EU$9</c:f>
                <c:numCache>
                  <c:formatCode>General</c:formatCode>
                  <c:ptCount val="97"/>
                  <c:pt idx="0">
                    <c:v>409844.73346792528</c:v>
                  </c:pt>
                  <c:pt idx="1">
                    <c:v>150798.89074093339</c:v>
                  </c:pt>
                  <c:pt idx="2">
                    <c:v>893981.67057631549</c:v>
                  </c:pt>
                  <c:pt idx="3">
                    <c:v>539023.39758035145</c:v>
                  </c:pt>
                  <c:pt idx="4">
                    <c:v>200390.66791491001</c:v>
                  </c:pt>
                  <c:pt idx="5">
                    <c:v>1027820.5266457096</c:v>
                  </c:pt>
                  <c:pt idx="6">
                    <c:v>283633.37864703505</c:v>
                  </c:pt>
                  <c:pt idx="7">
                    <c:v>316867.84046997869</c:v>
                  </c:pt>
                  <c:pt idx="8">
                    <c:v>442392.27154204389</c:v>
                  </c:pt>
                  <c:pt idx="9">
                    <c:v>572201.14969539456</c:v>
                  </c:pt>
                  <c:pt idx="10">
                    <c:v>6062596.55267106</c:v>
                  </c:pt>
                  <c:pt idx="11">
                    <c:v>8581012.0875395462</c:v>
                  </c:pt>
                  <c:pt idx="12">
                    <c:v>7042687.6580444938</c:v>
                  </c:pt>
                  <c:pt idx="13">
                    <c:v>4290506.0437697731</c:v>
                  </c:pt>
                  <c:pt idx="14">
                    <c:v>14773682.101583064</c:v>
                  </c:pt>
                  <c:pt idx="15">
                    <c:v>11730768.252861148</c:v>
                  </c:pt>
                  <c:pt idx="16">
                    <c:v>6380260.1197905578</c:v>
                  </c:pt>
                  <c:pt idx="17">
                    <c:v>2367982.9187132409</c:v>
                  </c:pt>
                  <c:pt idx="18">
                    <c:v>3521343.8290222469</c:v>
                  </c:pt>
                  <c:pt idx="19">
                    <c:v>3527265.3136555422</c:v>
                  </c:pt>
                  <c:pt idx="20">
                    <c:v>2145253.0218848865</c:v>
                  </c:pt>
                  <c:pt idx="21">
                    <c:v>5088273.566174753</c:v>
                  </c:pt>
                  <c:pt idx="22">
                    <c:v>1142481.105483453</c:v>
                  </c:pt>
                  <c:pt idx="23">
                    <c:v>527226.48446414841</c:v>
                  </c:pt>
                  <c:pt idx="24">
                    <c:v>256955.13166142741</c:v>
                  </c:pt>
                  <c:pt idx="25">
                    <c:v>548813.92894575291</c:v>
                  </c:pt>
                  <c:pt idx="26">
                    <c:v>286581.6809934749</c:v>
                  </c:pt>
                  <c:pt idx="27">
                    <c:v>2101831.1244551265</c:v>
                  </c:pt>
                  <c:pt idx="28">
                    <c:v>442392.27154204389</c:v>
                  </c:pt>
                  <c:pt idx="29">
                    <c:v>1263219.3356439241</c:v>
                  </c:pt>
                  <c:pt idx="30">
                    <c:v>760375.42455221014</c:v>
                  </c:pt>
                  <c:pt idx="31">
                    <c:v>3801877.1227610507</c:v>
                  </c:pt>
                  <c:pt idx="32">
                    <c:v>732485.164940038</c:v>
                  </c:pt>
                  <c:pt idx="33">
                    <c:v>469622.22331912792</c:v>
                  </c:pt>
                  <c:pt idx="34">
                    <c:v>1539142.5709462729</c:v>
                  </c:pt>
                  <c:pt idx="35">
                    <c:v>82510.040838511355</c:v>
                  </c:pt>
                  <c:pt idx="36">
                    <c:v>362474.74266421178</c:v>
                  </c:pt>
                  <c:pt idx="37">
                    <c:v>611430.75875516201</c:v>
                  </c:pt>
                  <c:pt idx="38">
                    <c:v>1716603.4490861839</c:v>
                  </c:pt>
                  <c:pt idx="39">
                    <c:v>1681464.8995641014</c:v>
                  </c:pt>
                  <c:pt idx="40">
                    <c:v>4196605.246049108</c:v>
                  </c:pt>
                  <c:pt idx="41">
                    <c:v>1246029.3909838749</c:v>
                  </c:pt>
                  <c:pt idx="42">
                    <c:v>6072791.4027247922</c:v>
                  </c:pt>
                  <c:pt idx="43">
                    <c:v>2045305.5476254504</c:v>
                  </c:pt>
                  <c:pt idx="44">
                    <c:v>1766598.377922687</c:v>
                  </c:pt>
                  <c:pt idx="45">
                    <c:v>148996.94509605257</c:v>
                  </c:pt>
                  <c:pt idx="46">
                    <c:v>3392182.3774498352</c:v>
                  </c:pt>
                  <c:pt idx="47">
                    <c:v>1189974.5020618262</c:v>
                  </c:pt>
                  <c:pt idx="48">
                    <c:v>421781.18757131876</c:v>
                  </c:pt>
                  <c:pt idx="51">
                    <c:v>3557947.3709722413</c:v>
                  </c:pt>
                  <c:pt idx="52">
                    <c:v>9249078.4346307684</c:v>
                  </c:pt>
                  <c:pt idx="53">
                    <c:v>5282015.7435333701</c:v>
                  </c:pt>
                  <c:pt idx="54">
                    <c:v>2048744.929281635</c:v>
                  </c:pt>
                  <c:pt idx="55">
                    <c:v>2622635.8829299677</c:v>
                  </c:pt>
                  <c:pt idx="56">
                    <c:v>2537323.1986494823</c:v>
                  </c:pt>
                  <c:pt idx="57">
                    <c:v>2750795.6254708003</c:v>
                  </c:pt>
                  <c:pt idx="58">
                    <c:v>2152473.9944226765</c:v>
                  </c:pt>
                  <c:pt idx="59">
                    <c:v>328380.7627632271</c:v>
                  </c:pt>
                  <c:pt idx="60">
                    <c:v>216718.92221097799</c:v>
                  </c:pt>
                  <c:pt idx="61">
                    <c:v>328932.96718715871</c:v>
                  </c:pt>
                  <c:pt idx="62">
                    <c:v>3046616.2812892082</c:v>
                  </c:pt>
                  <c:pt idx="63">
                    <c:v>26450.057065596509</c:v>
                  </c:pt>
                  <c:pt idx="64">
                    <c:v>2920111.4952284032</c:v>
                  </c:pt>
                  <c:pt idx="65">
                    <c:v>1781965.2040236832</c:v>
                  </c:pt>
                  <c:pt idx="66">
                    <c:v>3563930.4080473664</c:v>
                  </c:pt>
                  <c:pt idx="67">
                    <c:v>2375953.6053649108</c:v>
                  </c:pt>
                  <c:pt idx="68">
                    <c:v>4562252.5473132608</c:v>
                  </c:pt>
                  <c:pt idx="69">
                    <c:v>1781965.2040236832</c:v>
                  </c:pt>
                  <c:pt idx="70">
                    <c:v>2197455.4948201142</c:v>
                  </c:pt>
                  <c:pt idx="71">
                    <c:v>1392031.6577920169</c:v>
                  </c:pt>
                  <c:pt idx="72">
                    <c:v>4409081.6420694273</c:v>
                  </c:pt>
                  <c:pt idx="73">
                    <c:v>328932.96718715871</c:v>
                  </c:pt>
                  <c:pt idx="74">
                    <c:v>1132628.8881494717</c:v>
                  </c:pt>
                  <c:pt idx="75">
                    <c:v>944877.18190479674</c:v>
                  </c:pt>
                  <c:pt idx="76">
                    <c:v>369679.14721497509</c:v>
                  </c:pt>
                  <c:pt idx="77">
                    <c:v>244161.72164667933</c:v>
                  </c:pt>
                  <c:pt idx="78">
                    <c:v>301091.4666828161</c:v>
                  </c:pt>
                  <c:pt idx="79">
                    <c:v>690013.71719257266</c:v>
                  </c:pt>
                  <c:pt idx="80">
                    <c:v>593988.4013412277</c:v>
                  </c:pt>
                  <c:pt idx="81">
                    <c:v>338023.6019483743</c:v>
                  </c:pt>
                  <c:pt idx="82">
                    <c:v>221568.09874382705</c:v>
                  </c:pt>
                  <c:pt idx="83">
                    <c:v>363694.84124266374</c:v>
                  </c:pt>
                  <c:pt idx="84">
                    <c:v>1313523.0510529084</c:v>
                  </c:pt>
                  <c:pt idx="85">
                    <c:v>518380.53214382229</c:v>
                  </c:pt>
                  <c:pt idx="86">
                    <c:v>353402.23714352993</c:v>
                  </c:pt>
                  <c:pt idx="87">
                    <c:v>631609.66782196204</c:v>
                  </c:pt>
                  <c:pt idx="88">
                    <c:v>822332.41796789668</c:v>
                  </c:pt>
                  <c:pt idx="89">
                    <c:v>452396.67222280015</c:v>
                  </c:pt>
                  <c:pt idx="90">
                    <c:v>430595.39424955478</c:v>
                  </c:pt>
                  <c:pt idx="91">
                    <c:v>404947.36367348436</c:v>
                  </c:pt>
                  <c:pt idx="92">
                    <c:v>691174.04285842972</c:v>
                  </c:pt>
                  <c:pt idx="93">
                    <c:v>186873.09043264348</c:v>
                  </c:pt>
                  <c:pt idx="94">
                    <c:v>702546.75559323747</c:v>
                  </c:pt>
                  <c:pt idx="95">
                    <c:v>567266.75729407009</c:v>
                  </c:pt>
                  <c:pt idx="96">
                    <c:v>859745.04298042471</c:v>
                  </c:pt>
                </c:numCache>
              </c:numRef>
            </c:plus>
            <c:minus>
              <c:numLit>
                <c:formatCode>General</c:formatCode>
                <c:ptCount val="1"/>
                <c:pt idx="0">
                  <c:v>1</c:v>
                </c:pt>
              </c:numLit>
            </c:minus>
            <c:spPr>
              <a:noFill/>
              <a:ln w="9525" cap="flat" cmpd="sng" algn="ctr">
                <a:solidFill>
                  <a:schemeClr val="tx1">
                    <a:lumMod val="65000"/>
                    <a:lumOff val="35000"/>
                  </a:schemeClr>
                </a:solidFill>
                <a:round/>
              </a:ln>
              <a:effectLst/>
            </c:spPr>
          </c:errBars>
          <c:cat>
            <c:multiLvlStrRef>
              <c:f>'[1]18S vs DiPPR'!$BC$1:$EU$2</c:f>
              <c:multiLvlStrCache>
                <c:ptCount val="97"/>
                <c:lvl>
                  <c:pt idx="0">
                    <c:v>A4</c:v>
                  </c:pt>
                  <c:pt idx="1">
                    <c:v>B3</c:v>
                  </c:pt>
                  <c:pt idx="2">
                    <c:v>C1</c:v>
                  </c:pt>
                  <c:pt idx="3">
                    <c:v>D3</c:v>
                  </c:pt>
                  <c:pt idx="4">
                    <c:v>E1</c:v>
                  </c:pt>
                  <c:pt idx="5">
                    <c:v>F2</c:v>
                  </c:pt>
                  <c:pt idx="6">
                    <c:v>H4</c:v>
                  </c:pt>
                  <c:pt idx="7">
                    <c:v>I2</c:v>
                  </c:pt>
                  <c:pt idx="8">
                    <c:v>J2</c:v>
                  </c:pt>
                  <c:pt idx="9">
                    <c:v>K2</c:v>
                  </c:pt>
                  <c:pt idx="10">
                    <c:v>A4</c:v>
                  </c:pt>
                  <c:pt idx="11">
                    <c:v>B3</c:v>
                  </c:pt>
                  <c:pt idx="12">
                    <c:v>C1</c:v>
                  </c:pt>
                  <c:pt idx="13">
                    <c:v>D3</c:v>
                  </c:pt>
                  <c:pt idx="14">
                    <c:v>E1</c:v>
                  </c:pt>
                  <c:pt idx="15">
                    <c:v>F2</c:v>
                  </c:pt>
                  <c:pt idx="16">
                    <c:v>H4</c:v>
                  </c:pt>
                  <c:pt idx="17">
                    <c:v>I2</c:v>
                  </c:pt>
                  <c:pt idx="18">
                    <c:v>J2</c:v>
                  </c:pt>
                  <c:pt idx="19">
                    <c:v>K2</c:v>
                  </c:pt>
                  <c:pt idx="20">
                    <c:v>A4</c:v>
                  </c:pt>
                  <c:pt idx="21">
                    <c:v>B3</c:v>
                  </c:pt>
                  <c:pt idx="22">
                    <c:v>C1</c:v>
                  </c:pt>
                  <c:pt idx="23">
                    <c:v>D3</c:v>
                  </c:pt>
                  <c:pt idx="24">
                    <c:v>E1</c:v>
                  </c:pt>
                  <c:pt idx="25">
                    <c:v>F2</c:v>
                  </c:pt>
                  <c:pt idx="26">
                    <c:v>H4</c:v>
                  </c:pt>
                  <c:pt idx="27">
                    <c:v>I2</c:v>
                  </c:pt>
                  <c:pt idx="28">
                    <c:v>J2</c:v>
                  </c:pt>
                  <c:pt idx="29">
                    <c:v>K2</c:v>
                  </c:pt>
                  <c:pt idx="30">
                    <c:v>A4</c:v>
                  </c:pt>
                  <c:pt idx="31">
                    <c:v>B3</c:v>
                  </c:pt>
                  <c:pt idx="32">
                    <c:v>C1</c:v>
                  </c:pt>
                  <c:pt idx="33">
                    <c:v>D3</c:v>
                  </c:pt>
                  <c:pt idx="34">
                    <c:v>E1</c:v>
                  </c:pt>
                  <c:pt idx="35">
                    <c:v>F2</c:v>
                  </c:pt>
                  <c:pt idx="36">
                    <c:v>H4</c:v>
                  </c:pt>
                  <c:pt idx="37">
                    <c:v>I2</c:v>
                  </c:pt>
                  <c:pt idx="38">
                    <c:v>K2</c:v>
                  </c:pt>
                  <c:pt idx="39">
                    <c:v>A4</c:v>
                  </c:pt>
                  <c:pt idx="40">
                    <c:v>B3</c:v>
                  </c:pt>
                  <c:pt idx="41">
                    <c:v>C1</c:v>
                  </c:pt>
                  <c:pt idx="42">
                    <c:v>D3</c:v>
                  </c:pt>
                  <c:pt idx="43">
                    <c:v>E1</c:v>
                  </c:pt>
                  <c:pt idx="44">
                    <c:v>F2</c:v>
                  </c:pt>
                  <c:pt idx="45">
                    <c:v>H4</c:v>
                  </c:pt>
                  <c:pt idx="46">
                    <c:v>I2</c:v>
                  </c:pt>
                  <c:pt idx="47">
                    <c:v>J2</c:v>
                  </c:pt>
                  <c:pt idx="48">
                    <c:v>K2</c:v>
                  </c:pt>
                  <c:pt idx="51">
                    <c:v>A4</c:v>
                  </c:pt>
                  <c:pt idx="52">
                    <c:v>B3</c:v>
                  </c:pt>
                  <c:pt idx="53">
                    <c:v>D3</c:v>
                  </c:pt>
                  <c:pt idx="54">
                    <c:v>E1</c:v>
                  </c:pt>
                  <c:pt idx="55">
                    <c:v>F2</c:v>
                  </c:pt>
                  <c:pt idx="56">
                    <c:v>H4</c:v>
                  </c:pt>
                  <c:pt idx="57">
                    <c:v>A4</c:v>
                  </c:pt>
                  <c:pt idx="58">
                    <c:v>B3</c:v>
                  </c:pt>
                  <c:pt idx="59">
                    <c:v>C1</c:v>
                  </c:pt>
                  <c:pt idx="60">
                    <c:v>D3</c:v>
                  </c:pt>
                  <c:pt idx="61">
                    <c:v>F2</c:v>
                  </c:pt>
                  <c:pt idx="62">
                    <c:v>H4</c:v>
                  </c:pt>
                  <c:pt idx="63">
                    <c:v>B3</c:v>
                  </c:pt>
                  <c:pt idx="64">
                    <c:v>D3</c:v>
                  </c:pt>
                  <c:pt idx="65">
                    <c:v>E1</c:v>
                  </c:pt>
                  <c:pt idx="66">
                    <c:v>F2</c:v>
                  </c:pt>
                  <c:pt idx="67">
                    <c:v>H4</c:v>
                  </c:pt>
                  <c:pt idx="68">
                    <c:v>I2</c:v>
                  </c:pt>
                  <c:pt idx="69">
                    <c:v>A4</c:v>
                  </c:pt>
                  <c:pt idx="70">
                    <c:v>B3</c:v>
                  </c:pt>
                  <c:pt idx="71">
                    <c:v>C1</c:v>
                  </c:pt>
                  <c:pt idx="72">
                    <c:v>D3</c:v>
                  </c:pt>
                  <c:pt idx="73">
                    <c:v>E1</c:v>
                  </c:pt>
                  <c:pt idx="74">
                    <c:v>F2</c:v>
                  </c:pt>
                  <c:pt idx="75">
                    <c:v>H4</c:v>
                  </c:pt>
                  <c:pt idx="76">
                    <c:v>I2</c:v>
                  </c:pt>
                  <c:pt idx="77">
                    <c:v>J2</c:v>
                  </c:pt>
                  <c:pt idx="78">
                    <c:v>K2</c:v>
                  </c:pt>
                  <c:pt idx="79">
                    <c:v>A4</c:v>
                  </c:pt>
                  <c:pt idx="80">
                    <c:v>B3</c:v>
                  </c:pt>
                  <c:pt idx="81">
                    <c:v>C1</c:v>
                  </c:pt>
                  <c:pt idx="82">
                    <c:v>D3</c:v>
                  </c:pt>
                  <c:pt idx="83">
                    <c:v>E1</c:v>
                  </c:pt>
                  <c:pt idx="84">
                    <c:v>F2</c:v>
                  </c:pt>
                  <c:pt idx="85">
                    <c:v>H4</c:v>
                  </c:pt>
                  <c:pt idx="86">
                    <c:v>I2</c:v>
                  </c:pt>
                  <c:pt idx="87">
                    <c:v>J2</c:v>
                  </c:pt>
                  <c:pt idx="88">
                    <c:v>A4</c:v>
                  </c:pt>
                  <c:pt idx="89">
                    <c:v>B3</c:v>
                  </c:pt>
                  <c:pt idx="90">
                    <c:v>C1</c:v>
                  </c:pt>
                  <c:pt idx="91">
                    <c:v>D3</c:v>
                  </c:pt>
                  <c:pt idx="92">
                    <c:v>E1</c:v>
                  </c:pt>
                  <c:pt idx="93">
                    <c:v>F2</c:v>
                  </c:pt>
                  <c:pt idx="94">
                    <c:v>H4</c:v>
                  </c:pt>
                  <c:pt idx="95">
                    <c:v>I2</c:v>
                  </c:pt>
                  <c:pt idx="96">
                    <c:v>J2</c:v>
                  </c:pt>
                </c:lvl>
                <c:lvl>
                  <c:pt idx="0">
                    <c:v>Jan</c:v>
                  </c:pt>
                  <c:pt idx="10">
                    <c:v>Feb</c:v>
                  </c:pt>
                  <c:pt idx="20">
                    <c:v>Mar</c:v>
                  </c:pt>
                  <c:pt idx="30">
                    <c:v>Apr</c:v>
                  </c:pt>
                  <c:pt idx="39">
                    <c:v>May</c:v>
                  </c:pt>
                  <c:pt idx="49">
                    <c:v>Jun</c:v>
                  </c:pt>
                  <c:pt idx="51">
                    <c:v>July</c:v>
                  </c:pt>
                  <c:pt idx="57">
                    <c:v>Aug</c:v>
                  </c:pt>
                  <c:pt idx="63">
                    <c:v>Sept</c:v>
                  </c:pt>
                  <c:pt idx="69">
                    <c:v>Oct</c:v>
                  </c:pt>
                  <c:pt idx="79">
                    <c:v>Nov</c:v>
                  </c:pt>
                  <c:pt idx="88">
                    <c:v>Dec</c:v>
                  </c:pt>
                </c:lvl>
              </c:multiLvlStrCache>
            </c:multiLvlStrRef>
          </c:cat>
          <c:val>
            <c:numRef>
              <c:f>'[1]18S vs DiPPR'!$BC$8:$EU$8</c:f>
              <c:numCache>
                <c:formatCode>General</c:formatCode>
                <c:ptCount val="97"/>
                <c:pt idx="0">
                  <c:v>455383.03718658362</c:v>
                </c:pt>
                <c:pt idx="1">
                  <c:v>502662.96913644462</c:v>
                </c:pt>
                <c:pt idx="2">
                  <c:v>1489969.4509605258</c:v>
                </c:pt>
                <c:pt idx="3">
                  <c:v>2695116.987901757</c:v>
                </c:pt>
                <c:pt idx="4">
                  <c:v>2003906.6791491001</c:v>
                </c:pt>
                <c:pt idx="5">
                  <c:v>1284775.658307137</c:v>
                </c:pt>
                <c:pt idx="6">
                  <c:v>1418166.8932351752</c:v>
                </c:pt>
                <c:pt idx="7">
                  <c:v>528113.06744996447</c:v>
                </c:pt>
                <c:pt idx="8">
                  <c:v>2211961.3577102195</c:v>
                </c:pt>
                <c:pt idx="9">
                  <c:v>1907337.1656513154</c:v>
                </c:pt>
                <c:pt idx="10">
                  <c:v>30312982.7633553</c:v>
                </c:pt>
                <c:pt idx="11">
                  <c:v>21452530.218848865</c:v>
                </c:pt>
                <c:pt idx="12">
                  <c:v>17606719.145111233</c:v>
                </c:pt>
                <c:pt idx="13">
                  <c:v>21452530.218848865</c:v>
                </c:pt>
                <c:pt idx="14">
                  <c:v>36934205.253957659</c:v>
                </c:pt>
                <c:pt idx="15">
                  <c:v>16758240.361230211</c:v>
                </c:pt>
                <c:pt idx="16">
                  <c:v>15950650.299476393</c:v>
                </c:pt>
                <c:pt idx="17">
                  <c:v>23679829.187132407</c:v>
                </c:pt>
                <c:pt idx="18">
                  <c:v>17606719.145111233</c:v>
                </c:pt>
                <c:pt idx="19">
                  <c:v>8818163.2841388546</c:v>
                </c:pt>
                <c:pt idx="20">
                  <c:v>21452530.218848865</c:v>
                </c:pt>
                <c:pt idx="21">
                  <c:v>5653637.2957497258</c:v>
                </c:pt>
                <c:pt idx="22">
                  <c:v>3808270.3516115099</c:v>
                </c:pt>
                <c:pt idx="23">
                  <c:v>1054452.9689282968</c:v>
                </c:pt>
                <c:pt idx="24">
                  <c:v>1284775.658307137</c:v>
                </c:pt>
                <c:pt idx="25">
                  <c:v>784019.89849393279</c:v>
                </c:pt>
                <c:pt idx="26">
                  <c:v>955272.26997824968</c:v>
                </c:pt>
                <c:pt idx="27">
                  <c:v>4203662.2489102529</c:v>
                </c:pt>
                <c:pt idx="28">
                  <c:v>2211961.3577102195</c:v>
                </c:pt>
                <c:pt idx="29">
                  <c:v>2105365.5594065404</c:v>
                </c:pt>
                <c:pt idx="30">
                  <c:v>7603754.2455221014</c:v>
                </c:pt>
                <c:pt idx="31">
                  <c:v>7603754.2455221014</c:v>
                </c:pt>
                <c:pt idx="32">
                  <c:v>2441617.2164667933</c:v>
                </c:pt>
                <c:pt idx="33">
                  <c:v>1565407.4110637598</c:v>
                </c:pt>
                <c:pt idx="34">
                  <c:v>2565237.6182437884</c:v>
                </c:pt>
                <c:pt idx="35">
                  <c:v>412550.20419255673</c:v>
                </c:pt>
                <c:pt idx="36">
                  <c:v>3624747.4266421176</c:v>
                </c:pt>
                <c:pt idx="37">
                  <c:v>1222861.517510324</c:v>
                </c:pt>
                <c:pt idx="38">
                  <c:v>1907337.1656513154</c:v>
                </c:pt>
                <c:pt idx="39">
                  <c:v>4203662.2489102529</c:v>
                </c:pt>
                <c:pt idx="40">
                  <c:v>8393210.492098216</c:v>
                </c:pt>
                <c:pt idx="41">
                  <c:v>12460293.909838749</c:v>
                </c:pt>
                <c:pt idx="42">
                  <c:v>15181978.50681198</c:v>
                </c:pt>
                <c:pt idx="43">
                  <c:v>10226527.738127252</c:v>
                </c:pt>
                <c:pt idx="44">
                  <c:v>4416495.9448067173</c:v>
                </c:pt>
                <c:pt idx="45">
                  <c:v>1489969.4509605258</c:v>
                </c:pt>
                <c:pt idx="46">
                  <c:v>5653637.2957497258</c:v>
                </c:pt>
                <c:pt idx="47">
                  <c:v>2974936.2551545654</c:v>
                </c:pt>
                <c:pt idx="48">
                  <c:v>1054452.9689282968</c:v>
                </c:pt>
                <c:pt idx="51">
                  <c:v>11859824.569907472</c:v>
                </c:pt>
                <c:pt idx="52">
                  <c:v>18498156.869261537</c:v>
                </c:pt>
                <c:pt idx="53">
                  <c:v>17606719.145111233</c:v>
                </c:pt>
                <c:pt idx="54">
                  <c:v>5121862.3232040871</c:v>
                </c:pt>
                <c:pt idx="55">
                  <c:v>6556589.7073249193</c:v>
                </c:pt>
                <c:pt idx="56">
                  <c:v>3624747.4266421176</c:v>
                </c:pt>
                <c:pt idx="57">
                  <c:v>13753978.127354002</c:v>
                </c:pt>
                <c:pt idx="58">
                  <c:v>5381184.986056691</c:v>
                </c:pt>
                <c:pt idx="59">
                  <c:v>3283807.6276322706</c:v>
                </c:pt>
                <c:pt idx="60">
                  <c:v>433437.84442195599</c:v>
                </c:pt>
                <c:pt idx="61">
                  <c:v>1644664.8359357934</c:v>
                </c:pt>
                <c:pt idx="62">
                  <c:v>3808270.3516115099</c:v>
                </c:pt>
                <c:pt idx="63">
                  <c:v>264500.57065596507</c:v>
                </c:pt>
                <c:pt idx="64">
                  <c:v>9733704.9840946775</c:v>
                </c:pt>
                <c:pt idx="65">
                  <c:v>5939884.0134122772</c:v>
                </c:pt>
                <c:pt idx="66">
                  <c:v>5939884.0134122772</c:v>
                </c:pt>
                <c:pt idx="67">
                  <c:v>5939884.0134122772</c:v>
                </c:pt>
                <c:pt idx="68">
                  <c:v>7603754.2455221014</c:v>
                </c:pt>
                <c:pt idx="69">
                  <c:v>5939884.0134122772</c:v>
                </c:pt>
                <c:pt idx="70">
                  <c:v>2441617.2164667933</c:v>
                </c:pt>
                <c:pt idx="71">
                  <c:v>4640105.5259733899</c:v>
                </c:pt>
                <c:pt idx="72">
                  <c:v>8818163.2841388546</c:v>
                </c:pt>
                <c:pt idx="73">
                  <c:v>1644664.8359357934</c:v>
                </c:pt>
                <c:pt idx="74">
                  <c:v>2831572.2203736794</c:v>
                </c:pt>
                <c:pt idx="75">
                  <c:v>1349824.5455782812</c:v>
                </c:pt>
                <c:pt idx="76">
                  <c:v>528113.06744996447</c:v>
                </c:pt>
                <c:pt idx="77">
                  <c:v>2441617.2164667933</c:v>
                </c:pt>
                <c:pt idx="78">
                  <c:v>1003638.2222760536</c:v>
                </c:pt>
                <c:pt idx="79">
                  <c:v>3450068.5859628632</c:v>
                </c:pt>
                <c:pt idx="80">
                  <c:v>5939884.0134122772</c:v>
                </c:pt>
                <c:pt idx="81">
                  <c:v>676047.2038967486</c:v>
                </c:pt>
                <c:pt idx="82">
                  <c:v>1107840.4937191352</c:v>
                </c:pt>
                <c:pt idx="83">
                  <c:v>909237.10310665925</c:v>
                </c:pt>
                <c:pt idx="84">
                  <c:v>3283807.6276322706</c:v>
                </c:pt>
                <c:pt idx="85">
                  <c:v>1727935.1071460743</c:v>
                </c:pt>
                <c:pt idx="86">
                  <c:v>392669.15238169994</c:v>
                </c:pt>
                <c:pt idx="87">
                  <c:v>2105365.5594065404</c:v>
                </c:pt>
                <c:pt idx="88">
                  <c:v>1644664.8359357934</c:v>
                </c:pt>
                <c:pt idx="89">
                  <c:v>502662.96913644462</c:v>
                </c:pt>
                <c:pt idx="90">
                  <c:v>478439.32694394974</c:v>
                </c:pt>
                <c:pt idx="91">
                  <c:v>1349824.5455782812</c:v>
                </c:pt>
                <c:pt idx="92">
                  <c:v>1727935.1071460743</c:v>
                </c:pt>
                <c:pt idx="93">
                  <c:v>373746.18086528697</c:v>
                </c:pt>
                <c:pt idx="94">
                  <c:v>1003638.2222760536</c:v>
                </c:pt>
                <c:pt idx="95">
                  <c:v>1418166.8932351752</c:v>
                </c:pt>
                <c:pt idx="96">
                  <c:v>955272.26997824968</c:v>
                </c:pt>
              </c:numCache>
            </c:numRef>
          </c:val>
          <c:extLst>
            <c:ext xmlns:c16="http://schemas.microsoft.com/office/drawing/2014/chart" uri="{C3380CC4-5D6E-409C-BE32-E72D297353CC}">
              <c16:uniqueId val="{00000000-D20A-40C4-84D3-2FDA0BFD6724}"/>
            </c:ext>
          </c:extLst>
        </c:ser>
        <c:dLbls>
          <c:showLegendKey val="0"/>
          <c:showVal val="0"/>
          <c:showCatName val="0"/>
          <c:showSerName val="0"/>
          <c:showPercent val="0"/>
          <c:showBubbleSize val="0"/>
        </c:dLbls>
        <c:gapWidth val="219"/>
        <c:overlap val="-27"/>
        <c:axId val="360055440"/>
        <c:axId val="360055856"/>
      </c:barChart>
      <c:catAx>
        <c:axId val="36005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360055856"/>
        <c:crosses val="autoZero"/>
        <c:auto val="1"/>
        <c:lblAlgn val="ctr"/>
        <c:lblOffset val="100"/>
        <c:noMultiLvlLbl val="0"/>
      </c:catAx>
      <c:valAx>
        <c:axId val="360055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360055440"/>
        <c:crosses val="autoZero"/>
        <c:crossBetween val="between"/>
        <c:dispUnits>
          <c:builtInUnit val="hundredThousands"/>
          <c:dispUnitsLbl>
            <c:layout>
              <c:manualLayout>
                <c:xMode val="edge"/>
                <c:yMode val="edge"/>
                <c:x val="3.521384628849888E-4"/>
                <c:y val="9.6590143618137655E-2"/>
              </c:manualLayout>
            </c:layout>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lumMod val="65000"/>
                          <a:lumOff val="35000"/>
                        </a:sysClr>
                      </a:solidFill>
                      <a:latin typeface="+mn-lt"/>
                      <a:ea typeface="+mn-ea"/>
                      <a:cs typeface="+mn-cs"/>
                    </a:defRPr>
                  </a:pPr>
                  <a:r>
                    <a:rPr lang="en-US" sz="1200" b="1" i="0" baseline="0">
                      <a:effectLst/>
                    </a:rPr>
                    <a:t>Copies of phytoplankton 18S rDNA (100,000/ml)</a:t>
                  </a:r>
                  <a:endParaRPr lang="en-US" sz="1200" b="1">
                    <a:effectLst/>
                  </a:endParaRPr>
                </a:p>
              </c:rich>
            </c:tx>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lumMod val="65000"/>
                        <a:lumOff val="35000"/>
                      </a:sysClr>
                    </a:solidFill>
                    <a:latin typeface="+mn-lt"/>
                    <a:ea typeface="+mn-ea"/>
                    <a:cs typeface="+mn-cs"/>
                  </a:defRPr>
                </a:pPr>
                <a:endParaRPr lang="en-US"/>
              </a:p>
            </c:txPr>
          </c:dispUnitsLbl>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US" sz="1800" b="1"/>
              <a:t>Relative abundance of Long</a:t>
            </a:r>
            <a:r>
              <a:rPr lang="en-US" sz="1800" b="1" baseline="0"/>
              <a:t> Island Sound </a:t>
            </a:r>
            <a:r>
              <a:rPr lang="en-US" sz="1800" b="1"/>
              <a:t>DiPPR gene vs. phytoplankton 18S rDNA in 2010</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93206636745958E-2"/>
          <c:y val="0.17336560765775025"/>
          <c:w val="0.94248505834622132"/>
          <c:h val="0.64066454767008252"/>
        </c:manualLayout>
      </c:layout>
      <c:barChart>
        <c:barDir val="col"/>
        <c:grouping val="clustered"/>
        <c:varyColors val="0"/>
        <c:ser>
          <c:idx val="0"/>
          <c:order val="0"/>
          <c:tx>
            <c:strRef>
              <c:f>'[1]18S vs DiPPR'!$BB$13</c:f>
              <c:strCache>
                <c:ptCount val="1"/>
                <c:pt idx="0">
                  <c:v>DiPPRR vs. 18S rDNA</c:v>
                </c:pt>
              </c:strCache>
            </c:strRef>
          </c:tx>
          <c:spPr>
            <a:solidFill>
              <a:srgbClr val="00B0F0"/>
            </a:solidFill>
            <a:ln>
              <a:noFill/>
            </a:ln>
            <a:effectLst/>
          </c:spPr>
          <c:invertIfNegative val="0"/>
          <c:cat>
            <c:multiLvlStrRef>
              <c:f>'[1]18S vs DiPPR'!$BC$1:$EU$2</c:f>
              <c:multiLvlStrCache>
                <c:ptCount val="97"/>
                <c:lvl>
                  <c:pt idx="0">
                    <c:v>A4</c:v>
                  </c:pt>
                  <c:pt idx="1">
                    <c:v>B3</c:v>
                  </c:pt>
                  <c:pt idx="2">
                    <c:v>C1</c:v>
                  </c:pt>
                  <c:pt idx="3">
                    <c:v>D3</c:v>
                  </c:pt>
                  <c:pt idx="4">
                    <c:v>E1</c:v>
                  </c:pt>
                  <c:pt idx="5">
                    <c:v>F2</c:v>
                  </c:pt>
                  <c:pt idx="6">
                    <c:v>H4</c:v>
                  </c:pt>
                  <c:pt idx="7">
                    <c:v>I2</c:v>
                  </c:pt>
                  <c:pt idx="8">
                    <c:v>J2</c:v>
                  </c:pt>
                  <c:pt idx="9">
                    <c:v>K2</c:v>
                  </c:pt>
                  <c:pt idx="10">
                    <c:v>A4</c:v>
                  </c:pt>
                  <c:pt idx="11">
                    <c:v>B3</c:v>
                  </c:pt>
                  <c:pt idx="12">
                    <c:v>C1</c:v>
                  </c:pt>
                  <c:pt idx="13">
                    <c:v>D3</c:v>
                  </c:pt>
                  <c:pt idx="14">
                    <c:v>E1</c:v>
                  </c:pt>
                  <c:pt idx="15">
                    <c:v>F2</c:v>
                  </c:pt>
                  <c:pt idx="16">
                    <c:v>H4</c:v>
                  </c:pt>
                  <c:pt idx="17">
                    <c:v>I2</c:v>
                  </c:pt>
                  <c:pt idx="18">
                    <c:v>J2</c:v>
                  </c:pt>
                  <c:pt idx="19">
                    <c:v>K2</c:v>
                  </c:pt>
                  <c:pt idx="20">
                    <c:v>A4</c:v>
                  </c:pt>
                  <c:pt idx="21">
                    <c:v>B3</c:v>
                  </c:pt>
                  <c:pt idx="22">
                    <c:v>C1</c:v>
                  </c:pt>
                  <c:pt idx="23">
                    <c:v>D3</c:v>
                  </c:pt>
                  <c:pt idx="24">
                    <c:v>E1</c:v>
                  </c:pt>
                  <c:pt idx="25">
                    <c:v>F2</c:v>
                  </c:pt>
                  <c:pt idx="26">
                    <c:v>H4</c:v>
                  </c:pt>
                  <c:pt idx="27">
                    <c:v>I2</c:v>
                  </c:pt>
                  <c:pt idx="28">
                    <c:v>J2</c:v>
                  </c:pt>
                  <c:pt idx="29">
                    <c:v>K2</c:v>
                  </c:pt>
                  <c:pt idx="30">
                    <c:v>A4</c:v>
                  </c:pt>
                  <c:pt idx="31">
                    <c:v>B3</c:v>
                  </c:pt>
                  <c:pt idx="32">
                    <c:v>C1</c:v>
                  </c:pt>
                  <c:pt idx="33">
                    <c:v>D3</c:v>
                  </c:pt>
                  <c:pt idx="34">
                    <c:v>E1</c:v>
                  </c:pt>
                  <c:pt idx="35">
                    <c:v>F2</c:v>
                  </c:pt>
                  <c:pt idx="36">
                    <c:v>H4</c:v>
                  </c:pt>
                  <c:pt idx="37">
                    <c:v>I2</c:v>
                  </c:pt>
                  <c:pt idx="38">
                    <c:v>K2</c:v>
                  </c:pt>
                  <c:pt idx="39">
                    <c:v>A4</c:v>
                  </c:pt>
                  <c:pt idx="40">
                    <c:v>B3</c:v>
                  </c:pt>
                  <c:pt idx="41">
                    <c:v>C1</c:v>
                  </c:pt>
                  <c:pt idx="42">
                    <c:v>D3</c:v>
                  </c:pt>
                  <c:pt idx="43">
                    <c:v>E1</c:v>
                  </c:pt>
                  <c:pt idx="44">
                    <c:v>F2</c:v>
                  </c:pt>
                  <c:pt idx="45">
                    <c:v>H4</c:v>
                  </c:pt>
                  <c:pt idx="46">
                    <c:v>I2</c:v>
                  </c:pt>
                  <c:pt idx="47">
                    <c:v>J2</c:v>
                  </c:pt>
                  <c:pt idx="48">
                    <c:v>K2</c:v>
                  </c:pt>
                  <c:pt idx="51">
                    <c:v>A4</c:v>
                  </c:pt>
                  <c:pt idx="52">
                    <c:v>B3</c:v>
                  </c:pt>
                  <c:pt idx="53">
                    <c:v>D3</c:v>
                  </c:pt>
                  <c:pt idx="54">
                    <c:v>E1</c:v>
                  </c:pt>
                  <c:pt idx="55">
                    <c:v>F2</c:v>
                  </c:pt>
                  <c:pt idx="56">
                    <c:v>H4</c:v>
                  </c:pt>
                  <c:pt idx="57">
                    <c:v>A4</c:v>
                  </c:pt>
                  <c:pt idx="58">
                    <c:v>B3</c:v>
                  </c:pt>
                  <c:pt idx="59">
                    <c:v>C1</c:v>
                  </c:pt>
                  <c:pt idx="60">
                    <c:v>D3</c:v>
                  </c:pt>
                  <c:pt idx="61">
                    <c:v>F2</c:v>
                  </c:pt>
                  <c:pt idx="62">
                    <c:v>H4</c:v>
                  </c:pt>
                  <c:pt idx="63">
                    <c:v>B3</c:v>
                  </c:pt>
                  <c:pt idx="64">
                    <c:v>D3</c:v>
                  </c:pt>
                  <c:pt idx="65">
                    <c:v>E1</c:v>
                  </c:pt>
                  <c:pt idx="66">
                    <c:v>F2</c:v>
                  </c:pt>
                  <c:pt idx="67">
                    <c:v>H4</c:v>
                  </c:pt>
                  <c:pt idx="68">
                    <c:v>I2</c:v>
                  </c:pt>
                  <c:pt idx="69">
                    <c:v>A4</c:v>
                  </c:pt>
                  <c:pt idx="70">
                    <c:v>B3</c:v>
                  </c:pt>
                  <c:pt idx="71">
                    <c:v>C1</c:v>
                  </c:pt>
                  <c:pt idx="72">
                    <c:v>D3</c:v>
                  </c:pt>
                  <c:pt idx="73">
                    <c:v>E1</c:v>
                  </c:pt>
                  <c:pt idx="74">
                    <c:v>F2</c:v>
                  </c:pt>
                  <c:pt idx="75">
                    <c:v>H4</c:v>
                  </c:pt>
                  <c:pt idx="76">
                    <c:v>I2</c:v>
                  </c:pt>
                  <c:pt idx="77">
                    <c:v>J2</c:v>
                  </c:pt>
                  <c:pt idx="78">
                    <c:v>K2</c:v>
                  </c:pt>
                  <c:pt idx="79">
                    <c:v>A4</c:v>
                  </c:pt>
                  <c:pt idx="80">
                    <c:v>B3</c:v>
                  </c:pt>
                  <c:pt idx="81">
                    <c:v>C1</c:v>
                  </c:pt>
                  <c:pt idx="82">
                    <c:v>D3</c:v>
                  </c:pt>
                  <c:pt idx="83">
                    <c:v>E1</c:v>
                  </c:pt>
                  <c:pt idx="84">
                    <c:v>F2</c:v>
                  </c:pt>
                  <c:pt idx="85">
                    <c:v>H4</c:v>
                  </c:pt>
                  <c:pt idx="86">
                    <c:v>I2</c:v>
                  </c:pt>
                  <c:pt idx="87">
                    <c:v>J2</c:v>
                  </c:pt>
                  <c:pt idx="88">
                    <c:v>A4</c:v>
                  </c:pt>
                  <c:pt idx="89">
                    <c:v>B3</c:v>
                  </c:pt>
                  <c:pt idx="90">
                    <c:v>C1</c:v>
                  </c:pt>
                  <c:pt idx="91">
                    <c:v>D3</c:v>
                  </c:pt>
                  <c:pt idx="92">
                    <c:v>E1</c:v>
                  </c:pt>
                  <c:pt idx="93">
                    <c:v>F2</c:v>
                  </c:pt>
                  <c:pt idx="94">
                    <c:v>H4</c:v>
                  </c:pt>
                  <c:pt idx="95">
                    <c:v>I2</c:v>
                  </c:pt>
                  <c:pt idx="96">
                    <c:v>J2</c:v>
                  </c:pt>
                </c:lvl>
                <c:lvl>
                  <c:pt idx="0">
                    <c:v>Jan</c:v>
                  </c:pt>
                  <c:pt idx="10">
                    <c:v>Feb</c:v>
                  </c:pt>
                  <c:pt idx="20">
                    <c:v>Mar</c:v>
                  </c:pt>
                  <c:pt idx="30">
                    <c:v>Apr</c:v>
                  </c:pt>
                  <c:pt idx="39">
                    <c:v>May</c:v>
                  </c:pt>
                  <c:pt idx="49">
                    <c:v>Jun</c:v>
                  </c:pt>
                  <c:pt idx="51">
                    <c:v>July</c:v>
                  </c:pt>
                  <c:pt idx="57">
                    <c:v>Aug</c:v>
                  </c:pt>
                  <c:pt idx="63">
                    <c:v>Sept</c:v>
                  </c:pt>
                  <c:pt idx="69">
                    <c:v>Oct</c:v>
                  </c:pt>
                  <c:pt idx="79">
                    <c:v>Nov</c:v>
                  </c:pt>
                  <c:pt idx="88">
                    <c:v>Dec</c:v>
                  </c:pt>
                </c:lvl>
              </c:multiLvlStrCache>
            </c:multiLvlStrRef>
          </c:cat>
          <c:val>
            <c:numRef>
              <c:f>'[1]18S vs DiPPR'!$BC$13:$EU$13</c:f>
              <c:numCache>
                <c:formatCode>General</c:formatCode>
                <c:ptCount val="97"/>
                <c:pt idx="0">
                  <c:v>5.592026834974966E-6</c:v>
                </c:pt>
                <c:pt idx="1">
                  <c:v>0.15560616637846911</c:v>
                </c:pt>
                <c:pt idx="2">
                  <c:v>1.3248980413705822E-4</c:v>
                </c:pt>
                <c:pt idx="3">
                  <c:v>2.0127648383999443E-4</c:v>
                </c:pt>
                <c:pt idx="4">
                  <c:v>1.0230003257171487E-5</c:v>
                </c:pt>
                <c:pt idx="5">
                  <c:v>8.0159320741494886E-2</c:v>
                </c:pt>
                <c:pt idx="6">
                  <c:v>2.903272685658762E-5</c:v>
                </c:pt>
                <c:pt idx="7">
                  <c:v>4.138203532600184E-5</c:v>
                </c:pt>
                <c:pt idx="8">
                  <c:v>5.2208333447001862E-3</c:v>
                </c:pt>
                <c:pt idx="9">
                  <c:v>3.0651534222799047E-7</c:v>
                </c:pt>
                <c:pt idx="10">
                  <c:v>1.5565734005180891E-3</c:v>
                </c:pt>
                <c:pt idx="11">
                  <c:v>3.9294720439249648E-6</c:v>
                </c:pt>
                <c:pt idx="12">
                  <c:v>8.4071085260913383E-6</c:v>
                </c:pt>
                <c:pt idx="13">
                  <c:v>6.3492937933380764E-6</c:v>
                </c:pt>
                <c:pt idx="14">
                  <c:v>4.4425362523586883E-5</c:v>
                </c:pt>
                <c:pt idx="15">
                  <c:v>9.6604280329757836E-6</c:v>
                </c:pt>
                <c:pt idx="16">
                  <c:v>2.5862490375337206E-3</c:v>
                </c:pt>
                <c:pt idx="17">
                  <c:v>2.1904948982619367E-5</c:v>
                </c:pt>
                <c:pt idx="18">
                  <c:v>6.3932948054903405E-4</c:v>
                </c:pt>
                <c:pt idx="19">
                  <c:v>8.1621470425490977E-3</c:v>
                </c:pt>
                <c:pt idx="20">
                  <c:v>2.1302325032891952E-3</c:v>
                </c:pt>
                <c:pt idx="21">
                  <c:v>1.1201691698388905E-2</c:v>
                </c:pt>
                <c:pt idx="22">
                  <c:v>8.8268831407829016E-3</c:v>
                </c:pt>
                <c:pt idx="23">
                  <c:v>6.273046142372589E-4</c:v>
                </c:pt>
                <c:pt idx="24">
                  <c:v>6.4488658395678466E-2</c:v>
                </c:pt>
                <c:pt idx="25">
                  <c:v>7.480693796437056E-2</c:v>
                </c:pt>
                <c:pt idx="26">
                  <c:v>0.1314586580432901</c:v>
                </c:pt>
                <c:pt idx="27">
                  <c:v>5.3473248025248804E-2</c:v>
                </c:pt>
                <c:pt idx="28">
                  <c:v>0.11114413178309801</c:v>
                </c:pt>
                <c:pt idx="29">
                  <c:v>8.1088493517635321E-2</c:v>
                </c:pt>
                <c:pt idx="30">
                  <c:v>0.13466432593197969</c:v>
                </c:pt>
                <c:pt idx="31">
                  <c:v>0.16738758664488079</c:v>
                </c:pt>
                <c:pt idx="32">
                  <c:v>0.15067289033839848</c:v>
                </c:pt>
                <c:pt idx="33">
                  <c:v>0.12474090837534556</c:v>
                </c:pt>
                <c:pt idx="34">
                  <c:v>0.33156989758150496</c:v>
                </c:pt>
                <c:pt idx="35">
                  <c:v>0.10524472220622523</c:v>
                </c:pt>
                <c:pt idx="36">
                  <c:v>2.8557909804699972E-4</c:v>
                </c:pt>
                <c:pt idx="37">
                  <c:v>1.4041391959050534E-2</c:v>
                </c:pt>
                <c:pt idx="38">
                  <c:v>5.6721628182660127E-5</c:v>
                </c:pt>
                <c:pt idx="39">
                  <c:v>4.1932589224516009E-2</c:v>
                </c:pt>
                <c:pt idx="40">
                  <c:v>3.9999201706094055E-5</c:v>
                </c:pt>
                <c:pt idx="41">
                  <c:v>3.9602247900317944E-3</c:v>
                </c:pt>
                <c:pt idx="42">
                  <c:v>1.0086094453948475E-2</c:v>
                </c:pt>
                <c:pt idx="43">
                  <c:v>2.6733744679496801E-6</c:v>
                </c:pt>
                <c:pt idx="44">
                  <c:v>9.7060426944348879E-3</c:v>
                </c:pt>
                <c:pt idx="45">
                  <c:v>1.107600311839399E-4</c:v>
                </c:pt>
                <c:pt idx="46">
                  <c:v>3.6703253710354323E-7</c:v>
                </c:pt>
                <c:pt idx="47">
                  <c:v>4.2212269409041055E-2</c:v>
                </c:pt>
                <c:pt idx="48">
                  <c:v>6.1537922890877626E-4</c:v>
                </c:pt>
                <c:pt idx="51">
                  <c:v>4.3540916026061798E-2</c:v>
                </c:pt>
                <c:pt idx="52">
                  <c:v>3.1726222122602489E-2</c:v>
                </c:pt>
                <c:pt idx="53">
                  <c:v>4.6192813123139179E-2</c:v>
                </c:pt>
                <c:pt idx="54">
                  <c:v>3.333180603913459E-2</c:v>
                </c:pt>
                <c:pt idx="55">
                  <c:v>1.4088604491842238E-2</c:v>
                </c:pt>
                <c:pt idx="56">
                  <c:v>8.5884502303363846E-3</c:v>
                </c:pt>
                <c:pt idx="57">
                  <c:v>3.9239140818041734E-3</c:v>
                </c:pt>
                <c:pt idx="58">
                  <c:v>1.1742236550505694E-3</c:v>
                </c:pt>
                <c:pt idx="59">
                  <c:v>1.861214996916953E-4</c:v>
                </c:pt>
                <c:pt idx="60">
                  <c:v>6.6321473611935227E-3</c:v>
                </c:pt>
                <c:pt idx="61">
                  <c:v>4.3516765752942667E-3</c:v>
                </c:pt>
                <c:pt idx="62">
                  <c:v>7.3424120850256848E-3</c:v>
                </c:pt>
                <c:pt idx="63">
                  <c:v>6.4595349935294297E-5</c:v>
                </c:pt>
                <c:pt idx="64">
                  <c:v>1.5724149770998484E-3</c:v>
                </c:pt>
                <c:pt idx="65">
                  <c:v>3.9548747611201553E-3</c:v>
                </c:pt>
                <c:pt idx="66">
                  <c:v>5.7424082703481875E-3</c:v>
                </c:pt>
                <c:pt idx="67">
                  <c:v>7.4201350744837755E-3</c:v>
                </c:pt>
                <c:pt idx="68">
                  <c:v>8.2698817314666544E-3</c:v>
                </c:pt>
                <c:pt idx="69">
                  <c:v>2.0152191556221659E-2</c:v>
                </c:pt>
                <c:pt idx="70">
                  <c:v>2.4826260660262171E-2</c:v>
                </c:pt>
                <c:pt idx="71">
                  <c:v>8.6879697279595002E-3</c:v>
                </c:pt>
                <c:pt idx="72">
                  <c:v>7.8797319128953835E-3</c:v>
                </c:pt>
                <c:pt idx="73">
                  <c:v>2.6474970985284631E-3</c:v>
                </c:pt>
                <c:pt idx="74">
                  <c:v>2.3940638289872203E-2</c:v>
                </c:pt>
                <c:pt idx="75">
                  <c:v>2.8194248381783825E-2</c:v>
                </c:pt>
                <c:pt idx="76">
                  <c:v>0.24475712796420493</c:v>
                </c:pt>
                <c:pt idx="77">
                  <c:v>5.4234583363481003E-3</c:v>
                </c:pt>
                <c:pt idx="78">
                  <c:v>2.6153555668141303E-5</c:v>
                </c:pt>
                <c:pt idx="79">
                  <c:v>2.8194452568307327E-2</c:v>
                </c:pt>
                <c:pt idx="80">
                  <c:v>1.3502649730466226E-2</c:v>
                </c:pt>
                <c:pt idx="81">
                  <c:v>0.14852135136413225</c:v>
                </c:pt>
                <c:pt idx="82">
                  <c:v>1.4781338260368331E-3</c:v>
                </c:pt>
                <c:pt idx="83">
                  <c:v>3.2545344694021004E-2</c:v>
                </c:pt>
                <c:pt idx="84">
                  <c:v>2.4284881364897018E-3</c:v>
                </c:pt>
                <c:pt idx="85">
                  <c:v>9.709735584863332E-3</c:v>
                </c:pt>
                <c:pt idx="86">
                  <c:v>5.5898627963610872E-5</c:v>
                </c:pt>
                <c:pt idx="87">
                  <c:v>1.7851384011589493E-3</c:v>
                </c:pt>
                <c:pt idx="88">
                  <c:v>5.4984041325410203E-2</c:v>
                </c:pt>
                <c:pt idx="89">
                  <c:v>0.10172420751534911</c:v>
                </c:pt>
                <c:pt idx="90">
                  <c:v>2.2302215960231801E-3</c:v>
                </c:pt>
                <c:pt idx="91">
                  <c:v>1.6324351735652734E-5</c:v>
                </c:pt>
                <c:pt idx="92">
                  <c:v>1.9844370506185365E-2</c:v>
                </c:pt>
                <c:pt idx="93">
                  <c:v>1.5065382018119656E-2</c:v>
                </c:pt>
                <c:pt idx="94">
                  <c:v>3.2534532062580487E-3</c:v>
                </c:pt>
                <c:pt idx="95">
                  <c:v>6.5205673174063457E-3</c:v>
                </c:pt>
                <c:pt idx="96">
                  <c:v>3.8173517604355701E-2</c:v>
                </c:pt>
              </c:numCache>
            </c:numRef>
          </c:val>
          <c:extLst>
            <c:ext xmlns:c16="http://schemas.microsoft.com/office/drawing/2014/chart" uri="{C3380CC4-5D6E-409C-BE32-E72D297353CC}">
              <c16:uniqueId val="{00000000-0006-4282-8C42-18D44D893254}"/>
            </c:ext>
          </c:extLst>
        </c:ser>
        <c:dLbls>
          <c:showLegendKey val="0"/>
          <c:showVal val="0"/>
          <c:showCatName val="0"/>
          <c:showSerName val="0"/>
          <c:showPercent val="0"/>
          <c:showBubbleSize val="0"/>
        </c:dLbls>
        <c:gapWidth val="219"/>
        <c:overlap val="-27"/>
        <c:axId val="360055440"/>
        <c:axId val="360055856"/>
      </c:barChart>
      <c:catAx>
        <c:axId val="36005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360055856"/>
        <c:crosses val="autoZero"/>
        <c:auto val="1"/>
        <c:lblAlgn val="ctr"/>
        <c:lblOffset val="100"/>
        <c:noMultiLvlLbl val="0"/>
      </c:catAx>
      <c:valAx>
        <c:axId val="360055856"/>
        <c:scaling>
          <c:orientation val="minMax"/>
          <c:max val="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Ratio</a:t>
                </a:r>
                <a:r>
                  <a:rPr lang="en-US" sz="1200" b="1" baseline="0"/>
                  <a:t> of gene copy of </a:t>
                </a:r>
                <a:r>
                  <a:rPr lang="en-US" sz="1200" b="1"/>
                  <a:t>DiPPR vs. phytoplankton</a:t>
                </a:r>
                <a:r>
                  <a:rPr lang="en-US" sz="1200" b="1" baseline="0"/>
                  <a:t> 18S rDNA</a:t>
                </a:r>
                <a:endParaRPr lang="en-US" sz="1200" b="1"/>
              </a:p>
            </c:rich>
          </c:tx>
          <c:layout>
            <c:manualLayout>
              <c:xMode val="edge"/>
              <c:yMode val="edge"/>
              <c:x val="0"/>
              <c:y val="8.5227921034593215E-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360055440"/>
        <c:crosses val="autoZero"/>
        <c:crossBetween val="between"/>
        <c:majorUnit val="0.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26</xdr:col>
      <xdr:colOff>47603</xdr:colOff>
      <xdr:row>47</xdr:row>
      <xdr:rowOff>42482</xdr:rowOff>
    </xdr:to>
    <xdr:grpSp>
      <xdr:nvGrpSpPr>
        <xdr:cNvPr id="2" name="Group 1">
          <a:extLst>
            <a:ext uri="{FF2B5EF4-FFF2-40B4-BE49-F238E27FC236}">
              <a16:creationId xmlns:a16="http://schemas.microsoft.com/office/drawing/2014/main" id="{A91EA5F4-58F5-493E-ABD4-70EEB1B8644C}"/>
            </a:ext>
          </a:extLst>
        </xdr:cNvPr>
        <xdr:cNvGrpSpPr/>
      </xdr:nvGrpSpPr>
      <xdr:grpSpPr>
        <a:xfrm>
          <a:off x="609600" y="177800"/>
          <a:ext cx="15289508" cy="8223187"/>
          <a:chOff x="358363" y="3746507"/>
          <a:chExt cx="19845902" cy="8780644"/>
        </a:xfrm>
      </xdr:grpSpPr>
      <xdr:graphicFrame macro="">
        <xdr:nvGraphicFramePr>
          <xdr:cNvPr id="3" name="Chart 2">
            <a:extLst>
              <a:ext uri="{FF2B5EF4-FFF2-40B4-BE49-F238E27FC236}">
                <a16:creationId xmlns:a16="http://schemas.microsoft.com/office/drawing/2014/main" id="{7AFB2EBF-F163-E82F-F460-84C0A7BB223A}"/>
              </a:ext>
            </a:extLst>
          </xdr:cNvPr>
          <xdr:cNvGraphicFramePr/>
        </xdr:nvGraphicFramePr>
        <xdr:xfrm>
          <a:off x="369457" y="9942691"/>
          <a:ext cx="19826146" cy="258446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Chart 3">
            <a:extLst>
              <a:ext uri="{FF2B5EF4-FFF2-40B4-BE49-F238E27FC236}">
                <a16:creationId xmlns:a16="http://schemas.microsoft.com/office/drawing/2014/main" id="{BAACB17B-F6AC-D885-E07B-A02CFCBCE7E5}"/>
              </a:ext>
            </a:extLst>
          </xdr:cNvPr>
          <xdr:cNvGraphicFramePr/>
        </xdr:nvGraphicFramePr>
        <xdr:xfrm>
          <a:off x="362540" y="6806601"/>
          <a:ext cx="19841560" cy="2651124"/>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5" name="Chart 4">
            <a:extLst>
              <a:ext uri="{FF2B5EF4-FFF2-40B4-BE49-F238E27FC236}">
                <a16:creationId xmlns:a16="http://schemas.microsoft.com/office/drawing/2014/main" id="{4610EBE1-EDFB-D433-2915-662514ED2407}"/>
              </a:ext>
            </a:extLst>
          </xdr:cNvPr>
          <xdr:cNvGraphicFramePr/>
        </xdr:nvGraphicFramePr>
        <xdr:xfrm>
          <a:off x="358363" y="3746507"/>
          <a:ext cx="19845902" cy="2793999"/>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114301</xdr:rowOff>
    </xdr:from>
    <xdr:to>
      <xdr:col>24</xdr:col>
      <xdr:colOff>369687</xdr:colOff>
      <xdr:row>15</xdr:row>
      <xdr:rowOff>64031</xdr:rowOff>
    </xdr:to>
    <xdr:graphicFrame macro="">
      <xdr:nvGraphicFramePr>
        <xdr:cNvPr id="2" name="Chart 1">
          <a:extLst>
            <a:ext uri="{FF2B5EF4-FFF2-40B4-BE49-F238E27FC236}">
              <a16:creationId xmlns:a16="http://schemas.microsoft.com/office/drawing/2014/main" id="{CCE8EE05-0C29-4A1C-8DE6-30DE354BA3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1480</xdr:colOff>
      <xdr:row>15</xdr:row>
      <xdr:rowOff>170623</xdr:rowOff>
    </xdr:from>
    <xdr:to>
      <xdr:col>24</xdr:col>
      <xdr:colOff>372863</xdr:colOff>
      <xdr:row>30</xdr:row>
      <xdr:rowOff>32012</xdr:rowOff>
    </xdr:to>
    <xdr:graphicFrame macro="">
      <xdr:nvGraphicFramePr>
        <xdr:cNvPr id="3" name="Chart 2">
          <a:extLst>
            <a:ext uri="{FF2B5EF4-FFF2-40B4-BE49-F238E27FC236}">
              <a16:creationId xmlns:a16="http://schemas.microsoft.com/office/drawing/2014/main" id="{248D1CA5-AD9F-4B3B-B1AA-DC4A75619C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1703</xdr:colOff>
      <xdr:row>30</xdr:row>
      <xdr:rowOff>145372</xdr:rowOff>
    </xdr:from>
    <xdr:to>
      <xdr:col>24</xdr:col>
      <xdr:colOff>373363</xdr:colOff>
      <xdr:row>44</xdr:row>
      <xdr:rowOff>23188</xdr:rowOff>
    </xdr:to>
    <xdr:graphicFrame macro="">
      <xdr:nvGraphicFramePr>
        <xdr:cNvPr id="4" name="Chart 3">
          <a:extLst>
            <a:ext uri="{FF2B5EF4-FFF2-40B4-BE49-F238E27FC236}">
              <a16:creationId xmlns:a16="http://schemas.microsoft.com/office/drawing/2014/main" id="{BD5F3E24-B18B-467E-81BA-45C8426867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6238</xdr:colOff>
      <xdr:row>44</xdr:row>
      <xdr:rowOff>138075</xdr:rowOff>
    </xdr:from>
    <xdr:to>
      <xdr:col>24</xdr:col>
      <xdr:colOff>377234</xdr:colOff>
      <xdr:row>57</xdr:row>
      <xdr:rowOff>68888</xdr:rowOff>
    </xdr:to>
    <xdr:graphicFrame macro="">
      <xdr:nvGraphicFramePr>
        <xdr:cNvPr id="5" name="Chart 4">
          <a:extLst>
            <a:ext uri="{FF2B5EF4-FFF2-40B4-BE49-F238E27FC236}">
              <a16:creationId xmlns:a16="http://schemas.microsoft.com/office/drawing/2014/main" id="{B31130A9-C863-4C3E-84F6-DC90EF6A9B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uconn-my.sharepoint.com/personal/huan_zhang_uconn_edu/Documents/Documents%20from%20old%20computer/Paper%20writing/2019-21/Rhod%20environment/PLoS%20One/2010%20LIS%20enviromental%20data-Rhod-18S.xlsx" TargetMode="External"/><Relationship Id="rId1" Type="http://schemas.openxmlformats.org/officeDocument/2006/relationships/externalLinkPath" Target="https://uconn-my.sharepoint.com/personal/huan_zhang_uconn_edu/Documents/Documents%20from%20old%20computer/Paper%20writing/2019-21/Rhod%20environment/PLoS%20One/2010%20LIS%20enviromental%20data-Rhod-18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8S vs DiPPR"/>
      <sheetName val="Cell abundance"/>
      <sheetName val="Environmental data"/>
      <sheetName val="Data for figures"/>
      <sheetName val="Cell abundance-Rhod"/>
      <sheetName val="Cell abundance-18S"/>
      <sheetName val="Ammonia-Rhod"/>
      <sheetName val="Ammonia-18S1"/>
      <sheetName val="Nitrate + Nitrite-Rhod"/>
      <sheetName val="Nitrate + Nitrite-18S"/>
      <sheetName val="Total Dissolved Nitrogen-Rhod"/>
      <sheetName val="Total Dissolved Nitrogen-18S"/>
      <sheetName val="Orthophosphate-Rhod"/>
      <sheetName val="Orthophosphate-18S"/>
      <sheetName val="Total Dissolved Phosphorus-Rhod"/>
      <sheetName val="Total Dissolved Phosphorus-18S"/>
      <sheetName val="Chlorophyll a-Rhod"/>
      <sheetName val="Chlorophyll a-18S"/>
      <sheetName val="Temperature-Rhod"/>
      <sheetName val="Temperature-18S"/>
      <sheetName val="Salinity-Rhod"/>
      <sheetName val="Sheet1"/>
      <sheetName val="Salinity-18S"/>
    </sheetNames>
    <sheetDataSet>
      <sheetData sheetId="0">
        <row r="1">
          <cell r="BC1" t="str">
            <v>Jan</v>
          </cell>
          <cell r="BM1" t="str">
            <v>Feb</v>
          </cell>
          <cell r="BW1" t="str">
            <v>Mar</v>
          </cell>
          <cell r="CG1" t="str">
            <v>Apr</v>
          </cell>
          <cell r="CP1" t="str">
            <v>May</v>
          </cell>
          <cell r="CZ1" t="str">
            <v>Jun</v>
          </cell>
          <cell r="DB1" t="str">
            <v>July</v>
          </cell>
          <cell r="DH1" t="str">
            <v>Aug</v>
          </cell>
          <cell r="DN1" t="str">
            <v>Sept</v>
          </cell>
          <cell r="DT1" t="str">
            <v>Oct</v>
          </cell>
          <cell r="ED1" t="str">
            <v>Nov</v>
          </cell>
          <cell r="EM1" t="str">
            <v>Dec</v>
          </cell>
        </row>
        <row r="2">
          <cell r="BC2" t="str">
            <v>A4</v>
          </cell>
          <cell r="BD2" t="str">
            <v>B3</v>
          </cell>
          <cell r="BE2" t="str">
            <v>C1</v>
          </cell>
          <cell r="BF2" t="str">
            <v>D3</v>
          </cell>
          <cell r="BG2" t="str">
            <v>E1</v>
          </cell>
          <cell r="BH2" t="str">
            <v>F2</v>
          </cell>
          <cell r="BI2" t="str">
            <v>H4</v>
          </cell>
          <cell r="BJ2" t="str">
            <v>I2</v>
          </cell>
          <cell r="BK2" t="str">
            <v>J2</v>
          </cell>
          <cell r="BL2" t="str">
            <v>K2</v>
          </cell>
          <cell r="BM2" t="str">
            <v>A4</v>
          </cell>
          <cell r="BN2" t="str">
            <v>B3</v>
          </cell>
          <cell r="BO2" t="str">
            <v>C1</v>
          </cell>
          <cell r="BP2" t="str">
            <v>D3</v>
          </cell>
          <cell r="BQ2" t="str">
            <v>E1</v>
          </cell>
          <cell r="BR2" t="str">
            <v>F2</v>
          </cell>
          <cell r="BS2" t="str">
            <v>H4</v>
          </cell>
          <cell r="BT2" t="str">
            <v>I2</v>
          </cell>
          <cell r="BU2" t="str">
            <v>J2</v>
          </cell>
          <cell r="BV2" t="str">
            <v>K2</v>
          </cell>
          <cell r="BW2" t="str">
            <v>A4</v>
          </cell>
          <cell r="BX2" t="str">
            <v>B3</v>
          </cell>
          <cell r="BY2" t="str">
            <v>C1</v>
          </cell>
          <cell r="BZ2" t="str">
            <v>D3</v>
          </cell>
          <cell r="CA2" t="str">
            <v>E1</v>
          </cell>
          <cell r="CB2" t="str">
            <v>F2</v>
          </cell>
          <cell r="CC2" t="str">
            <v>H4</v>
          </cell>
          <cell r="CD2" t="str">
            <v>I2</v>
          </cell>
          <cell r="CE2" t="str">
            <v>J2</v>
          </cell>
          <cell r="CF2" t="str">
            <v>K2</v>
          </cell>
          <cell r="CG2" t="str">
            <v>A4</v>
          </cell>
          <cell r="CH2" t="str">
            <v>B3</v>
          </cell>
          <cell r="CI2" t="str">
            <v>C1</v>
          </cell>
          <cell r="CJ2" t="str">
            <v>D3</v>
          </cell>
          <cell r="CK2" t="str">
            <v>E1</v>
          </cell>
          <cell r="CL2" t="str">
            <v>F2</v>
          </cell>
          <cell r="CM2" t="str">
            <v>H4</v>
          </cell>
          <cell r="CN2" t="str">
            <v>I2</v>
          </cell>
          <cell r="CO2" t="str">
            <v>K2</v>
          </cell>
          <cell r="CP2" t="str">
            <v>A4</v>
          </cell>
          <cell r="CQ2" t="str">
            <v>B3</v>
          </cell>
          <cell r="CR2" t="str">
            <v>C1</v>
          </cell>
          <cell r="CS2" t="str">
            <v>D3</v>
          </cell>
          <cell r="CT2" t="str">
            <v>E1</v>
          </cell>
          <cell r="CU2" t="str">
            <v>F2</v>
          </cell>
          <cell r="CV2" t="str">
            <v>H4</v>
          </cell>
          <cell r="CW2" t="str">
            <v>I2</v>
          </cell>
          <cell r="CX2" t="str">
            <v>J2</v>
          </cell>
          <cell r="CY2" t="str">
            <v>K2</v>
          </cell>
          <cell r="DB2" t="str">
            <v>A4</v>
          </cell>
          <cell r="DC2" t="str">
            <v>B3</v>
          </cell>
          <cell r="DD2" t="str">
            <v>D3</v>
          </cell>
          <cell r="DE2" t="str">
            <v>E1</v>
          </cell>
          <cell r="DF2" t="str">
            <v>F2</v>
          </cell>
          <cell r="DG2" t="str">
            <v>H4</v>
          </cell>
          <cell r="DH2" t="str">
            <v>A4</v>
          </cell>
          <cell r="DI2" t="str">
            <v>B3</v>
          </cell>
          <cell r="DJ2" t="str">
            <v>C1</v>
          </cell>
          <cell r="DK2" t="str">
            <v>D3</v>
          </cell>
          <cell r="DL2" t="str">
            <v>F2</v>
          </cell>
          <cell r="DM2" t="str">
            <v>H4</v>
          </cell>
          <cell r="DN2" t="str">
            <v>B3</v>
          </cell>
          <cell r="DO2" t="str">
            <v>D3</v>
          </cell>
          <cell r="DP2" t="str">
            <v>E1</v>
          </cell>
          <cell r="DQ2" t="str">
            <v>F2</v>
          </cell>
          <cell r="DR2" t="str">
            <v>H4</v>
          </cell>
          <cell r="DS2" t="str">
            <v>I2</v>
          </cell>
          <cell r="DT2" t="str">
            <v>A4</v>
          </cell>
          <cell r="DU2" t="str">
            <v>B3</v>
          </cell>
          <cell r="DV2" t="str">
            <v>C1</v>
          </cell>
          <cell r="DW2" t="str">
            <v>D3</v>
          </cell>
          <cell r="DX2" t="str">
            <v>E1</v>
          </cell>
          <cell r="DY2" t="str">
            <v>F2</v>
          </cell>
          <cell r="DZ2" t="str">
            <v>H4</v>
          </cell>
          <cell r="EA2" t="str">
            <v>I2</v>
          </cell>
          <cell r="EB2" t="str">
            <v>J2</v>
          </cell>
          <cell r="EC2" t="str">
            <v>K2</v>
          </cell>
          <cell r="ED2" t="str">
            <v>A4</v>
          </cell>
          <cell r="EE2" t="str">
            <v>B3</v>
          </cell>
          <cell r="EF2" t="str">
            <v>C1</v>
          </cell>
          <cell r="EG2" t="str">
            <v>D3</v>
          </cell>
          <cell r="EH2" t="str">
            <v>E1</v>
          </cell>
          <cell r="EI2" t="str">
            <v>F2</v>
          </cell>
          <cell r="EJ2" t="str">
            <v>H4</v>
          </cell>
          <cell r="EK2" t="str">
            <v>I2</v>
          </cell>
          <cell r="EL2" t="str">
            <v>J2</v>
          </cell>
          <cell r="EM2" t="str">
            <v>A4</v>
          </cell>
          <cell r="EN2" t="str">
            <v>B3</v>
          </cell>
          <cell r="EO2" t="str">
            <v>C1</v>
          </cell>
          <cell r="EP2" t="str">
            <v>D3</v>
          </cell>
          <cell r="EQ2" t="str">
            <v>E1</v>
          </cell>
          <cell r="ER2" t="str">
            <v>F2</v>
          </cell>
          <cell r="ES2" t="str">
            <v>H4</v>
          </cell>
          <cell r="ET2" t="str">
            <v>I2</v>
          </cell>
          <cell r="EU2" t="str">
            <v>J2</v>
          </cell>
        </row>
        <row r="3">
          <cell r="BB3" t="str">
            <v>DiPPR gene</v>
          </cell>
          <cell r="BC3">
            <v>2.5465141641397784</v>
          </cell>
          <cell r="BD3">
            <v>78217.457607740886</v>
          </cell>
          <cell r="BE3">
            <v>197.40576072796023</v>
          </cell>
          <cell r="BF3">
            <v>542.46367086230248</v>
          </cell>
          <cell r="BG3">
            <v>20.49997185476299</v>
          </cell>
          <cell r="BH3">
            <v>102986.74407510704</v>
          </cell>
          <cell r="BI3">
            <v>41.173252048352296</v>
          </cell>
          <cell r="BJ3">
            <v>21.854393613337621</v>
          </cell>
          <cell r="BK3">
            <v>11548.281613521811</v>
          </cell>
          <cell r="BL3">
            <v>0.5846281040737783</v>
          </cell>
          <cell r="BM3">
            <v>47184.382659802177</v>
          </cell>
          <cell r="BN3">
            <v>84.297117766422119</v>
          </cell>
          <cell r="BO3">
            <v>148.02159864136024</v>
          </cell>
          <cell r="BP3">
            <v>136.20841696993463</v>
          </cell>
          <cell r="BQ3">
            <v>1640.8154579276363</v>
          </cell>
          <cell r="BR3">
            <v>161.89177496897454</v>
          </cell>
          <cell r="BS3">
            <v>41252.353985057773</v>
          </cell>
          <cell r="BT3">
            <v>518.70545026127638</v>
          </cell>
          <cell r="BU3">
            <v>11256.494605216698</v>
          </cell>
          <cell r="BV3">
            <v>71975.145370348997</v>
          </cell>
          <cell r="BW3">
            <v>45698.877149985528</v>
          </cell>
          <cell r="BX3">
            <v>63330.301961501609</v>
          </cell>
          <cell r="BY3">
            <v>33615.15736218301</v>
          </cell>
          <cell r="BZ3">
            <v>661.46321290489755</v>
          </cell>
          <cell r="CA3">
            <v>82853.458543651868</v>
          </cell>
          <cell r="CB3">
            <v>58650.127909467737</v>
          </cell>
          <cell r="CC3">
            <v>125578.81067730821</v>
          </cell>
          <cell r="CD3">
            <v>224783.47405035314</v>
          </cell>
          <cell r="CE3">
            <v>245846.52464046504</v>
          </cell>
          <cell r="CF3">
            <v>170720.9215161899</v>
          </cell>
          <cell r="CG3">
            <v>1023954.4400256625</v>
          </cell>
          <cell r="CH3">
            <v>1272774.0725987109</v>
          </cell>
          <cell r="CI3">
            <v>367885.52310504689</v>
          </cell>
          <cell r="CJ3">
            <v>195270.34243359137</v>
          </cell>
          <cell r="CK3">
            <v>850555.57435331668</v>
          </cell>
          <cell r="CL3">
            <v>43418.731636367127</v>
          </cell>
          <cell r="CM3">
            <v>1035.1521007486392</v>
          </cell>
          <cell r="CN3">
            <v>17170.677879001796</v>
          </cell>
          <cell r="CO3">
            <v>108.18726952904274</v>
          </cell>
          <cell r="CP3">
            <v>176270.44232215881</v>
          </cell>
          <cell r="CQ3">
            <v>335.72171943514149</v>
          </cell>
          <cell r="CR3">
            <v>49345.564832825607</v>
          </cell>
          <cell r="CS3">
            <v>153126.86921752125</v>
          </cell>
          <cell r="CT3">
            <v>27.339338150888587</v>
          </cell>
          <cell r="CU3">
            <v>42866.698200092549</v>
          </cell>
          <cell r="CV3">
            <v>165.02906285150564</v>
          </cell>
          <cell r="CW3">
            <v>2.0750688405222371</v>
          </cell>
          <cell r="CX3">
            <v>125578.81067730821</v>
          </cell>
          <cell r="CY3">
            <v>648.88845493966505</v>
          </cell>
          <cell r="CZ3"/>
          <cell r="DA3"/>
          <cell r="DB3">
            <v>516387.62568216573</v>
          </cell>
          <cell r="DC3">
            <v>586876.63369293651</v>
          </cell>
          <cell r="DD3">
            <v>813303.88718172</v>
          </cell>
          <cell r="DE3">
            <v>170720.9215161899</v>
          </cell>
          <cell r="DF3">
            <v>92373.199201784446</v>
          </cell>
          <cell r="DG3">
            <v>31130.962871255713</v>
          </cell>
          <cell r="DH3">
            <v>53969.428454750967</v>
          </cell>
          <cell r="DI3">
            <v>6318.7147028307354</v>
          </cell>
          <cell r="DJ3">
            <v>611.18720035394631</v>
          </cell>
          <cell r="DK3">
            <v>2874.6236561244841</v>
          </cell>
          <cell r="DL3">
            <v>7157.04944075198</v>
          </cell>
          <cell r="DM3">
            <v>27961.890252717363</v>
          </cell>
          <cell r="DN3">
            <v>17.085506919607099</v>
          </cell>
          <cell r="DO3">
            <v>15305.423499661913</v>
          </cell>
          <cell r="DP3">
            <v>23491.497368625307</v>
          </cell>
          <cell r="DQ3">
            <v>34109.239083527646</v>
          </cell>
          <cell r="DR3">
            <v>44074.741706285895</v>
          </cell>
          <cell r="DS3">
            <v>62882.148325605238</v>
          </cell>
          <cell r="DT3">
            <v>119701.68046002291</v>
          </cell>
          <cell r="DU3">
            <v>60616.225448588375</v>
          </cell>
          <cell r="DV3">
            <v>40313.096344194404</v>
          </cell>
          <cell r="DW3">
            <v>69484.762643151291</v>
          </cell>
          <cell r="DX3">
            <v>4354.245381191804</v>
          </cell>
          <cell r="DY3">
            <v>67789.646319616557</v>
          </cell>
          <cell r="DZ3">
            <v>38057.288509862541</v>
          </cell>
          <cell r="EA3">
            <v>129259.43762941974</v>
          </cell>
          <cell r="EB3">
            <v>13242.009246817875</v>
          </cell>
          <cell r="EC3">
            <v>26.248708116971144</v>
          </cell>
          <cell r="ED3">
            <v>97272.79510433707</v>
          </cell>
          <cell r="EE3">
            <v>80204.173272701926</v>
          </cell>
          <cell r="EF3">
            <v>100407.44430868815</v>
          </cell>
          <cell r="EG3">
            <v>1637.5365076195994</v>
          </cell>
          <cell r="EH3">
            <v>29591.434929199342</v>
          </cell>
          <cell r="EI3">
            <v>7974.6878662193621</v>
          </cell>
          <cell r="EJ3">
            <v>16777.792998190871</v>
          </cell>
          <cell r="EK3">
            <v>21.949666861771071</v>
          </cell>
          <cell r="EL3">
            <v>3758.3689085741084</v>
          </cell>
          <cell r="EM3">
            <v>90430.319305542653</v>
          </cell>
          <cell r="EN3">
            <v>51132.992182717215</v>
          </cell>
          <cell r="EO3">
            <v>1067.0257193371917</v>
          </cell>
          <cell r="EP3">
            <v>22.035010663437479</v>
          </cell>
          <cell r="EQ3">
            <v>34289.784476851804</v>
          </cell>
          <cell r="ER3">
            <v>5630.6289925487908</v>
          </cell>
          <cell r="ES3">
            <v>3265.2899921871549</v>
          </cell>
          <cell r="ET3">
            <v>9247.2526946569778</v>
          </cell>
          <cell r="EU3">
            <v>36466.102814967548</v>
          </cell>
        </row>
        <row r="4">
          <cell r="BC4">
            <v>2.037211331311823</v>
          </cell>
          <cell r="BD4">
            <v>62573.966086192711</v>
          </cell>
          <cell r="BE4">
            <v>157.92460858236819</v>
          </cell>
          <cell r="BF4">
            <v>433.97093668984201</v>
          </cell>
          <cell r="BG4">
            <v>16.399977483810392</v>
          </cell>
          <cell r="BH4">
            <v>82389.395260085643</v>
          </cell>
          <cell r="BI4">
            <v>32.938601638681838</v>
          </cell>
          <cell r="BJ4">
            <v>17.483514890670097</v>
          </cell>
          <cell r="BK4">
            <v>9238.6252908174483</v>
          </cell>
          <cell r="BL4">
            <v>0.46770248325902264</v>
          </cell>
          <cell r="BM4">
            <v>37747.506127841742</v>
          </cell>
          <cell r="BN4">
            <v>67.437694213137704</v>
          </cell>
          <cell r="BO4">
            <v>118.4172789130882</v>
          </cell>
          <cell r="BP4">
            <v>108.96673357594771</v>
          </cell>
          <cell r="BQ4">
            <v>1312.6523663421092</v>
          </cell>
          <cell r="BR4">
            <v>129.51341997517963</v>
          </cell>
          <cell r="BS4">
            <v>33001.883188046217</v>
          </cell>
          <cell r="BT4">
            <v>414.96436020902115</v>
          </cell>
          <cell r="BU4">
            <v>9005.195684173359</v>
          </cell>
          <cell r="BV4">
            <v>57580.1162962792</v>
          </cell>
          <cell r="BW4">
            <v>36559.101719988423</v>
          </cell>
          <cell r="BX4">
            <v>50664.241569201287</v>
          </cell>
          <cell r="BY4">
            <v>26892.12588974641</v>
          </cell>
          <cell r="BZ4">
            <v>529.17057032391801</v>
          </cell>
          <cell r="CA4">
            <v>66282.766834921495</v>
          </cell>
          <cell r="CB4">
            <v>46920.10232757419</v>
          </cell>
          <cell r="CC4">
            <v>100463.04854184657</v>
          </cell>
          <cell r="CD4">
            <v>179826.77924028251</v>
          </cell>
          <cell r="CE4">
            <v>196677.21971237205</v>
          </cell>
          <cell r="CF4">
            <v>136576.73721295194</v>
          </cell>
          <cell r="CG4">
            <v>409581.77601026505</v>
          </cell>
          <cell r="CH4">
            <v>381832.22177961323</v>
          </cell>
          <cell r="CI4">
            <v>220731.31386302813</v>
          </cell>
          <cell r="CJ4">
            <v>117162.20546015482</v>
          </cell>
          <cell r="CK4">
            <v>425277.78717665834</v>
          </cell>
          <cell r="CL4">
            <v>30393.112145456987</v>
          </cell>
          <cell r="CM4">
            <v>724.60647052404738</v>
          </cell>
          <cell r="CN4">
            <v>12019.474515301257</v>
          </cell>
          <cell r="CO4">
            <v>75.73108867032991</v>
          </cell>
          <cell r="CP4">
            <v>105762.26539329528</v>
          </cell>
          <cell r="CQ4">
            <v>235.00520360459902</v>
          </cell>
          <cell r="CR4">
            <v>34541.89538297792</v>
          </cell>
          <cell r="CS4">
            <v>61250.747687008501</v>
          </cell>
          <cell r="CT4">
            <v>19.137536705622008</v>
          </cell>
          <cell r="CU4">
            <v>30006.688740064783</v>
          </cell>
          <cell r="CV4">
            <v>115.52034399605394</v>
          </cell>
          <cell r="CW4">
            <v>1.4525481883655658</v>
          </cell>
          <cell r="CX4">
            <v>87905.167474115748</v>
          </cell>
          <cell r="CY4">
            <v>454.22191845776553</v>
          </cell>
          <cell r="CZ4"/>
          <cell r="DA4"/>
          <cell r="DB4">
            <v>154916.2877046497</v>
          </cell>
          <cell r="DC4">
            <v>293438.31684646825</v>
          </cell>
          <cell r="DD4">
            <v>243991.16615451599</v>
          </cell>
          <cell r="DE4">
            <v>119504.64506133292</v>
          </cell>
          <cell r="DF4">
            <v>64661.239441249105</v>
          </cell>
          <cell r="DG4">
            <v>21791.674009879</v>
          </cell>
          <cell r="DH4">
            <v>37778.599918325672</v>
          </cell>
          <cell r="DI4">
            <v>6188.7924300501072</v>
          </cell>
          <cell r="DJ4">
            <v>767.77987478969396</v>
          </cell>
          <cell r="DK4">
            <v>2998.5328459993871</v>
          </cell>
          <cell r="DL4">
            <v>7067.8053060453294</v>
          </cell>
          <cell r="DM4">
            <v>30241.082604561878</v>
          </cell>
          <cell r="DN4">
            <v>1.5103970719086637</v>
          </cell>
          <cell r="DO4">
            <v>19127.13857760973</v>
          </cell>
          <cell r="DP4">
            <v>27014.055330305964</v>
          </cell>
          <cell r="DQ4">
            <v>46028.224217260089</v>
          </cell>
          <cell r="DR4">
            <v>52613.877714162787</v>
          </cell>
          <cell r="DS4">
            <v>10287.586791133041</v>
          </cell>
          <cell r="DT4">
            <v>76830.868711305491</v>
          </cell>
          <cell r="DU4">
            <v>16717.251766666424</v>
          </cell>
          <cell r="DV4">
            <v>5182.7784180287908</v>
          </cell>
          <cell r="DW4">
            <v>69391.758786585793</v>
          </cell>
          <cell r="DX4">
            <v>2907.9601755856165</v>
          </cell>
          <cell r="DY4">
            <v>52598.660768325099</v>
          </cell>
          <cell r="DZ4">
            <v>12907.660331900794</v>
          </cell>
          <cell r="EA4">
            <v>1744.7108673830187</v>
          </cell>
          <cell r="EB4">
            <v>6185.4322368125577</v>
          </cell>
          <cell r="EC4">
            <v>26.971398170683525</v>
          </cell>
          <cell r="ED4">
            <v>51764.371160318216</v>
          </cell>
          <cell r="EE4">
            <v>87124.696609385719</v>
          </cell>
          <cell r="EF4">
            <v>53485.706008845074</v>
          </cell>
          <cell r="EG4">
            <v>571.62715420670372</v>
          </cell>
          <cell r="EH4">
            <v>1691.8878068347597</v>
          </cell>
          <cell r="EI4">
            <v>1500.0311839742046</v>
          </cell>
          <cell r="EJ4">
            <v>5508.7825274749603</v>
          </cell>
          <cell r="EK4">
            <v>18.577726280760835</v>
          </cell>
          <cell r="EL4">
            <v>132.28136558846009</v>
          </cell>
          <cell r="EM4">
            <v>36008.479197670778</v>
          </cell>
          <cell r="EN4">
            <v>1124.9549730651302</v>
          </cell>
          <cell r="EO4">
            <v>79.747664163282494</v>
          </cell>
          <cell r="EP4">
            <v>1.7435360980520682</v>
          </cell>
          <cell r="EQ4">
            <v>3013.9328708221929</v>
          </cell>
          <cell r="ER4">
            <v>888.27446361863247</v>
          </cell>
          <cell r="ES4">
            <v>500.92939472661419</v>
          </cell>
          <cell r="ET4">
            <v>691.12373672173169</v>
          </cell>
          <cell r="EU4">
            <v>2565.3681212425622</v>
          </cell>
        </row>
        <row r="8">
          <cell r="BB8" t="str">
            <v>18S rDNA</v>
          </cell>
          <cell r="BC8">
            <v>455383.03718658362</v>
          </cell>
          <cell r="BD8">
            <v>502662.96913644462</v>
          </cell>
          <cell r="BE8">
            <v>1489969.4509605258</v>
          </cell>
          <cell r="BF8">
            <v>2695116.987901757</v>
          </cell>
          <cell r="BG8">
            <v>2003906.6791491001</v>
          </cell>
          <cell r="BH8">
            <v>1284775.658307137</v>
          </cell>
          <cell r="BI8">
            <v>1418166.8932351752</v>
          </cell>
          <cell r="BJ8">
            <v>528113.06744996447</v>
          </cell>
          <cell r="BK8">
            <v>2211961.3577102195</v>
          </cell>
          <cell r="BL8">
            <v>1907337.1656513154</v>
          </cell>
          <cell r="BM8">
            <v>30312982.7633553</v>
          </cell>
          <cell r="BN8">
            <v>21452530.218848865</v>
          </cell>
          <cell r="BO8">
            <v>17606719.145111233</v>
          </cell>
          <cell r="BP8">
            <v>21452530.218848865</v>
          </cell>
          <cell r="BQ8">
            <v>36934205.253957659</v>
          </cell>
          <cell r="BR8">
            <v>16758240.361230211</v>
          </cell>
          <cell r="BS8">
            <v>15950650.299476393</v>
          </cell>
          <cell r="BT8">
            <v>23679829.187132407</v>
          </cell>
          <cell r="BU8">
            <v>17606719.145111233</v>
          </cell>
          <cell r="BV8">
            <v>8818163.2841388546</v>
          </cell>
          <cell r="BW8">
            <v>21452530.218848865</v>
          </cell>
          <cell r="BX8">
            <v>5653637.2957497258</v>
          </cell>
          <cell r="BY8">
            <v>3808270.3516115099</v>
          </cell>
          <cell r="BZ8">
            <v>1054452.9689282968</v>
          </cell>
          <cell r="CA8">
            <v>1284775.658307137</v>
          </cell>
          <cell r="CB8">
            <v>784019.89849393279</v>
          </cell>
          <cell r="CC8">
            <v>955272.26997824968</v>
          </cell>
          <cell r="CD8">
            <v>4203662.2489102529</v>
          </cell>
          <cell r="CE8">
            <v>2211961.3577102195</v>
          </cell>
          <cell r="CF8">
            <v>2105365.5594065404</v>
          </cell>
          <cell r="CG8">
            <v>7603754.2455221014</v>
          </cell>
          <cell r="CH8">
            <v>7603754.2455221014</v>
          </cell>
          <cell r="CI8">
            <v>2441617.2164667933</v>
          </cell>
          <cell r="CJ8">
            <v>1565407.4110637598</v>
          </cell>
          <cell r="CK8">
            <v>2565237.6182437884</v>
          </cell>
          <cell r="CL8">
            <v>412550.20419255673</v>
          </cell>
          <cell r="CM8">
            <v>3624747.4266421176</v>
          </cell>
          <cell r="CN8">
            <v>1222861.517510324</v>
          </cell>
          <cell r="CO8">
            <v>1907337.1656513154</v>
          </cell>
          <cell r="CP8">
            <v>4203662.2489102529</v>
          </cell>
          <cell r="CQ8">
            <v>8393210.492098216</v>
          </cell>
          <cell r="CR8">
            <v>12460293.909838749</v>
          </cell>
          <cell r="CS8">
            <v>15181978.50681198</v>
          </cell>
          <cell r="CT8">
            <v>10226527.738127252</v>
          </cell>
          <cell r="CU8">
            <v>4416495.9448067173</v>
          </cell>
          <cell r="CV8">
            <v>1489969.4509605258</v>
          </cell>
          <cell r="CW8">
            <v>5653637.2957497258</v>
          </cell>
          <cell r="CX8">
            <v>2974936.2551545654</v>
          </cell>
          <cell r="CY8">
            <v>1054452.9689282968</v>
          </cell>
          <cell r="CZ8"/>
          <cell r="DA8"/>
          <cell r="DB8">
            <v>11859824.569907472</v>
          </cell>
          <cell r="DC8">
            <v>18498156.869261537</v>
          </cell>
          <cell r="DD8">
            <v>17606719.145111233</v>
          </cell>
          <cell r="DE8">
            <v>5121862.3232040871</v>
          </cell>
          <cell r="DF8">
            <v>6556589.7073249193</v>
          </cell>
          <cell r="DG8">
            <v>3624747.4266421176</v>
          </cell>
          <cell r="DH8">
            <v>13753978.127354002</v>
          </cell>
          <cell r="DI8">
            <v>5381184.986056691</v>
          </cell>
          <cell r="DJ8">
            <v>3283807.6276322706</v>
          </cell>
          <cell r="DK8">
            <v>433437.84442195599</v>
          </cell>
          <cell r="DL8">
            <v>1644664.8359357934</v>
          </cell>
          <cell r="DM8">
            <v>3808270.3516115099</v>
          </cell>
          <cell r="DN8">
            <v>264500.57065596507</v>
          </cell>
          <cell r="DO8">
            <v>9733704.9840946775</v>
          </cell>
          <cell r="DP8">
            <v>5939884.0134122772</v>
          </cell>
          <cell r="DQ8">
            <v>5939884.0134122772</v>
          </cell>
          <cell r="DR8">
            <v>5939884.0134122772</v>
          </cell>
          <cell r="DS8">
            <v>7603754.2455221014</v>
          </cell>
          <cell r="DT8">
            <v>5939884.0134122772</v>
          </cell>
          <cell r="DU8">
            <v>2441617.2164667933</v>
          </cell>
          <cell r="DV8">
            <v>4640105.5259733899</v>
          </cell>
          <cell r="DW8">
            <v>8818163.2841388546</v>
          </cell>
          <cell r="DX8">
            <v>1644664.8359357934</v>
          </cell>
          <cell r="DY8">
            <v>2831572.2203736794</v>
          </cell>
          <cell r="DZ8">
            <v>1349824.5455782812</v>
          </cell>
          <cell r="EA8">
            <v>528113.06744996447</v>
          </cell>
          <cell r="EB8">
            <v>2441617.2164667933</v>
          </cell>
          <cell r="EC8">
            <v>1003638.2222760536</v>
          </cell>
          <cell r="ED8">
            <v>3450068.5859628632</v>
          </cell>
          <cell r="EE8">
            <v>5939884.0134122772</v>
          </cell>
          <cell r="EF8">
            <v>676047.2038967486</v>
          </cell>
          <cell r="EG8">
            <v>1107840.4937191352</v>
          </cell>
          <cell r="EH8">
            <v>909237.10310665925</v>
          </cell>
          <cell r="EI8">
            <v>3283807.6276322706</v>
          </cell>
          <cell r="EJ8">
            <v>1727935.1071460743</v>
          </cell>
          <cell r="EK8">
            <v>392669.15238169994</v>
          </cell>
          <cell r="EL8">
            <v>2105365.5594065404</v>
          </cell>
          <cell r="EM8">
            <v>1644664.8359357934</v>
          </cell>
          <cell r="EN8">
            <v>502662.96913644462</v>
          </cell>
          <cell r="EO8">
            <v>478439.32694394974</v>
          </cell>
          <cell r="EP8">
            <v>1349824.5455782812</v>
          </cell>
          <cell r="EQ8">
            <v>1727935.1071460743</v>
          </cell>
          <cell r="ER8">
            <v>373746.18086528697</v>
          </cell>
          <cell r="ES8">
            <v>1003638.2222760536</v>
          </cell>
          <cell r="ET8">
            <v>1418166.8932351752</v>
          </cell>
          <cell r="EU8">
            <v>955272.26997824968</v>
          </cell>
        </row>
        <row r="9">
          <cell r="BC9">
            <v>409844.73346792528</v>
          </cell>
          <cell r="BD9">
            <v>150798.89074093339</v>
          </cell>
          <cell r="BE9">
            <v>893981.67057631549</v>
          </cell>
          <cell r="BF9">
            <v>539023.39758035145</v>
          </cell>
          <cell r="BG9">
            <v>200390.66791491001</v>
          </cell>
          <cell r="BH9">
            <v>1027820.5266457096</v>
          </cell>
          <cell r="BI9">
            <v>283633.37864703505</v>
          </cell>
          <cell r="BJ9">
            <v>316867.84046997869</v>
          </cell>
          <cell r="BK9">
            <v>442392.27154204389</v>
          </cell>
          <cell r="BL9">
            <v>572201.14969539456</v>
          </cell>
          <cell r="BM9">
            <v>6062596.55267106</v>
          </cell>
          <cell r="BN9">
            <v>8581012.0875395462</v>
          </cell>
          <cell r="BO9">
            <v>7042687.6580444938</v>
          </cell>
          <cell r="BP9">
            <v>4290506.0437697731</v>
          </cell>
          <cell r="BQ9">
            <v>14773682.101583064</v>
          </cell>
          <cell r="BR9">
            <v>11730768.252861148</v>
          </cell>
          <cell r="BS9">
            <v>6380260.1197905578</v>
          </cell>
          <cell r="BT9">
            <v>2367982.9187132409</v>
          </cell>
          <cell r="BU9">
            <v>3521343.8290222469</v>
          </cell>
          <cell r="BV9">
            <v>3527265.3136555422</v>
          </cell>
          <cell r="BW9">
            <v>2145253.0218848865</v>
          </cell>
          <cell r="BX9">
            <v>5088273.566174753</v>
          </cell>
          <cell r="BY9">
            <v>1142481.105483453</v>
          </cell>
          <cell r="BZ9">
            <v>527226.48446414841</v>
          </cell>
          <cell r="CA9">
            <v>256955.13166142741</v>
          </cell>
          <cell r="CB9">
            <v>548813.92894575291</v>
          </cell>
          <cell r="CC9">
            <v>286581.6809934749</v>
          </cell>
          <cell r="CD9">
            <v>2101831.1244551265</v>
          </cell>
          <cell r="CE9">
            <v>442392.27154204389</v>
          </cell>
          <cell r="CF9">
            <v>1263219.3356439241</v>
          </cell>
          <cell r="CG9">
            <v>760375.42455221014</v>
          </cell>
          <cell r="CH9">
            <v>3801877.1227610507</v>
          </cell>
          <cell r="CI9">
            <v>732485.164940038</v>
          </cell>
          <cell r="CJ9">
            <v>469622.22331912792</v>
          </cell>
          <cell r="CK9">
            <v>1539142.5709462729</v>
          </cell>
          <cell r="CL9">
            <v>82510.040838511355</v>
          </cell>
          <cell r="CM9">
            <v>362474.74266421178</v>
          </cell>
          <cell r="CN9">
            <v>611430.75875516201</v>
          </cell>
          <cell r="CO9">
            <v>1716603.4490861839</v>
          </cell>
          <cell r="CP9">
            <v>1681464.8995641014</v>
          </cell>
          <cell r="CQ9">
            <v>4196605.246049108</v>
          </cell>
          <cell r="CR9">
            <v>1246029.3909838749</v>
          </cell>
          <cell r="CS9">
            <v>6072791.4027247922</v>
          </cell>
          <cell r="CT9">
            <v>2045305.5476254504</v>
          </cell>
          <cell r="CU9">
            <v>1766598.377922687</v>
          </cell>
          <cell r="CV9">
            <v>148996.94509605257</v>
          </cell>
          <cell r="CW9">
            <v>3392182.3774498352</v>
          </cell>
          <cell r="CX9">
            <v>1189974.5020618262</v>
          </cell>
          <cell r="CY9">
            <v>421781.18757131876</v>
          </cell>
          <cell r="CZ9"/>
          <cell r="DA9"/>
          <cell r="DB9">
            <v>3557947.3709722413</v>
          </cell>
          <cell r="DC9">
            <v>9249078.4346307684</v>
          </cell>
          <cell r="DD9">
            <v>5282015.7435333701</v>
          </cell>
          <cell r="DE9">
            <v>2048744.929281635</v>
          </cell>
          <cell r="DF9">
            <v>2622635.8829299677</v>
          </cell>
          <cell r="DG9">
            <v>2537323.1986494823</v>
          </cell>
          <cell r="DH9">
            <v>2750795.6254708003</v>
          </cell>
          <cell r="DI9">
            <v>2152473.9944226765</v>
          </cell>
          <cell r="DJ9">
            <v>328380.7627632271</v>
          </cell>
          <cell r="DK9">
            <v>216718.92221097799</v>
          </cell>
          <cell r="DL9">
            <v>328932.96718715871</v>
          </cell>
          <cell r="DM9">
            <v>3046616.2812892082</v>
          </cell>
          <cell r="DN9">
            <v>26450.057065596509</v>
          </cell>
          <cell r="DO9">
            <v>2920111.4952284032</v>
          </cell>
          <cell r="DP9">
            <v>1781965.2040236832</v>
          </cell>
          <cell r="DQ9">
            <v>3563930.4080473664</v>
          </cell>
          <cell r="DR9">
            <v>2375953.6053649108</v>
          </cell>
          <cell r="DS9">
            <v>4562252.5473132608</v>
          </cell>
          <cell r="DT9">
            <v>1781965.2040236832</v>
          </cell>
          <cell r="DU9">
            <v>2197455.4948201142</v>
          </cell>
          <cell r="DV9">
            <v>1392031.6577920169</v>
          </cell>
          <cell r="DW9">
            <v>4409081.6420694273</v>
          </cell>
          <cell r="DX9">
            <v>328932.96718715871</v>
          </cell>
          <cell r="DY9">
            <v>1132628.8881494717</v>
          </cell>
          <cell r="DZ9">
            <v>944877.18190479674</v>
          </cell>
          <cell r="EA9">
            <v>369679.14721497509</v>
          </cell>
          <cell r="EB9">
            <v>244161.72164667933</v>
          </cell>
          <cell r="EC9">
            <v>301091.4666828161</v>
          </cell>
          <cell r="ED9">
            <v>690013.71719257266</v>
          </cell>
          <cell r="EE9">
            <v>593988.4013412277</v>
          </cell>
          <cell r="EF9">
            <v>338023.6019483743</v>
          </cell>
          <cell r="EG9">
            <v>221568.09874382705</v>
          </cell>
          <cell r="EH9">
            <v>363694.84124266374</v>
          </cell>
          <cell r="EI9">
            <v>1313523.0510529084</v>
          </cell>
          <cell r="EJ9">
            <v>518380.53214382229</v>
          </cell>
          <cell r="EK9">
            <v>353402.23714352993</v>
          </cell>
          <cell r="EL9">
            <v>631609.66782196204</v>
          </cell>
          <cell r="EM9">
            <v>822332.41796789668</v>
          </cell>
          <cell r="EN9">
            <v>452396.67222280015</v>
          </cell>
          <cell r="EO9">
            <v>430595.39424955478</v>
          </cell>
          <cell r="EP9">
            <v>404947.36367348436</v>
          </cell>
          <cell r="EQ9">
            <v>691174.04285842972</v>
          </cell>
          <cell r="ER9">
            <v>186873.09043264348</v>
          </cell>
          <cell r="ES9">
            <v>702546.75559323747</v>
          </cell>
          <cell r="ET9">
            <v>567266.75729407009</v>
          </cell>
          <cell r="EU9">
            <v>859745.04298042471</v>
          </cell>
        </row>
        <row r="13">
          <cell r="BB13" t="str">
            <v>DiPPRR vs. 18S rDNA</v>
          </cell>
          <cell r="BC13">
            <v>5.592026834974966E-6</v>
          </cell>
          <cell r="BD13">
            <v>0.15560616637846911</v>
          </cell>
          <cell r="BE13">
            <v>1.3248980413705822E-4</v>
          </cell>
          <cell r="BF13">
            <v>2.0127648383999443E-4</v>
          </cell>
          <cell r="BG13">
            <v>1.0230003257171487E-5</v>
          </cell>
          <cell r="BH13">
            <v>8.0159320741494886E-2</v>
          </cell>
          <cell r="BI13">
            <v>2.903272685658762E-5</v>
          </cell>
          <cell r="BJ13">
            <v>4.138203532600184E-5</v>
          </cell>
          <cell r="BK13">
            <v>5.2208333447001862E-3</v>
          </cell>
          <cell r="BL13">
            <v>3.0651534222799047E-7</v>
          </cell>
          <cell r="BM13">
            <v>1.5565734005180891E-3</v>
          </cell>
          <cell r="BN13">
            <v>3.9294720439249648E-6</v>
          </cell>
          <cell r="BO13">
            <v>8.4071085260913383E-6</v>
          </cell>
          <cell r="BP13">
            <v>6.3492937933380764E-6</v>
          </cell>
          <cell r="BQ13">
            <v>4.4425362523586883E-5</v>
          </cell>
          <cell r="BR13">
            <v>9.6604280329757836E-6</v>
          </cell>
          <cell r="BS13">
            <v>2.5862490375337206E-3</v>
          </cell>
          <cell r="BT13">
            <v>2.1904948982619367E-5</v>
          </cell>
          <cell r="BU13">
            <v>6.3932948054903405E-4</v>
          </cell>
          <cell r="BV13">
            <v>8.1621470425490977E-3</v>
          </cell>
          <cell r="BW13">
            <v>2.1302325032891952E-3</v>
          </cell>
          <cell r="BX13">
            <v>1.1201691698388905E-2</v>
          </cell>
          <cell r="BY13">
            <v>8.8268831407829016E-3</v>
          </cell>
          <cell r="BZ13">
            <v>6.273046142372589E-4</v>
          </cell>
          <cell r="CA13">
            <v>6.4488658395678466E-2</v>
          </cell>
          <cell r="CB13">
            <v>7.480693796437056E-2</v>
          </cell>
          <cell r="CC13">
            <v>0.1314586580432901</v>
          </cell>
          <cell r="CD13">
            <v>5.3473248025248804E-2</v>
          </cell>
          <cell r="CE13">
            <v>0.11114413178309801</v>
          </cell>
          <cell r="CF13">
            <v>8.1088493517635321E-2</v>
          </cell>
          <cell r="CG13">
            <v>0.13466432593197969</v>
          </cell>
          <cell r="CH13">
            <v>0.16738758664488079</v>
          </cell>
          <cell r="CI13">
            <v>0.15067289033839848</v>
          </cell>
          <cell r="CJ13">
            <v>0.12474090837534556</v>
          </cell>
          <cell r="CK13">
            <v>0.33156989758150496</v>
          </cell>
          <cell r="CL13">
            <v>0.10524472220622523</v>
          </cell>
          <cell r="CM13">
            <v>2.8557909804699972E-4</v>
          </cell>
          <cell r="CN13">
            <v>1.4041391959050534E-2</v>
          </cell>
          <cell r="CO13">
            <v>5.6721628182660127E-5</v>
          </cell>
          <cell r="CP13">
            <v>4.1932589224516009E-2</v>
          </cell>
          <cell r="CQ13">
            <v>3.9999201706094055E-5</v>
          </cell>
          <cell r="CR13">
            <v>3.9602247900317944E-3</v>
          </cell>
          <cell r="CS13">
            <v>1.0086094453948475E-2</v>
          </cell>
          <cell r="CT13">
            <v>2.6733744679496801E-6</v>
          </cell>
          <cell r="CU13">
            <v>9.7060426944348879E-3</v>
          </cell>
          <cell r="CV13">
            <v>1.107600311839399E-4</v>
          </cell>
          <cell r="CW13">
            <v>3.6703253710354323E-7</v>
          </cell>
          <cell r="CX13">
            <v>4.2212269409041055E-2</v>
          </cell>
          <cell r="CY13">
            <v>6.1537922890877626E-4</v>
          </cell>
          <cell r="DB13">
            <v>4.3540916026061798E-2</v>
          </cell>
          <cell r="DC13">
            <v>3.1726222122602489E-2</v>
          </cell>
          <cell r="DD13">
            <v>4.6192813123139179E-2</v>
          </cell>
          <cell r="DE13">
            <v>3.333180603913459E-2</v>
          </cell>
          <cell r="DF13">
            <v>1.4088604491842238E-2</v>
          </cell>
          <cell r="DG13">
            <v>8.5884502303363846E-3</v>
          </cell>
          <cell r="DH13">
            <v>3.9239140818041734E-3</v>
          </cell>
          <cell r="DI13">
            <v>1.1742236550505694E-3</v>
          </cell>
          <cell r="DJ13">
            <v>1.861214996916953E-4</v>
          </cell>
          <cell r="DK13">
            <v>6.6321473611935227E-3</v>
          </cell>
          <cell r="DL13">
            <v>4.3516765752942667E-3</v>
          </cell>
          <cell r="DM13">
            <v>7.3424120850256848E-3</v>
          </cell>
          <cell r="DN13">
            <v>6.4595349935294297E-5</v>
          </cell>
          <cell r="DO13">
            <v>1.5724149770998484E-3</v>
          </cell>
          <cell r="DP13">
            <v>3.9548747611201553E-3</v>
          </cell>
          <cell r="DQ13">
            <v>5.7424082703481875E-3</v>
          </cell>
          <cell r="DR13">
            <v>7.4201350744837755E-3</v>
          </cell>
          <cell r="DS13">
            <v>8.2698817314666544E-3</v>
          </cell>
          <cell r="DT13">
            <v>2.0152191556221659E-2</v>
          </cell>
          <cell r="DU13">
            <v>2.4826260660262171E-2</v>
          </cell>
          <cell r="DV13">
            <v>8.6879697279595002E-3</v>
          </cell>
          <cell r="DW13">
            <v>7.8797319128953835E-3</v>
          </cell>
          <cell r="DX13">
            <v>2.6474970985284631E-3</v>
          </cell>
          <cell r="DY13">
            <v>2.3940638289872203E-2</v>
          </cell>
          <cell r="DZ13">
            <v>2.8194248381783825E-2</v>
          </cell>
          <cell r="EA13">
            <v>0.24475712796420493</v>
          </cell>
          <cell r="EB13">
            <v>5.4234583363481003E-3</v>
          </cell>
          <cell r="EC13">
            <v>2.6153555668141303E-5</v>
          </cell>
          <cell r="ED13">
            <v>2.8194452568307327E-2</v>
          </cell>
          <cell r="EE13">
            <v>1.3502649730466226E-2</v>
          </cell>
          <cell r="EF13">
            <v>0.14852135136413225</v>
          </cell>
          <cell r="EG13">
            <v>1.4781338260368331E-3</v>
          </cell>
          <cell r="EH13">
            <v>3.2545344694021004E-2</v>
          </cell>
          <cell r="EI13">
            <v>2.4284881364897018E-3</v>
          </cell>
          <cell r="EJ13">
            <v>9.709735584863332E-3</v>
          </cell>
          <cell r="EK13">
            <v>5.5898627963610872E-5</v>
          </cell>
          <cell r="EL13">
            <v>1.7851384011589493E-3</v>
          </cell>
          <cell r="EM13">
            <v>5.4984041325410203E-2</v>
          </cell>
          <cell r="EN13">
            <v>0.10172420751534911</v>
          </cell>
          <cell r="EO13">
            <v>2.2302215960231801E-3</v>
          </cell>
          <cell r="EP13">
            <v>1.6324351735652734E-5</v>
          </cell>
          <cell r="EQ13">
            <v>1.9844370506185365E-2</v>
          </cell>
          <cell r="ER13">
            <v>1.5065382018119656E-2</v>
          </cell>
          <cell r="ES13">
            <v>3.2534532062580487E-3</v>
          </cell>
          <cell r="ET13">
            <v>6.5205673174063457E-3</v>
          </cell>
          <cell r="EU13">
            <v>3.8173517604355701E-2</v>
          </cell>
        </row>
      </sheetData>
      <sheetData sheetId="1">
        <row r="1">
          <cell r="B1" t="str">
            <v>Jan</v>
          </cell>
          <cell r="L1" t="str">
            <v>Feb</v>
          </cell>
          <cell r="V1" t="str">
            <v>Mar</v>
          </cell>
          <cell r="AF1" t="str">
            <v>Apr</v>
          </cell>
          <cell r="AO1" t="str">
            <v>May</v>
          </cell>
          <cell r="AY1" t="str">
            <v>Jun</v>
          </cell>
          <cell r="BA1" t="str">
            <v>Jul</v>
          </cell>
          <cell r="BG1" t="str">
            <v>Aug</v>
          </cell>
          <cell r="BM1" t="str">
            <v>Sep</v>
          </cell>
          <cell r="BS1" t="str">
            <v>Oct</v>
          </cell>
          <cell r="CC1" t="str">
            <v>Nov</v>
          </cell>
          <cell r="CL1" t="str">
            <v>Dec</v>
          </cell>
        </row>
        <row r="2">
          <cell r="B2" t="str">
            <v xml:space="preserve">A4      </v>
          </cell>
          <cell r="C2" t="str">
            <v xml:space="preserve">B3      </v>
          </cell>
          <cell r="D2" t="str">
            <v xml:space="preserve">C1      </v>
          </cell>
          <cell r="E2" t="str">
            <v xml:space="preserve">D3      </v>
          </cell>
          <cell r="F2" t="str">
            <v xml:space="preserve">E1      </v>
          </cell>
          <cell r="G2" t="str">
            <v xml:space="preserve">F2      </v>
          </cell>
          <cell r="H2" t="str">
            <v xml:space="preserve">H4      </v>
          </cell>
          <cell r="I2" t="str">
            <v xml:space="preserve">I2      </v>
          </cell>
          <cell r="J2" t="str">
            <v xml:space="preserve">J2      </v>
          </cell>
          <cell r="K2" t="str">
            <v xml:space="preserve">K2      </v>
          </cell>
          <cell r="L2" t="str">
            <v xml:space="preserve">A4      </v>
          </cell>
          <cell r="M2" t="str">
            <v xml:space="preserve">B3      </v>
          </cell>
          <cell r="N2" t="str">
            <v xml:space="preserve">C1      </v>
          </cell>
          <cell r="O2" t="str">
            <v xml:space="preserve">D3      </v>
          </cell>
          <cell r="P2" t="str">
            <v xml:space="preserve">E1      </v>
          </cell>
          <cell r="Q2" t="str">
            <v xml:space="preserve">F2      </v>
          </cell>
          <cell r="R2" t="str">
            <v xml:space="preserve">H4      </v>
          </cell>
          <cell r="S2" t="str">
            <v xml:space="preserve">I2      </v>
          </cell>
          <cell r="T2" t="str">
            <v xml:space="preserve">J2      </v>
          </cell>
          <cell r="U2" t="str">
            <v xml:space="preserve">K2      </v>
          </cell>
          <cell r="V2" t="str">
            <v xml:space="preserve">A4      </v>
          </cell>
          <cell r="W2" t="str">
            <v xml:space="preserve">B3      </v>
          </cell>
          <cell r="X2" t="str">
            <v xml:space="preserve">C1      </v>
          </cell>
          <cell r="Y2" t="str">
            <v xml:space="preserve">D3      </v>
          </cell>
          <cell r="Z2" t="str">
            <v xml:space="preserve">E1      </v>
          </cell>
          <cell r="AA2" t="str">
            <v xml:space="preserve">F2      </v>
          </cell>
          <cell r="AB2" t="str">
            <v xml:space="preserve">H4      </v>
          </cell>
          <cell r="AC2" t="str">
            <v xml:space="preserve">I2      </v>
          </cell>
          <cell r="AD2" t="str">
            <v xml:space="preserve">J2      </v>
          </cell>
          <cell r="AE2" t="str">
            <v xml:space="preserve">K2      </v>
          </cell>
          <cell r="AF2" t="str">
            <v xml:space="preserve">A4      </v>
          </cell>
          <cell r="AG2" t="str">
            <v xml:space="preserve">B3      </v>
          </cell>
          <cell r="AH2" t="str">
            <v xml:space="preserve">C1      </v>
          </cell>
          <cell r="AI2" t="str">
            <v xml:space="preserve">D3      </v>
          </cell>
          <cell r="AJ2" t="str">
            <v xml:space="preserve">E1      </v>
          </cell>
          <cell r="AK2" t="str">
            <v xml:space="preserve">F2      </v>
          </cell>
          <cell r="AL2" t="str">
            <v xml:space="preserve">H4      </v>
          </cell>
          <cell r="AM2" t="str">
            <v xml:space="preserve">I2      </v>
          </cell>
          <cell r="AN2" t="str">
            <v xml:space="preserve">K2      </v>
          </cell>
          <cell r="AO2" t="str">
            <v xml:space="preserve">A4      </v>
          </cell>
          <cell r="AP2" t="str">
            <v xml:space="preserve">B3      </v>
          </cell>
          <cell r="AQ2" t="str">
            <v xml:space="preserve">C1      </v>
          </cell>
          <cell r="AR2" t="str">
            <v xml:space="preserve">D3      </v>
          </cell>
          <cell r="AS2" t="str">
            <v xml:space="preserve">E1      </v>
          </cell>
          <cell r="AT2" t="str">
            <v xml:space="preserve">F2      </v>
          </cell>
          <cell r="AU2" t="str">
            <v xml:space="preserve">H4      </v>
          </cell>
          <cell r="AV2" t="str">
            <v xml:space="preserve">I2      </v>
          </cell>
          <cell r="AW2" t="str">
            <v xml:space="preserve">J2      </v>
          </cell>
          <cell r="AX2" t="str">
            <v xml:space="preserve">K2      </v>
          </cell>
          <cell r="BA2" t="str">
            <v xml:space="preserve">A4      </v>
          </cell>
          <cell r="BB2" t="str">
            <v xml:space="preserve">B3      </v>
          </cell>
          <cell r="BC2" t="str">
            <v xml:space="preserve">D3      </v>
          </cell>
          <cell r="BD2" t="str">
            <v xml:space="preserve">E1      </v>
          </cell>
          <cell r="BE2" t="str">
            <v xml:space="preserve">F2      </v>
          </cell>
          <cell r="BF2" t="str">
            <v xml:space="preserve">H4      </v>
          </cell>
          <cell r="BG2" t="str">
            <v xml:space="preserve">A4      </v>
          </cell>
          <cell r="BH2" t="str">
            <v xml:space="preserve">B3      </v>
          </cell>
          <cell r="BI2" t="str">
            <v xml:space="preserve">C1      </v>
          </cell>
          <cell r="BJ2" t="str">
            <v xml:space="preserve">D3      </v>
          </cell>
          <cell r="BK2" t="str">
            <v xml:space="preserve">F2      </v>
          </cell>
          <cell r="BL2" t="str">
            <v xml:space="preserve">H4      </v>
          </cell>
          <cell r="BM2" t="str">
            <v xml:space="preserve">B3      </v>
          </cell>
          <cell r="BN2" t="str">
            <v xml:space="preserve">D3      </v>
          </cell>
          <cell r="BO2" t="str">
            <v xml:space="preserve">E1      </v>
          </cell>
          <cell r="BP2" t="str">
            <v xml:space="preserve">F2      </v>
          </cell>
          <cell r="BQ2" t="str">
            <v xml:space="preserve">H4      </v>
          </cell>
          <cell r="BR2" t="str">
            <v xml:space="preserve">I2      </v>
          </cell>
          <cell r="BS2" t="str">
            <v xml:space="preserve">A4      </v>
          </cell>
          <cell r="BT2" t="str">
            <v xml:space="preserve">B3      </v>
          </cell>
          <cell r="BU2" t="str">
            <v xml:space="preserve">C1      </v>
          </cell>
          <cell r="BV2" t="str">
            <v xml:space="preserve">D3      </v>
          </cell>
          <cell r="BW2" t="str">
            <v xml:space="preserve">E1      </v>
          </cell>
          <cell r="BX2" t="str">
            <v xml:space="preserve">F2      </v>
          </cell>
          <cell r="BY2" t="str">
            <v xml:space="preserve">H4      </v>
          </cell>
          <cell r="BZ2" t="str">
            <v xml:space="preserve">I2      </v>
          </cell>
          <cell r="CA2" t="str">
            <v xml:space="preserve">J2      </v>
          </cell>
          <cell r="CB2" t="str">
            <v xml:space="preserve">K2      </v>
          </cell>
          <cell r="CC2" t="str">
            <v xml:space="preserve">A4      </v>
          </cell>
          <cell r="CD2" t="str">
            <v xml:space="preserve">B3      </v>
          </cell>
          <cell r="CE2" t="str">
            <v xml:space="preserve">C1      </v>
          </cell>
          <cell r="CF2" t="str">
            <v xml:space="preserve">D3      </v>
          </cell>
          <cell r="CG2" t="str">
            <v xml:space="preserve">E1      </v>
          </cell>
          <cell r="CH2" t="str">
            <v xml:space="preserve">F2      </v>
          </cell>
          <cell r="CI2" t="str">
            <v xml:space="preserve">H4      </v>
          </cell>
          <cell r="CJ2" t="str">
            <v xml:space="preserve">I2      </v>
          </cell>
          <cell r="CK2" t="str">
            <v xml:space="preserve">J2      </v>
          </cell>
          <cell r="CL2" t="str">
            <v xml:space="preserve">A4      </v>
          </cell>
          <cell r="CM2" t="str">
            <v xml:space="preserve">B3      </v>
          </cell>
          <cell r="CN2" t="str">
            <v xml:space="preserve">C1      </v>
          </cell>
          <cell r="CO2" t="str">
            <v xml:space="preserve">D3      </v>
          </cell>
          <cell r="CP2" t="str">
            <v xml:space="preserve">E1      </v>
          </cell>
          <cell r="CQ2" t="str">
            <v xml:space="preserve">F2      </v>
          </cell>
          <cell r="CR2" t="str">
            <v xml:space="preserve">H4      </v>
          </cell>
          <cell r="CS2" t="str">
            <v xml:space="preserve">I2      </v>
          </cell>
          <cell r="CT2" t="str">
            <v xml:space="preserve">J2      </v>
          </cell>
        </row>
        <row r="3">
          <cell r="A3" t="str">
            <v>Diatom</v>
          </cell>
          <cell r="B3">
            <v>148000</v>
          </cell>
          <cell r="C3">
            <v>152800</v>
          </cell>
          <cell r="D3">
            <v>38200</v>
          </cell>
          <cell r="E3">
            <v>89000</v>
          </cell>
          <cell r="F3">
            <v>112380.95238095238</v>
          </cell>
          <cell r="G3">
            <v>193777.77777777778</v>
          </cell>
          <cell r="H3">
            <v>58240.000000000007</v>
          </cell>
          <cell r="I3">
            <v>125600</v>
          </cell>
          <cell r="J3">
            <v>284280</v>
          </cell>
          <cell r="K3">
            <v>124000</v>
          </cell>
          <cell r="L3">
            <v>2547028</v>
          </cell>
          <cell r="M3">
            <v>3615040</v>
          </cell>
          <cell r="N3">
            <v>2742272</v>
          </cell>
          <cell r="O3">
            <v>2749900</v>
          </cell>
          <cell r="P3">
            <v>1843204</v>
          </cell>
          <cell r="Q3">
            <v>2747680</v>
          </cell>
          <cell r="R3">
            <v>1676400</v>
          </cell>
          <cell r="S3">
            <v>1318800</v>
          </cell>
          <cell r="T3">
            <v>1727600</v>
          </cell>
          <cell r="U3">
            <v>376800</v>
          </cell>
          <cell r="V3">
            <v>492752</v>
          </cell>
          <cell r="W3">
            <v>240464</v>
          </cell>
          <cell r="X3">
            <v>195600</v>
          </cell>
          <cell r="Y3">
            <v>265600</v>
          </cell>
          <cell r="Z3">
            <v>198812</v>
          </cell>
          <cell r="AA3">
            <v>336108</v>
          </cell>
          <cell r="AB3">
            <v>51200</v>
          </cell>
          <cell r="AC3">
            <v>187600</v>
          </cell>
          <cell r="AD3">
            <v>120640</v>
          </cell>
          <cell r="AE3">
            <v>322121.59999999998</v>
          </cell>
          <cell r="AF3">
            <v>191200</v>
          </cell>
          <cell r="AG3">
            <v>270848</v>
          </cell>
          <cell r="AH3">
            <v>274000</v>
          </cell>
          <cell r="AI3">
            <v>215200</v>
          </cell>
          <cell r="AJ3">
            <v>285200</v>
          </cell>
          <cell r="AK3">
            <v>212000</v>
          </cell>
          <cell r="AL3">
            <v>199200</v>
          </cell>
          <cell r="AM3">
            <v>14000</v>
          </cell>
          <cell r="AN3">
            <v>103200</v>
          </cell>
          <cell r="AO3">
            <v>656000</v>
          </cell>
          <cell r="AP3">
            <v>640800</v>
          </cell>
          <cell r="AQ3">
            <v>952000</v>
          </cell>
          <cell r="AR3">
            <v>1744000</v>
          </cell>
          <cell r="AS3">
            <v>2153920</v>
          </cell>
          <cell r="AT3">
            <v>1186800</v>
          </cell>
          <cell r="AU3">
            <v>86100</v>
          </cell>
          <cell r="AV3">
            <v>212000</v>
          </cell>
          <cell r="AW3">
            <v>316000</v>
          </cell>
          <cell r="AX3">
            <v>289600</v>
          </cell>
          <cell r="AY3"/>
          <cell r="AZ3"/>
          <cell r="BA3">
            <v>2152000</v>
          </cell>
          <cell r="BB3">
            <v>446940</v>
          </cell>
          <cell r="BC3">
            <v>152000</v>
          </cell>
          <cell r="BD3">
            <v>226240</v>
          </cell>
          <cell r="BE3">
            <v>444000</v>
          </cell>
          <cell r="BF3">
            <v>128000</v>
          </cell>
          <cell r="BG3">
            <v>1196800</v>
          </cell>
          <cell r="BH3">
            <v>104960</v>
          </cell>
          <cell r="BI3">
            <v>163333.33333333334</v>
          </cell>
          <cell r="BJ3">
            <v>113529.41176470589</v>
          </cell>
          <cell r="BK3">
            <v>148000</v>
          </cell>
          <cell r="BL3">
            <v>10000</v>
          </cell>
          <cell r="BM3">
            <v>34200</v>
          </cell>
          <cell r="BN3">
            <v>4131428.5714285718</v>
          </cell>
          <cell r="BO3">
            <v>226000</v>
          </cell>
          <cell r="BP3">
            <v>5946543.7788018426</v>
          </cell>
          <cell r="BQ3">
            <v>3110714.285714285</v>
          </cell>
          <cell r="BR3">
            <v>280000</v>
          </cell>
          <cell r="BS3">
            <v>316981.13207547169</v>
          </cell>
          <cell r="BT3">
            <v>374509.80392156861</v>
          </cell>
          <cell r="BU3">
            <v>661110.88888888876</v>
          </cell>
          <cell r="BV3">
            <v>509803.78431372554</v>
          </cell>
          <cell r="BW3">
            <v>272727.27272727271</v>
          </cell>
          <cell r="BX3">
            <v>272000</v>
          </cell>
          <cell r="BY3">
            <v>244000</v>
          </cell>
          <cell r="BZ3">
            <v>106792.45283018867</v>
          </cell>
          <cell r="CA3">
            <v>178909.09090909088</v>
          </cell>
          <cell r="CB3">
            <v>182142.85714285713</v>
          </cell>
          <cell r="CC3">
            <v>133846.15384615384</v>
          </cell>
          <cell r="CD3">
            <v>206101.77966101698</v>
          </cell>
          <cell r="CE3">
            <v>236000</v>
          </cell>
          <cell r="CF3">
            <v>201904.76190476189</v>
          </cell>
          <cell r="CG3">
            <v>232000</v>
          </cell>
          <cell r="CH3">
            <v>19328.859060402683</v>
          </cell>
          <cell r="CI3">
            <v>258571.42857142858</v>
          </cell>
          <cell r="CJ3">
            <v>169019.60784313723</v>
          </cell>
          <cell r="CK3">
            <v>254901.96078431371</v>
          </cell>
          <cell r="CL3">
            <v>164285.71428571426</v>
          </cell>
          <cell r="CM3">
            <v>96428.57142857142</v>
          </cell>
          <cell r="CN3">
            <v>86037.735849056597</v>
          </cell>
          <cell r="CO3">
            <v>50909.090909090897</v>
          </cell>
          <cell r="CP3">
            <v>64615.38461538461</v>
          </cell>
          <cell r="CQ3">
            <v>115384.61538461538</v>
          </cell>
          <cell r="CR3">
            <v>116800</v>
          </cell>
          <cell r="CS3">
            <v>126800</v>
          </cell>
          <cell r="CT3">
            <v>180357.14285714281</v>
          </cell>
        </row>
        <row r="4">
          <cell r="A4" t="str">
            <v>Dinoflagellate</v>
          </cell>
          <cell r="B4">
            <v>80000</v>
          </cell>
          <cell r="C4">
            <v>36000</v>
          </cell>
          <cell r="D4">
            <v>29000</v>
          </cell>
          <cell r="E4">
            <v>26000</v>
          </cell>
          <cell r="F4">
            <v>13571.428571428572</v>
          </cell>
          <cell r="G4">
            <v>40000</v>
          </cell>
          <cell r="H4">
            <v>4576.0000000000009</v>
          </cell>
          <cell r="I4">
            <v>5600</v>
          </cell>
          <cell r="J4">
            <v>5356</v>
          </cell>
          <cell r="K4">
            <v>6400</v>
          </cell>
          <cell r="L4">
            <v>5992</v>
          </cell>
          <cell r="M4">
            <v>4160</v>
          </cell>
          <cell r="N4">
            <v>4120</v>
          </cell>
          <cell r="O4">
            <v>6848</v>
          </cell>
          <cell r="P4">
            <v>3815.9999999999991</v>
          </cell>
          <cell r="Q4">
            <v>4576</v>
          </cell>
          <cell r="R4">
            <v>4800</v>
          </cell>
          <cell r="S4">
            <v>4400</v>
          </cell>
          <cell r="T4">
            <v>4400</v>
          </cell>
          <cell r="U4">
            <v>2000</v>
          </cell>
          <cell r="V4">
            <v>11948</v>
          </cell>
          <cell r="W4">
            <v>9492</v>
          </cell>
          <cell r="X4">
            <v>13520</v>
          </cell>
          <cell r="Y4">
            <v>11600</v>
          </cell>
          <cell r="Z4">
            <v>8740</v>
          </cell>
          <cell r="AA4">
            <v>10212</v>
          </cell>
          <cell r="AB4">
            <v>15600</v>
          </cell>
          <cell r="AC4">
            <v>18000</v>
          </cell>
          <cell r="AD4">
            <v>8400</v>
          </cell>
          <cell r="AE4">
            <v>8694.4</v>
          </cell>
          <cell r="AF4">
            <v>18000</v>
          </cell>
          <cell r="AG4">
            <v>27872</v>
          </cell>
          <cell r="AH4">
            <v>9600</v>
          </cell>
          <cell r="AI4">
            <v>4000</v>
          </cell>
          <cell r="AJ4">
            <v>14800</v>
          </cell>
          <cell r="AK4">
            <v>7600</v>
          </cell>
          <cell r="AL4">
            <v>2400</v>
          </cell>
          <cell r="AM4">
            <v>4800</v>
          </cell>
          <cell r="AN4">
            <v>1200</v>
          </cell>
          <cell r="AO4">
            <v>10800</v>
          </cell>
          <cell r="AP4">
            <v>26400</v>
          </cell>
          <cell r="AQ4">
            <v>120000</v>
          </cell>
          <cell r="AR4">
            <v>76000</v>
          </cell>
          <cell r="AS4">
            <v>40640</v>
          </cell>
          <cell r="AT4">
            <v>105800</v>
          </cell>
          <cell r="AU4">
            <v>46200</v>
          </cell>
          <cell r="AV4">
            <v>64000</v>
          </cell>
          <cell r="AW4">
            <v>36000</v>
          </cell>
          <cell r="AX4">
            <v>3100</v>
          </cell>
          <cell r="AY4"/>
          <cell r="AZ4"/>
          <cell r="BA4">
            <v>436000</v>
          </cell>
          <cell r="BB4">
            <v>893880</v>
          </cell>
          <cell r="BC4">
            <v>596000</v>
          </cell>
          <cell r="BD4">
            <v>55752</v>
          </cell>
          <cell r="BE4">
            <v>60000</v>
          </cell>
          <cell r="BF4">
            <v>28000</v>
          </cell>
          <cell r="BG4">
            <v>64000</v>
          </cell>
          <cell r="BH4">
            <v>140800</v>
          </cell>
          <cell r="BI4">
            <v>95000.000000000015</v>
          </cell>
          <cell r="BJ4">
            <v>3921.5686274509803</v>
          </cell>
          <cell r="BK4">
            <v>24000</v>
          </cell>
          <cell r="BL4">
            <v>16000</v>
          </cell>
          <cell r="BM4">
            <v>6800</v>
          </cell>
          <cell r="BN4">
            <v>11428.571428571429</v>
          </cell>
          <cell r="BO4">
            <v>28000</v>
          </cell>
          <cell r="BP4">
            <v>46082.949308755764</v>
          </cell>
          <cell r="BQ4">
            <v>12500</v>
          </cell>
          <cell r="BR4">
            <v>180000</v>
          </cell>
          <cell r="BS4">
            <v>26037.7358490566</v>
          </cell>
          <cell r="BT4">
            <v>23529.411764705881</v>
          </cell>
          <cell r="BU4">
            <v>155555.55555555556</v>
          </cell>
          <cell r="BV4">
            <v>82352.941176470587</v>
          </cell>
          <cell r="BW4">
            <v>58181.818181818177</v>
          </cell>
          <cell r="BX4">
            <v>162000</v>
          </cell>
          <cell r="BY4">
            <v>116000</v>
          </cell>
          <cell r="BZ4">
            <v>22641.509433962266</v>
          </cell>
          <cell r="CA4">
            <v>18181.81818181818</v>
          </cell>
          <cell r="CB4">
            <v>14285.714285714284</v>
          </cell>
          <cell r="CC4">
            <v>7692.3076923076915</v>
          </cell>
          <cell r="CD4">
            <v>22033.898305084746</v>
          </cell>
          <cell r="CE4">
            <v>40000</v>
          </cell>
          <cell r="CF4">
            <v>68571.428571428565</v>
          </cell>
          <cell r="CG4">
            <v>64000</v>
          </cell>
          <cell r="CH4">
            <v>2953.020134228188</v>
          </cell>
          <cell r="CI4">
            <v>96428.571428571391</v>
          </cell>
          <cell r="CJ4">
            <v>15686.274509803923</v>
          </cell>
          <cell r="CK4">
            <v>21176.470588235294</v>
          </cell>
          <cell r="CL4">
            <v>96428.571428571435</v>
          </cell>
          <cell r="CM4">
            <v>39285.71428571429</v>
          </cell>
          <cell r="CN4">
            <v>43396.226415094337</v>
          </cell>
          <cell r="CO4">
            <v>21818.181818181816</v>
          </cell>
          <cell r="CP4">
            <v>11538.461538461537</v>
          </cell>
          <cell r="CQ4">
            <v>53846.153846153844</v>
          </cell>
          <cell r="CR4">
            <v>44000</v>
          </cell>
          <cell r="CS4">
            <v>40000</v>
          </cell>
          <cell r="CT4">
            <v>35714.28571428571</v>
          </cell>
        </row>
        <row r="5">
          <cell r="A5" t="str">
            <v xml:space="preserve">Other phytoplankton </v>
          </cell>
          <cell r="B5">
            <v>24000</v>
          </cell>
          <cell r="C5">
            <v>328000</v>
          </cell>
          <cell r="D5">
            <v>202000</v>
          </cell>
          <cell r="E5">
            <v>78000</v>
          </cell>
          <cell r="F5">
            <v>747619.04761904769</v>
          </cell>
          <cell r="G5">
            <v>2222.2222222222222</v>
          </cell>
          <cell r="H5">
            <v>8320</v>
          </cell>
          <cell r="I5">
            <v>17600</v>
          </cell>
          <cell r="J5">
            <v>7004</v>
          </cell>
          <cell r="K5">
            <v>8800</v>
          </cell>
          <cell r="L5">
            <v>11984</v>
          </cell>
          <cell r="M5">
            <v>37440</v>
          </cell>
          <cell r="N5">
            <v>204352</v>
          </cell>
          <cell r="O5">
            <v>103148</v>
          </cell>
          <cell r="P5">
            <v>33411.199999999997</v>
          </cell>
          <cell r="Q5">
            <v>92768</v>
          </cell>
          <cell r="R5">
            <v>116400</v>
          </cell>
          <cell r="S5">
            <v>47200</v>
          </cell>
          <cell r="T5">
            <v>28000</v>
          </cell>
          <cell r="U5">
            <v>25200</v>
          </cell>
          <cell r="V5">
            <v>104236</v>
          </cell>
          <cell r="W5">
            <v>93564</v>
          </cell>
          <cell r="X5">
            <v>186000</v>
          </cell>
          <cell r="Y5">
            <v>250000</v>
          </cell>
          <cell r="Z5">
            <v>122820</v>
          </cell>
          <cell r="AA5">
            <v>151848</v>
          </cell>
          <cell r="AB5">
            <v>94800</v>
          </cell>
          <cell r="AC5">
            <v>212000</v>
          </cell>
          <cell r="AD5">
            <v>67600</v>
          </cell>
          <cell r="AE5">
            <v>47840</v>
          </cell>
          <cell r="AF5">
            <v>116000</v>
          </cell>
          <cell r="AG5">
            <v>290368</v>
          </cell>
          <cell r="AH5">
            <v>188800</v>
          </cell>
          <cell r="AI5">
            <v>78000</v>
          </cell>
          <cell r="AJ5">
            <v>235600</v>
          </cell>
          <cell r="AK5">
            <v>84400</v>
          </cell>
          <cell r="AL5">
            <v>102000</v>
          </cell>
          <cell r="AM5">
            <v>60800</v>
          </cell>
          <cell r="AN5">
            <v>131200</v>
          </cell>
          <cell r="AO5">
            <v>35400</v>
          </cell>
          <cell r="AP5">
            <v>86800</v>
          </cell>
          <cell r="AQ5">
            <v>1560000</v>
          </cell>
          <cell r="AR5">
            <v>532000</v>
          </cell>
          <cell r="AS5">
            <v>589280</v>
          </cell>
          <cell r="AT5">
            <v>372600</v>
          </cell>
          <cell r="AU5">
            <v>273000</v>
          </cell>
          <cell r="AV5">
            <v>2268000</v>
          </cell>
          <cell r="AW5">
            <v>324000</v>
          </cell>
          <cell r="AX5">
            <v>72000</v>
          </cell>
          <cell r="AY5"/>
          <cell r="AZ5"/>
          <cell r="BA5">
            <v>40000</v>
          </cell>
          <cell r="BB5">
            <v>360359.99999999994</v>
          </cell>
          <cell r="BC5">
            <v>400000</v>
          </cell>
          <cell r="BD5">
            <v>141400</v>
          </cell>
          <cell r="BE5">
            <v>424000</v>
          </cell>
          <cell r="BF5">
            <v>88000</v>
          </cell>
          <cell r="BG5">
            <v>25600</v>
          </cell>
          <cell r="BH5">
            <v>403200</v>
          </cell>
          <cell r="BI5">
            <v>376666.66666666669</v>
          </cell>
          <cell r="BJ5">
            <v>980.39215686274508</v>
          </cell>
          <cell r="BK5">
            <v>128000</v>
          </cell>
          <cell r="BL5">
            <v>96000</v>
          </cell>
          <cell r="BM5">
            <v>128000</v>
          </cell>
          <cell r="BN5">
            <v>394285.71428571438</v>
          </cell>
          <cell r="BO5">
            <v>220000</v>
          </cell>
          <cell r="BP5">
            <v>29493.087557603692</v>
          </cell>
          <cell r="BQ5">
            <v>85714.28571428571</v>
          </cell>
          <cell r="BR5">
            <v>884000</v>
          </cell>
          <cell r="BS5">
            <v>909433.96226415085</v>
          </cell>
          <cell r="BT5">
            <v>1003921.5686274508</v>
          </cell>
          <cell r="BU5">
            <v>2125925.9259259254</v>
          </cell>
          <cell r="BV5">
            <v>1807843.1372549022</v>
          </cell>
          <cell r="BW5">
            <v>618181.81818181812</v>
          </cell>
          <cell r="BX5">
            <v>992000</v>
          </cell>
          <cell r="BY5">
            <v>800000</v>
          </cell>
          <cell r="BZ5">
            <v>301886.79245283012</v>
          </cell>
          <cell r="CA5">
            <v>283636.36363636359</v>
          </cell>
          <cell r="CB5">
            <v>285714.28571428568</v>
          </cell>
          <cell r="CC5">
            <v>147692.30769230769</v>
          </cell>
          <cell r="CD5">
            <v>125423.72881355933</v>
          </cell>
          <cell r="CE5">
            <v>264000</v>
          </cell>
          <cell r="CF5">
            <v>163809.52380952385</v>
          </cell>
          <cell r="CG5">
            <v>356000</v>
          </cell>
          <cell r="CH5">
            <v>30604.026845637585</v>
          </cell>
          <cell r="CI5">
            <v>650000</v>
          </cell>
          <cell r="CJ5">
            <v>156862.74509803922</v>
          </cell>
          <cell r="CK5">
            <v>435294.1176470588</v>
          </cell>
          <cell r="CL5">
            <v>521428.57142857136</v>
          </cell>
          <cell r="CM5">
            <v>532142.85714285716</v>
          </cell>
          <cell r="CN5">
            <v>181132.07547169813</v>
          </cell>
          <cell r="CO5">
            <v>487272.72727272724</v>
          </cell>
          <cell r="CP5">
            <v>619230.76923076925</v>
          </cell>
          <cell r="CQ5">
            <v>542307.69230769225</v>
          </cell>
          <cell r="CR5">
            <v>344000</v>
          </cell>
          <cell r="CS5">
            <v>472000</v>
          </cell>
          <cell r="CT5">
            <v>300000</v>
          </cell>
        </row>
      </sheetData>
      <sheetData sheetId="2">
        <row r="1">
          <cell r="B1" t="str">
            <v>Jan</v>
          </cell>
          <cell r="L1" t="str">
            <v>Feb</v>
          </cell>
          <cell r="V1" t="str">
            <v>Mar</v>
          </cell>
          <cell r="AF1" t="str">
            <v>Apr</v>
          </cell>
          <cell r="AP1" t="str">
            <v>May</v>
          </cell>
          <cell r="AZ1" t="str">
            <v>Jun</v>
          </cell>
          <cell r="BB1" t="str">
            <v>Jul</v>
          </cell>
          <cell r="BI1" t="str">
            <v>Aug</v>
          </cell>
          <cell r="BP1" t="str">
            <v>Sep</v>
          </cell>
          <cell r="BX1" t="str">
            <v>Oct</v>
          </cell>
          <cell r="CH1" t="str">
            <v>Nov</v>
          </cell>
          <cell r="CQ1" t="str">
            <v>Dec</v>
          </cell>
        </row>
        <row r="2">
          <cell r="B2" t="str">
            <v xml:space="preserve">A4      </v>
          </cell>
          <cell r="C2" t="str">
            <v xml:space="preserve">B3      </v>
          </cell>
          <cell r="D2" t="str">
            <v xml:space="preserve">C1      </v>
          </cell>
          <cell r="E2" t="str">
            <v xml:space="preserve">D3      </v>
          </cell>
          <cell r="F2" t="str">
            <v xml:space="preserve">E1      </v>
          </cell>
          <cell r="G2" t="str">
            <v xml:space="preserve">F2      </v>
          </cell>
          <cell r="H2" t="str">
            <v xml:space="preserve">H4      </v>
          </cell>
          <cell r="I2" t="str">
            <v xml:space="preserve">I2      </v>
          </cell>
          <cell r="J2" t="str">
            <v xml:space="preserve">J2      </v>
          </cell>
          <cell r="K2" t="str">
            <v xml:space="preserve">K2      </v>
          </cell>
          <cell r="L2" t="str">
            <v xml:space="preserve">A4      </v>
          </cell>
          <cell r="M2" t="str">
            <v xml:space="preserve">B3      </v>
          </cell>
          <cell r="N2" t="str">
            <v xml:space="preserve">C1      </v>
          </cell>
          <cell r="O2" t="str">
            <v xml:space="preserve">D3      </v>
          </cell>
          <cell r="P2" t="str">
            <v xml:space="preserve">E1      </v>
          </cell>
          <cell r="Q2" t="str">
            <v xml:space="preserve">F2      </v>
          </cell>
          <cell r="R2" t="str">
            <v xml:space="preserve">H4      </v>
          </cell>
          <cell r="S2" t="str">
            <v xml:space="preserve">I2      </v>
          </cell>
          <cell r="T2" t="str">
            <v xml:space="preserve">J2      </v>
          </cell>
          <cell r="U2" t="str">
            <v xml:space="preserve">K2      </v>
          </cell>
          <cell r="V2" t="str">
            <v xml:space="preserve">A4      </v>
          </cell>
          <cell r="W2" t="str">
            <v xml:space="preserve">B3      </v>
          </cell>
          <cell r="X2" t="str">
            <v xml:space="preserve">C1      </v>
          </cell>
          <cell r="Y2" t="str">
            <v xml:space="preserve">D3      </v>
          </cell>
          <cell r="Z2" t="str">
            <v xml:space="preserve">E1      </v>
          </cell>
          <cell r="AA2" t="str">
            <v xml:space="preserve">F2      </v>
          </cell>
          <cell r="AB2" t="str">
            <v xml:space="preserve">H4      </v>
          </cell>
          <cell r="AC2" t="str">
            <v xml:space="preserve">I2      </v>
          </cell>
          <cell r="AD2" t="str">
            <v xml:space="preserve">J2      </v>
          </cell>
          <cell r="AE2" t="str">
            <v xml:space="preserve">K2      </v>
          </cell>
          <cell r="AF2" t="str">
            <v xml:space="preserve">A4      </v>
          </cell>
          <cell r="AG2" t="str">
            <v xml:space="preserve">B3      </v>
          </cell>
          <cell r="AH2" t="str">
            <v xml:space="preserve">C1      </v>
          </cell>
          <cell r="AI2" t="str">
            <v xml:space="preserve">D3      </v>
          </cell>
          <cell r="AJ2" t="str">
            <v xml:space="preserve">E1      </v>
          </cell>
          <cell r="AK2" t="str">
            <v xml:space="preserve">F2      </v>
          </cell>
          <cell r="AL2" t="str">
            <v xml:space="preserve">H4      </v>
          </cell>
          <cell r="AM2" t="str">
            <v xml:space="preserve">I2      </v>
          </cell>
          <cell r="AN2" t="str">
            <v xml:space="preserve">J2      </v>
          </cell>
          <cell r="AO2" t="str">
            <v xml:space="preserve">K2      </v>
          </cell>
          <cell r="AP2" t="str">
            <v xml:space="preserve">A4      </v>
          </cell>
          <cell r="AQ2" t="str">
            <v xml:space="preserve">B3      </v>
          </cell>
          <cell r="AR2" t="str">
            <v xml:space="preserve">C1      </v>
          </cell>
          <cell r="AS2" t="str">
            <v xml:space="preserve">D3      </v>
          </cell>
          <cell r="AT2" t="str">
            <v xml:space="preserve">E1      </v>
          </cell>
          <cell r="AU2" t="str">
            <v xml:space="preserve">F2      </v>
          </cell>
          <cell r="AV2" t="str">
            <v xml:space="preserve">H4      </v>
          </cell>
          <cell r="AW2" t="str">
            <v xml:space="preserve">I2      </v>
          </cell>
          <cell r="AX2" t="str">
            <v xml:space="preserve">J2      </v>
          </cell>
          <cell r="AY2" t="str">
            <v xml:space="preserve">K2      </v>
          </cell>
          <cell r="BB2" t="str">
            <v xml:space="preserve">A4      </v>
          </cell>
          <cell r="BC2" t="str">
            <v xml:space="preserve">B3      </v>
          </cell>
          <cell r="BD2" t="str">
            <v xml:space="preserve">C1      </v>
          </cell>
          <cell r="BE2" t="str">
            <v xml:space="preserve">D3      </v>
          </cell>
          <cell r="BF2" t="str">
            <v xml:space="preserve">E1      </v>
          </cell>
          <cell r="BG2" t="str">
            <v xml:space="preserve">F2      </v>
          </cell>
          <cell r="BH2" t="str">
            <v xml:space="preserve">H4      </v>
          </cell>
          <cell r="BI2" t="str">
            <v xml:space="preserve">A4      </v>
          </cell>
          <cell r="BJ2" t="str">
            <v xml:space="preserve">B3      </v>
          </cell>
          <cell r="BK2" t="str">
            <v xml:space="preserve">C1      </v>
          </cell>
          <cell r="BL2" t="str">
            <v xml:space="preserve">D3      </v>
          </cell>
          <cell r="BM2" t="str">
            <v xml:space="preserve">E1      </v>
          </cell>
          <cell r="BN2" t="str">
            <v xml:space="preserve">F2      </v>
          </cell>
          <cell r="BO2" t="str">
            <v xml:space="preserve">H4      </v>
          </cell>
          <cell r="BP2" t="str">
            <v xml:space="preserve">A4      </v>
          </cell>
          <cell r="BQ2" t="str">
            <v xml:space="preserve">B3      </v>
          </cell>
          <cell r="BR2" t="str">
            <v xml:space="preserve">C1      </v>
          </cell>
          <cell r="BS2" t="str">
            <v xml:space="preserve">D3      </v>
          </cell>
          <cell r="BT2" t="str">
            <v xml:space="preserve">E1      </v>
          </cell>
          <cell r="BU2" t="str">
            <v xml:space="preserve">F2      </v>
          </cell>
          <cell r="BV2" t="str">
            <v xml:space="preserve">H4      </v>
          </cell>
          <cell r="BW2" t="str">
            <v xml:space="preserve">I2      </v>
          </cell>
          <cell r="BX2" t="str">
            <v xml:space="preserve">A4      </v>
          </cell>
          <cell r="BY2" t="str">
            <v xml:space="preserve">B3      </v>
          </cell>
          <cell r="BZ2" t="str">
            <v xml:space="preserve">C1      </v>
          </cell>
          <cell r="CA2" t="str">
            <v xml:space="preserve">D3      </v>
          </cell>
          <cell r="CB2" t="str">
            <v xml:space="preserve">E1      </v>
          </cell>
          <cell r="CC2" t="str">
            <v xml:space="preserve">F2      </v>
          </cell>
          <cell r="CD2" t="str">
            <v xml:space="preserve">H4      </v>
          </cell>
          <cell r="CE2" t="str">
            <v xml:space="preserve">I2      </v>
          </cell>
          <cell r="CF2" t="str">
            <v xml:space="preserve">J2      </v>
          </cell>
          <cell r="CG2" t="str">
            <v xml:space="preserve">K2      </v>
          </cell>
          <cell r="CH2" t="str">
            <v xml:space="preserve">A4      </v>
          </cell>
          <cell r="CI2" t="str">
            <v xml:space="preserve">B3      </v>
          </cell>
          <cell r="CJ2" t="str">
            <v xml:space="preserve">C1      </v>
          </cell>
          <cell r="CK2" t="str">
            <v xml:space="preserve">D3      </v>
          </cell>
          <cell r="CL2" t="str">
            <v xml:space="preserve">E1      </v>
          </cell>
          <cell r="CM2" t="str">
            <v xml:space="preserve">F2      </v>
          </cell>
          <cell r="CN2" t="str">
            <v xml:space="preserve">H4      </v>
          </cell>
          <cell r="CO2" t="str">
            <v xml:space="preserve">I2      </v>
          </cell>
          <cell r="CP2" t="str">
            <v xml:space="preserve">J2      </v>
          </cell>
          <cell r="CQ2" t="str">
            <v xml:space="preserve">A4      </v>
          </cell>
          <cell r="CR2" t="str">
            <v xml:space="preserve">B3      </v>
          </cell>
          <cell r="CS2" t="str">
            <v xml:space="preserve">C1      </v>
          </cell>
          <cell r="CT2" t="str">
            <v xml:space="preserve">D3      </v>
          </cell>
          <cell r="CU2" t="str">
            <v xml:space="preserve">E1      </v>
          </cell>
          <cell r="CV2" t="str">
            <v xml:space="preserve">F2      </v>
          </cell>
          <cell r="CW2" t="str">
            <v xml:space="preserve">H4      </v>
          </cell>
          <cell r="CX2" t="str">
            <v xml:space="preserve">I2      </v>
          </cell>
          <cell r="CY2" t="str">
            <v xml:space="preserve">J2      </v>
          </cell>
        </row>
        <row r="3">
          <cell r="A3" t="str">
            <v>Biogenic Silica (mg/L)</v>
          </cell>
          <cell r="B3">
            <v>0.26800000000000002</v>
          </cell>
          <cell r="C3">
            <v>0.34699999999999998</v>
          </cell>
          <cell r="D3">
            <v>0.46500000000000002</v>
          </cell>
          <cell r="E3">
            <v>0.33900000000000002</v>
          </cell>
          <cell r="F3">
            <v>0.36199999999999999</v>
          </cell>
          <cell r="G3">
            <v>0.371</v>
          </cell>
          <cell r="H3">
            <v>0.45500000000000002</v>
          </cell>
          <cell r="I3">
            <v>0.66300000000000003</v>
          </cell>
          <cell r="J3">
            <v>1.115</v>
          </cell>
          <cell r="K3">
            <v>0.498</v>
          </cell>
          <cell r="L3">
            <v>1.3109999999999999</v>
          </cell>
          <cell r="M3">
            <v>1.885</v>
          </cell>
          <cell r="N3">
            <v>1.845</v>
          </cell>
          <cell r="O3">
            <v>1.7549999999999999</v>
          </cell>
          <cell r="P3">
            <v>1.893</v>
          </cell>
          <cell r="Q3">
            <v>1.77</v>
          </cell>
          <cell r="R3">
            <v>1.42</v>
          </cell>
          <cell r="S3">
            <v>1.3220000000000001</v>
          </cell>
          <cell r="T3">
            <v>1.083</v>
          </cell>
          <cell r="U3">
            <v>0.58799999999999997</v>
          </cell>
          <cell r="V3">
            <v>0.47799999999999998</v>
          </cell>
          <cell r="W3">
            <v>0.29599999999999999</v>
          </cell>
          <cell r="X3">
            <v>0.251</v>
          </cell>
          <cell r="Y3">
            <v>0.215</v>
          </cell>
          <cell r="Z3">
            <v>0.2</v>
          </cell>
          <cell r="AA3">
            <v>0.28999999999999998</v>
          </cell>
          <cell r="AB3">
            <v>0.14699999999999999</v>
          </cell>
          <cell r="AC3">
            <v>0.27</v>
          </cell>
          <cell r="AD3">
            <v>0.17699999999999999</v>
          </cell>
          <cell r="AE3">
            <v>0.28399999999999997</v>
          </cell>
          <cell r="AF3">
            <v>0.77300000000000002</v>
          </cell>
          <cell r="AG3">
            <v>0.55700000000000005</v>
          </cell>
          <cell r="AH3">
            <v>0.48799999999999999</v>
          </cell>
          <cell r="AI3">
            <v>0.36599999999999999</v>
          </cell>
          <cell r="AJ3">
            <v>0.24399999999999999</v>
          </cell>
          <cell r="AK3">
            <v>0.29299999999999998</v>
          </cell>
          <cell r="AL3">
            <v>0.26200000000000001</v>
          </cell>
          <cell r="AM3">
            <v>0.104</v>
          </cell>
          <cell r="AN3">
            <v>0.13600000000000001</v>
          </cell>
          <cell r="AO3">
            <v>0.16600000000000001</v>
          </cell>
          <cell r="AP3">
            <v>0.69399999999999995</v>
          </cell>
          <cell r="AQ3">
            <v>0.64100000000000001</v>
          </cell>
          <cell r="AR3">
            <v>0.75600000000000001</v>
          </cell>
          <cell r="AS3">
            <v>0.74099999999999999</v>
          </cell>
          <cell r="AT3">
            <v>0.57999999999999996</v>
          </cell>
          <cell r="AU3">
            <v>0.40799999999999997</v>
          </cell>
          <cell r="AV3">
            <v>0.29199999999999998</v>
          </cell>
          <cell r="AW3">
            <v>0.23499999999999999</v>
          </cell>
          <cell r="AX3">
            <v>0.154</v>
          </cell>
          <cell r="AY3">
            <v>0.14899999999999999</v>
          </cell>
          <cell r="AZ3"/>
          <cell r="BA3"/>
          <cell r="BB3">
            <v>0.61899999999999999</v>
          </cell>
          <cell r="BC3">
            <v>0.255</v>
          </cell>
          <cell r="BD3">
            <v>0.253</v>
          </cell>
          <cell r="BE3">
            <v>0.218</v>
          </cell>
          <cell r="BF3">
            <v>0.13900000000000001</v>
          </cell>
          <cell r="BG3">
            <v>0.20699999999999999</v>
          </cell>
          <cell r="BH3">
            <v>0.14099999999999999</v>
          </cell>
          <cell r="BI3">
            <v>0.69299999999999995</v>
          </cell>
          <cell r="BJ3">
            <v>0.16400000000000001</v>
          </cell>
          <cell r="BK3">
            <v>0.26700000000000002</v>
          </cell>
          <cell r="BL3">
            <v>0.28999999999999998</v>
          </cell>
          <cell r="BM3">
            <v>0.126</v>
          </cell>
          <cell r="BN3">
            <v>0.40300000000000002</v>
          </cell>
          <cell r="BO3">
            <v>0.16300000000000001</v>
          </cell>
          <cell r="BP3">
            <v>0.35</v>
          </cell>
          <cell r="BQ3">
            <v>0.32400000000000001</v>
          </cell>
          <cell r="BR3">
            <v>0.44</v>
          </cell>
          <cell r="BS3">
            <v>1.0109999999999999</v>
          </cell>
          <cell r="BT3">
            <v>0.28000000000000003</v>
          </cell>
          <cell r="BU3">
            <v>1.601</v>
          </cell>
          <cell r="BV3">
            <v>0.66500000000000004</v>
          </cell>
          <cell r="BW3">
            <v>0.29199999999999998</v>
          </cell>
          <cell r="BX3">
            <v>0.57299999999999995</v>
          </cell>
          <cell r="BY3">
            <v>0.46700000000000003</v>
          </cell>
          <cell r="BZ3">
            <v>0.499</v>
          </cell>
          <cell r="CA3">
            <v>0.45600000000000002</v>
          </cell>
          <cell r="CB3">
            <v>0.32900000000000001</v>
          </cell>
          <cell r="CC3">
            <v>0.66600000000000004</v>
          </cell>
          <cell r="CD3">
            <v>0.40400000000000003</v>
          </cell>
          <cell r="CE3">
            <v>0.36899999999999999</v>
          </cell>
          <cell r="CF3">
            <v>0.77700000000000002</v>
          </cell>
          <cell r="CG3">
            <v>0.20699999999999999</v>
          </cell>
          <cell r="CH3">
            <v>0.55000000000000004</v>
          </cell>
          <cell r="CI3">
            <v>0.45400000000000001</v>
          </cell>
          <cell r="CJ3">
            <v>0.315</v>
          </cell>
          <cell r="CK3">
            <v>0.246</v>
          </cell>
          <cell r="CL3">
            <v>0.44800000000000001</v>
          </cell>
          <cell r="CM3">
            <v>0.96699999999999997</v>
          </cell>
          <cell r="CN3">
            <v>0.504</v>
          </cell>
          <cell r="CO3">
            <v>0.39600000000000002</v>
          </cell>
          <cell r="CP3">
            <v>0.63800000000000001</v>
          </cell>
          <cell r="CQ3">
            <v>0.83499999999999996</v>
          </cell>
          <cell r="CR3">
            <v>0.44800000000000001</v>
          </cell>
          <cell r="CS3">
            <v>0.43099999999999999</v>
          </cell>
          <cell r="CT3">
            <v>0.315</v>
          </cell>
          <cell r="CU3">
            <v>0.46200000000000002</v>
          </cell>
          <cell r="CV3">
            <v>0.51500000000000001</v>
          </cell>
          <cell r="CW3">
            <v>0.317</v>
          </cell>
          <cell r="CX3">
            <v>0.38600000000000001</v>
          </cell>
          <cell r="CY3">
            <v>0.66</v>
          </cell>
        </row>
        <row r="4">
          <cell r="A4" t="str">
            <v>Dissolved Silica (mg/L)</v>
          </cell>
          <cell r="B4">
            <v>2.367</v>
          </cell>
          <cell r="C4">
            <v>2.0840000000000001</v>
          </cell>
          <cell r="D4">
            <v>1.9370000000000001</v>
          </cell>
          <cell r="E4">
            <v>1.9650000000000001</v>
          </cell>
          <cell r="F4">
            <v>1.8560000000000001</v>
          </cell>
          <cell r="G4">
            <v>1.857</v>
          </cell>
          <cell r="H4">
            <v>1.9490000000000001</v>
          </cell>
          <cell r="I4">
            <v>1.601</v>
          </cell>
          <cell r="J4">
            <v>1.431</v>
          </cell>
          <cell r="K4">
            <v>1.3580000000000001</v>
          </cell>
          <cell r="L4">
            <v>0.77900000000000003</v>
          </cell>
          <cell r="M4">
            <v>0.501</v>
          </cell>
          <cell r="N4">
            <v>0.47599999999999998</v>
          </cell>
          <cell r="O4">
            <v>0.58699999999999997</v>
          </cell>
          <cell r="P4">
            <v>0.32</v>
          </cell>
          <cell r="Q4">
            <v>0.46300000000000002</v>
          </cell>
          <cell r="R4">
            <v>0.57599999999999996</v>
          </cell>
          <cell r="S4">
            <v>0.61499999999999999</v>
          </cell>
          <cell r="T4">
            <v>0.71699999999999997</v>
          </cell>
          <cell r="U4">
            <v>0.72299999999999998</v>
          </cell>
          <cell r="V4">
            <v>0</v>
          </cell>
          <cell r="W4">
            <v>3.9E-2</v>
          </cell>
          <cell r="X4">
            <v>3.7999999999999999E-2</v>
          </cell>
          <cell r="Y4">
            <v>0.122</v>
          </cell>
          <cell r="Z4">
            <v>0.34699999999999998</v>
          </cell>
          <cell r="AA4">
            <v>0.24099999999999999</v>
          </cell>
          <cell r="AB4">
            <v>0.17399999999999999</v>
          </cell>
          <cell r="AC4">
            <v>0.44500000000000001</v>
          </cell>
          <cell r="AD4">
            <v>0.14899999999999999</v>
          </cell>
          <cell r="AE4">
            <v>0.89600000000000002</v>
          </cell>
          <cell r="AF4">
            <v>0.40600000000000003</v>
          </cell>
          <cell r="AG4">
            <v>0.54200000000000004</v>
          </cell>
          <cell r="AH4">
            <v>0.57499999999999996</v>
          </cell>
          <cell r="AI4">
            <v>0.60699999999999998</v>
          </cell>
          <cell r="AJ4">
            <v>0.59</v>
          </cell>
          <cell r="AK4">
            <v>0.45900000000000002</v>
          </cell>
          <cell r="AL4">
            <v>0.247</v>
          </cell>
          <cell r="AM4">
            <v>0.46800000000000003</v>
          </cell>
          <cell r="AN4">
            <v>0.55200000000000005</v>
          </cell>
          <cell r="AO4">
            <v>0.85799999999999998</v>
          </cell>
          <cell r="AP4">
            <v>0.65</v>
          </cell>
          <cell r="AQ4">
            <v>0.54200000000000004</v>
          </cell>
          <cell r="AR4">
            <v>0.26600000000000001</v>
          </cell>
          <cell r="AS4">
            <v>0.27400000000000002</v>
          </cell>
          <cell r="AT4">
            <v>0.34</v>
          </cell>
          <cell r="AU4">
            <v>0.26700000000000002</v>
          </cell>
          <cell r="AV4">
            <v>0.51200000000000001</v>
          </cell>
          <cell r="AW4">
            <v>0.55300000000000005</v>
          </cell>
          <cell r="AX4">
            <v>0.64800000000000002</v>
          </cell>
          <cell r="AY4">
            <v>0.45700000000000002</v>
          </cell>
          <cell r="AZ4"/>
          <cell r="BA4"/>
          <cell r="BB4">
            <v>0.41899999999999998</v>
          </cell>
          <cell r="BC4">
            <v>0.55500000000000005</v>
          </cell>
          <cell r="BD4">
            <v>1.5940000000000001</v>
          </cell>
          <cell r="BE4">
            <v>0.82499999999999996</v>
          </cell>
          <cell r="BF4">
            <v>0.39600000000000002</v>
          </cell>
          <cell r="BG4">
            <v>0.53400000000000003</v>
          </cell>
          <cell r="BH4">
            <v>0.52100000000000002</v>
          </cell>
          <cell r="BI4">
            <v>1.81</v>
          </cell>
          <cell r="BJ4">
            <v>1.6870000000000001</v>
          </cell>
          <cell r="BK4">
            <v>1.647</v>
          </cell>
          <cell r="BL4">
            <v>1.806</v>
          </cell>
          <cell r="BM4">
            <v>1.5009999999999999</v>
          </cell>
          <cell r="BN4">
            <v>1.585</v>
          </cell>
          <cell r="BO4">
            <v>1.0580000000000001</v>
          </cell>
          <cell r="BP4">
            <v>3.0059999999999998</v>
          </cell>
          <cell r="BQ4">
            <v>2.6059999999999999</v>
          </cell>
          <cell r="BR4">
            <v>2.0920000000000001</v>
          </cell>
          <cell r="BS4">
            <v>1.643</v>
          </cell>
          <cell r="BT4">
            <v>1.74</v>
          </cell>
          <cell r="BU4">
            <v>0.49199999999999999</v>
          </cell>
          <cell r="BV4">
            <v>0.65</v>
          </cell>
          <cell r="BW4">
            <v>0.99099999999999999</v>
          </cell>
          <cell r="BX4">
            <v>3.0859999999999999</v>
          </cell>
          <cell r="BY4">
            <v>2.9510000000000001</v>
          </cell>
          <cell r="BZ4">
            <v>2.7120000000000002</v>
          </cell>
          <cell r="CA4">
            <v>2.2229999999999999</v>
          </cell>
          <cell r="CB4">
            <v>1.8140000000000001</v>
          </cell>
          <cell r="CC4">
            <v>1.8129999999999999</v>
          </cell>
          <cell r="CD4">
            <v>1.8540000000000001</v>
          </cell>
          <cell r="CE4">
            <v>1.506</v>
          </cell>
          <cell r="CF4">
            <v>0.86</v>
          </cell>
          <cell r="CG4">
            <v>0.67200000000000004</v>
          </cell>
          <cell r="CH4">
            <v>2.6429999999999998</v>
          </cell>
          <cell r="CI4">
            <v>2.5680000000000001</v>
          </cell>
          <cell r="CJ4">
            <v>2.448</v>
          </cell>
          <cell r="CK4">
            <v>2.375</v>
          </cell>
          <cell r="CL4">
            <v>2.2999999999999998</v>
          </cell>
          <cell r="CM4">
            <v>1.7290000000000001</v>
          </cell>
          <cell r="CN4">
            <v>2.0049999999999999</v>
          </cell>
          <cell r="CO4">
            <v>1.806</v>
          </cell>
          <cell r="CP4">
            <v>1.056</v>
          </cell>
          <cell r="CQ4">
            <v>2.7850000000000001</v>
          </cell>
          <cell r="CR4">
            <v>2.677</v>
          </cell>
          <cell r="CS4">
            <v>2.6240000000000001</v>
          </cell>
          <cell r="CT4">
            <v>2.423</v>
          </cell>
          <cell r="CU4">
            <v>2.2770000000000001</v>
          </cell>
          <cell r="CV4">
            <v>2.23</v>
          </cell>
          <cell r="CW4">
            <v>2.11</v>
          </cell>
          <cell r="CX4">
            <v>1.873</v>
          </cell>
          <cell r="CY4">
            <v>1.5780000000000001</v>
          </cell>
        </row>
        <row r="6">
          <cell r="B6" t="str">
            <v>Jan</v>
          </cell>
          <cell r="L6" t="str">
            <v>Feb</v>
          </cell>
          <cell r="V6" t="str">
            <v>Mar</v>
          </cell>
          <cell r="AF6" t="str">
            <v>Apr</v>
          </cell>
          <cell r="AP6" t="str">
            <v>May</v>
          </cell>
          <cell r="AZ6" t="str">
            <v>Jun</v>
          </cell>
          <cell r="BB6" t="str">
            <v>Jul</v>
          </cell>
          <cell r="BI6" t="str">
            <v>Aug</v>
          </cell>
          <cell r="BP6" t="str">
            <v>Sep</v>
          </cell>
          <cell r="BX6" t="str">
            <v>Oct</v>
          </cell>
          <cell r="CH6" t="str">
            <v>Nov</v>
          </cell>
          <cell r="CQ6" t="str">
            <v>Dec</v>
          </cell>
        </row>
        <row r="7">
          <cell r="B7" t="str">
            <v xml:space="preserve">A4      </v>
          </cell>
          <cell r="C7" t="str">
            <v xml:space="preserve">B3      </v>
          </cell>
          <cell r="D7" t="str">
            <v xml:space="preserve">C1      </v>
          </cell>
          <cell r="E7" t="str">
            <v xml:space="preserve">D3      </v>
          </cell>
          <cell r="F7" t="str">
            <v xml:space="preserve">E1      </v>
          </cell>
          <cell r="G7" t="str">
            <v xml:space="preserve">F2      </v>
          </cell>
          <cell r="H7" t="str">
            <v xml:space="preserve">H4      </v>
          </cell>
          <cell r="I7" t="str">
            <v xml:space="preserve">I2      </v>
          </cell>
          <cell r="J7" t="str">
            <v xml:space="preserve">J2      </v>
          </cell>
          <cell r="K7" t="str">
            <v xml:space="preserve">K2      </v>
          </cell>
          <cell r="L7" t="str">
            <v xml:space="preserve">A4      </v>
          </cell>
          <cell r="M7" t="str">
            <v xml:space="preserve">B3      </v>
          </cell>
          <cell r="N7" t="str">
            <v xml:space="preserve">C1      </v>
          </cell>
          <cell r="O7" t="str">
            <v xml:space="preserve">D3      </v>
          </cell>
          <cell r="P7" t="str">
            <v xml:space="preserve">E1      </v>
          </cell>
          <cell r="Q7" t="str">
            <v xml:space="preserve">F2      </v>
          </cell>
          <cell r="R7" t="str">
            <v xml:space="preserve">H4      </v>
          </cell>
          <cell r="S7" t="str">
            <v xml:space="preserve">I2      </v>
          </cell>
          <cell r="T7" t="str">
            <v xml:space="preserve">J2      </v>
          </cell>
          <cell r="U7" t="str">
            <v xml:space="preserve">K2      </v>
          </cell>
          <cell r="V7" t="str">
            <v xml:space="preserve">A4      </v>
          </cell>
          <cell r="W7" t="str">
            <v xml:space="preserve">B3      </v>
          </cell>
          <cell r="X7" t="str">
            <v xml:space="preserve">C1      </v>
          </cell>
          <cell r="Y7" t="str">
            <v xml:space="preserve">D3      </v>
          </cell>
          <cell r="Z7" t="str">
            <v xml:space="preserve">E1      </v>
          </cell>
          <cell r="AA7" t="str">
            <v xml:space="preserve">F2      </v>
          </cell>
          <cell r="AB7" t="str">
            <v xml:space="preserve">H4      </v>
          </cell>
          <cell r="AC7" t="str">
            <v xml:space="preserve">I2      </v>
          </cell>
          <cell r="AD7" t="str">
            <v xml:space="preserve">J2      </v>
          </cell>
          <cell r="AE7" t="str">
            <v xml:space="preserve">K2      </v>
          </cell>
          <cell r="AF7" t="str">
            <v xml:space="preserve">A4      </v>
          </cell>
          <cell r="AG7" t="str">
            <v xml:space="preserve">B3      </v>
          </cell>
          <cell r="AH7" t="str">
            <v xml:space="preserve">C1      </v>
          </cell>
          <cell r="AI7" t="str">
            <v xml:space="preserve">D3      </v>
          </cell>
          <cell r="AJ7" t="str">
            <v xml:space="preserve">E1      </v>
          </cell>
          <cell r="AK7" t="str">
            <v xml:space="preserve">F2      </v>
          </cell>
          <cell r="AL7" t="str">
            <v xml:space="preserve">H4      </v>
          </cell>
          <cell r="AM7" t="str">
            <v xml:space="preserve">I2      </v>
          </cell>
          <cell r="AN7" t="str">
            <v xml:space="preserve">J2      </v>
          </cell>
          <cell r="AO7" t="str">
            <v xml:space="preserve">K2      </v>
          </cell>
          <cell r="AP7" t="str">
            <v xml:space="preserve">A4      </v>
          </cell>
          <cell r="AQ7" t="str">
            <v xml:space="preserve">B3      </v>
          </cell>
          <cell r="AR7" t="str">
            <v xml:space="preserve">C1      </v>
          </cell>
          <cell r="AS7" t="str">
            <v xml:space="preserve">D3      </v>
          </cell>
          <cell r="AT7" t="str">
            <v xml:space="preserve">E1      </v>
          </cell>
          <cell r="AU7" t="str">
            <v xml:space="preserve">F2      </v>
          </cell>
          <cell r="AV7" t="str">
            <v xml:space="preserve">H4      </v>
          </cell>
          <cell r="AW7" t="str">
            <v xml:space="preserve">I2      </v>
          </cell>
          <cell r="AX7" t="str">
            <v xml:space="preserve">J2      </v>
          </cell>
          <cell r="AY7" t="str">
            <v xml:space="preserve">K2      </v>
          </cell>
          <cell r="BB7" t="str">
            <v xml:space="preserve">A4      </v>
          </cell>
          <cell r="BC7" t="str">
            <v xml:space="preserve">B3      </v>
          </cell>
          <cell r="BD7" t="str">
            <v xml:space="preserve">C1      </v>
          </cell>
          <cell r="BE7" t="str">
            <v xml:space="preserve">D3      </v>
          </cell>
          <cell r="BF7" t="str">
            <v xml:space="preserve">E1      </v>
          </cell>
          <cell r="BG7" t="str">
            <v xml:space="preserve">F2      </v>
          </cell>
          <cell r="BH7" t="str">
            <v xml:space="preserve">H4      </v>
          </cell>
          <cell r="BI7" t="str">
            <v xml:space="preserve">A4      </v>
          </cell>
          <cell r="BJ7" t="str">
            <v xml:space="preserve">B3      </v>
          </cell>
          <cell r="BK7" t="str">
            <v xml:space="preserve">C1      </v>
          </cell>
          <cell r="BL7" t="str">
            <v xml:space="preserve">D3      </v>
          </cell>
          <cell r="BM7" t="str">
            <v xml:space="preserve">E1      </v>
          </cell>
          <cell r="BN7" t="str">
            <v xml:space="preserve">F2      </v>
          </cell>
          <cell r="BO7" t="str">
            <v xml:space="preserve">H4      </v>
          </cell>
          <cell r="BP7" t="str">
            <v xml:space="preserve">A4      </v>
          </cell>
          <cell r="BQ7" t="str">
            <v xml:space="preserve">B3      </v>
          </cell>
          <cell r="BR7" t="str">
            <v xml:space="preserve">C1      </v>
          </cell>
          <cell r="BS7" t="str">
            <v xml:space="preserve">D3      </v>
          </cell>
          <cell r="BT7" t="str">
            <v xml:space="preserve">E1      </v>
          </cell>
          <cell r="BU7" t="str">
            <v xml:space="preserve">F2      </v>
          </cell>
          <cell r="BV7" t="str">
            <v xml:space="preserve">H4      </v>
          </cell>
          <cell r="BW7" t="str">
            <v xml:space="preserve">I2      </v>
          </cell>
          <cell r="BX7" t="str">
            <v xml:space="preserve">A4      </v>
          </cell>
          <cell r="BY7" t="str">
            <v xml:space="preserve">B3      </v>
          </cell>
          <cell r="BZ7" t="str">
            <v xml:space="preserve">C1      </v>
          </cell>
          <cell r="CA7" t="str">
            <v xml:space="preserve">D3      </v>
          </cell>
          <cell r="CB7" t="str">
            <v xml:space="preserve">E1      </v>
          </cell>
          <cell r="CC7" t="str">
            <v xml:space="preserve">F2      </v>
          </cell>
          <cell r="CD7" t="str">
            <v xml:space="preserve">H4      </v>
          </cell>
          <cell r="CE7" t="str">
            <v xml:space="preserve">I2      </v>
          </cell>
          <cell r="CF7" t="str">
            <v xml:space="preserve">J2      </v>
          </cell>
          <cell r="CG7" t="str">
            <v xml:space="preserve">K2      </v>
          </cell>
          <cell r="CH7" t="str">
            <v xml:space="preserve">A4      </v>
          </cell>
          <cell r="CI7" t="str">
            <v xml:space="preserve">B3      </v>
          </cell>
          <cell r="CJ7" t="str">
            <v xml:space="preserve">C1      </v>
          </cell>
          <cell r="CK7" t="str">
            <v xml:space="preserve">D3      </v>
          </cell>
          <cell r="CL7" t="str">
            <v xml:space="preserve">E1      </v>
          </cell>
          <cell r="CM7" t="str">
            <v xml:space="preserve">F2      </v>
          </cell>
          <cell r="CN7" t="str">
            <v xml:space="preserve">H4      </v>
          </cell>
          <cell r="CO7" t="str">
            <v xml:space="preserve">I2      </v>
          </cell>
          <cell r="CP7" t="str">
            <v xml:space="preserve">J2      </v>
          </cell>
          <cell r="CQ7" t="str">
            <v xml:space="preserve">A4      </v>
          </cell>
          <cell r="CR7" t="str">
            <v xml:space="preserve">B3      </v>
          </cell>
          <cell r="CS7" t="str">
            <v xml:space="preserve">C1      </v>
          </cell>
          <cell r="CT7" t="str">
            <v xml:space="preserve">D3      </v>
          </cell>
          <cell r="CU7" t="str">
            <v xml:space="preserve">E1      </v>
          </cell>
          <cell r="CV7" t="str">
            <v xml:space="preserve">F2      </v>
          </cell>
          <cell r="CW7" t="str">
            <v xml:space="preserve">H4      </v>
          </cell>
          <cell r="CX7" t="str">
            <v xml:space="preserve">I2      </v>
          </cell>
          <cell r="CY7" t="str">
            <v xml:space="preserve">J2      </v>
          </cell>
        </row>
        <row r="8">
          <cell r="A8" t="str">
            <v>Ammonia (mg/L)</v>
          </cell>
          <cell r="B8">
            <v>0.13700000000000001</v>
          </cell>
          <cell r="C8">
            <v>5.6000000000000001E-2</v>
          </cell>
          <cell r="D8">
            <v>1.9E-2</v>
          </cell>
          <cell r="E8">
            <v>2.8000000000000001E-2</v>
          </cell>
          <cell r="F8">
            <v>1.0999999999999999E-2</v>
          </cell>
          <cell r="G8">
            <v>6.0000000000000001E-3</v>
          </cell>
          <cell r="H8">
            <v>0</v>
          </cell>
          <cell r="I8">
            <v>0</v>
          </cell>
          <cell r="J8">
            <v>2E-3</v>
          </cell>
          <cell r="K8">
            <v>6.0000000000000001E-3</v>
          </cell>
          <cell r="L8">
            <v>4.1000000000000002E-2</v>
          </cell>
          <cell r="M8">
            <v>4.0000000000000001E-3</v>
          </cell>
          <cell r="N8">
            <v>4.0000000000000001E-3</v>
          </cell>
          <cell r="O8">
            <v>4.0000000000000001E-3</v>
          </cell>
          <cell r="P8">
            <v>4.0000000000000001E-3</v>
          </cell>
          <cell r="Q8">
            <v>4.0000000000000001E-3</v>
          </cell>
          <cell r="R8">
            <v>4.0000000000000001E-3</v>
          </cell>
          <cell r="S8">
            <v>4.0000000000000001E-3</v>
          </cell>
          <cell r="T8">
            <v>4.0000000000000001E-3</v>
          </cell>
          <cell r="U8">
            <v>4.0000000000000001E-3</v>
          </cell>
          <cell r="V8">
            <v>6.0000000000000001E-3</v>
          </cell>
          <cell r="W8">
            <v>6.0000000000000001E-3</v>
          </cell>
          <cell r="X8">
            <v>7.0000000000000001E-3</v>
          </cell>
          <cell r="Y8">
            <v>7.0000000000000001E-3</v>
          </cell>
          <cell r="Z8">
            <v>6.0000000000000001E-3</v>
          </cell>
          <cell r="AA8">
            <v>6.0000000000000001E-3</v>
          </cell>
          <cell r="AB8">
            <v>6.0000000000000001E-3</v>
          </cell>
          <cell r="AC8">
            <v>8.0000000000000002E-3</v>
          </cell>
          <cell r="AD8">
            <v>6.0000000000000001E-3</v>
          </cell>
          <cell r="AE8">
            <v>1.2999999999999999E-2</v>
          </cell>
          <cell r="AF8">
            <v>0.08</v>
          </cell>
          <cell r="AG8">
            <v>8.9999999999999993E-3</v>
          </cell>
          <cell r="AH8">
            <v>4.0000000000000001E-3</v>
          </cell>
          <cell r="AI8">
            <v>4.0000000000000001E-3</v>
          </cell>
          <cell r="AJ8">
            <v>4.0000000000000001E-3</v>
          </cell>
          <cell r="AK8">
            <v>4.0000000000000001E-3</v>
          </cell>
          <cell r="AL8">
            <v>3.0000000000000001E-3</v>
          </cell>
          <cell r="AM8">
            <v>3.0000000000000001E-3</v>
          </cell>
          <cell r="AN8">
            <v>0</v>
          </cell>
          <cell r="AO8">
            <v>1.4E-2</v>
          </cell>
          <cell r="AP8">
            <v>0.16400000000000001</v>
          </cell>
          <cell r="AQ8">
            <v>0.105</v>
          </cell>
          <cell r="AR8">
            <v>5.0000000000000001E-3</v>
          </cell>
          <cell r="AS8">
            <v>0</v>
          </cell>
          <cell r="AT8">
            <v>0</v>
          </cell>
          <cell r="AU8">
            <v>5.0000000000000001E-3</v>
          </cell>
          <cell r="AV8">
            <v>0</v>
          </cell>
          <cell r="AW8">
            <v>0</v>
          </cell>
          <cell r="AX8">
            <v>3.0000000000000001E-3</v>
          </cell>
          <cell r="AY8">
            <v>1.2E-2</v>
          </cell>
          <cell r="AZ8"/>
          <cell r="BA8"/>
          <cell r="BB8">
            <v>0</v>
          </cell>
          <cell r="BC8">
            <v>0</v>
          </cell>
          <cell r="BD8">
            <v>0</v>
          </cell>
          <cell r="BE8">
            <v>0</v>
          </cell>
          <cell r="BF8">
            <v>0</v>
          </cell>
          <cell r="BG8">
            <v>0</v>
          </cell>
          <cell r="BH8">
            <v>0</v>
          </cell>
          <cell r="BI8">
            <v>5.0000000000000001E-3</v>
          </cell>
          <cell r="BJ8">
            <v>0</v>
          </cell>
          <cell r="BK8">
            <v>0</v>
          </cell>
          <cell r="BL8">
            <v>0</v>
          </cell>
          <cell r="BM8">
            <v>0</v>
          </cell>
          <cell r="BN8">
            <v>0</v>
          </cell>
          <cell r="BO8">
            <v>0</v>
          </cell>
          <cell r="BP8">
            <v>0.13200000000000001</v>
          </cell>
          <cell r="BQ8">
            <v>0</v>
          </cell>
          <cell r="BR8">
            <v>0</v>
          </cell>
          <cell r="BS8">
            <v>0</v>
          </cell>
          <cell r="BT8">
            <v>0</v>
          </cell>
          <cell r="BU8">
            <v>0</v>
          </cell>
          <cell r="BV8">
            <v>0</v>
          </cell>
          <cell r="BW8">
            <v>0</v>
          </cell>
          <cell r="BX8">
            <v>0.26200000000000001</v>
          </cell>
          <cell r="BY8">
            <v>0.224</v>
          </cell>
          <cell r="BZ8">
            <v>0.121</v>
          </cell>
          <cell r="CA8">
            <v>3.5999999999999997E-2</v>
          </cell>
          <cell r="CB8">
            <v>0</v>
          </cell>
          <cell r="CC8">
            <v>0</v>
          </cell>
          <cell r="CD8">
            <v>0</v>
          </cell>
          <cell r="CE8">
            <v>0</v>
          </cell>
          <cell r="CF8">
            <v>0</v>
          </cell>
          <cell r="CG8">
            <v>0</v>
          </cell>
          <cell r="CH8">
            <v>0.14000000000000001</v>
          </cell>
          <cell r="CI8">
            <v>0.04</v>
          </cell>
          <cell r="CJ8">
            <v>1.7999999999999999E-2</v>
          </cell>
          <cell r="CK8">
            <v>4.0000000000000001E-3</v>
          </cell>
          <cell r="CL8">
            <v>4.0000000000000001E-3</v>
          </cell>
          <cell r="CM8">
            <v>4.0000000000000001E-3</v>
          </cell>
          <cell r="CN8">
            <v>0</v>
          </cell>
          <cell r="CO8">
            <v>0</v>
          </cell>
          <cell r="CP8">
            <v>0</v>
          </cell>
          <cell r="CQ8">
            <v>0.16200000000000001</v>
          </cell>
          <cell r="CR8">
            <v>6.9000000000000006E-2</v>
          </cell>
          <cell r="CS8">
            <v>0.04</v>
          </cell>
          <cell r="CT8">
            <v>1.6E-2</v>
          </cell>
          <cell r="CU8">
            <v>6.0000000000000001E-3</v>
          </cell>
          <cell r="CV8">
            <v>8.9999999999999993E-3</v>
          </cell>
          <cell r="CW8">
            <v>7.0000000000000001E-3</v>
          </cell>
          <cell r="CX8">
            <v>0</v>
          </cell>
          <cell r="CY8">
            <v>0</v>
          </cell>
        </row>
        <row r="9">
          <cell r="A9" t="str">
            <v>Nitrate + Nitrite (mg/L)</v>
          </cell>
          <cell r="B9">
            <v>0.20300000000000001</v>
          </cell>
          <cell r="C9">
            <v>0.17199999999999999</v>
          </cell>
          <cell r="D9">
            <v>0.13800000000000001</v>
          </cell>
          <cell r="E9">
            <v>0.14799999999999999</v>
          </cell>
          <cell r="F9">
            <v>0.13800000000000001</v>
          </cell>
          <cell r="G9">
            <v>0.13400000000000001</v>
          </cell>
          <cell r="H9">
            <v>0.11700000000000001</v>
          </cell>
          <cell r="I9">
            <v>0.121</v>
          </cell>
          <cell r="J9">
            <v>0.106</v>
          </cell>
          <cell r="K9">
            <v>0.11700000000000001</v>
          </cell>
          <cell r="L9">
            <v>0.154</v>
          </cell>
          <cell r="M9">
            <v>1.2E-2</v>
          </cell>
          <cell r="N9">
            <v>7.0000000000000001E-3</v>
          </cell>
          <cell r="O9">
            <v>8.9999999999999993E-3</v>
          </cell>
          <cell r="P9">
            <v>8.9999999999999993E-3</v>
          </cell>
          <cell r="Q9">
            <v>1.2E-2</v>
          </cell>
          <cell r="R9">
            <v>8.9999999999999993E-3</v>
          </cell>
          <cell r="S9">
            <v>8.0000000000000002E-3</v>
          </cell>
          <cell r="T9">
            <v>3.5999999999999997E-2</v>
          </cell>
          <cell r="U9">
            <v>5.6000000000000001E-2</v>
          </cell>
          <cell r="V9">
            <v>8.0000000000000002E-3</v>
          </cell>
          <cell r="W9">
            <v>8.9999999999999993E-3</v>
          </cell>
          <cell r="X9">
            <v>8.0000000000000002E-3</v>
          </cell>
          <cell r="Y9">
            <v>8.0000000000000002E-3</v>
          </cell>
          <cell r="Z9">
            <v>1.0999999999999999E-2</v>
          </cell>
          <cell r="AA9">
            <v>1.9E-2</v>
          </cell>
          <cell r="AB9">
            <v>8.9999999999999993E-3</v>
          </cell>
          <cell r="AC9">
            <v>8.9999999999999993E-3</v>
          </cell>
          <cell r="AD9">
            <v>1.0999999999999999E-2</v>
          </cell>
          <cell r="AE9">
            <v>4.8000000000000001E-2</v>
          </cell>
          <cell r="AF9">
            <v>3.9E-2</v>
          </cell>
          <cell r="AG9">
            <v>1.0999999999999999E-2</v>
          </cell>
          <cell r="AH9">
            <v>8.0000000000000002E-3</v>
          </cell>
          <cell r="AI9">
            <v>8.9999999999999993E-3</v>
          </cell>
          <cell r="AJ9">
            <v>1.2999999999999999E-2</v>
          </cell>
          <cell r="AK9">
            <v>0.01</v>
          </cell>
          <cell r="AL9">
            <v>1.0999999999999999E-2</v>
          </cell>
          <cell r="AM9">
            <v>8.9999999999999993E-3</v>
          </cell>
          <cell r="AN9">
            <v>1.7000000000000001E-2</v>
          </cell>
          <cell r="AO9">
            <v>3.6999999999999998E-2</v>
          </cell>
          <cell r="AP9">
            <v>0.10199999999999999</v>
          </cell>
          <cell r="AQ9">
            <v>7.3999999999999996E-2</v>
          </cell>
          <cell r="AR9">
            <v>6.0000000000000001E-3</v>
          </cell>
          <cell r="AS9">
            <v>8.9999999999999993E-3</v>
          </cell>
          <cell r="AT9">
            <v>8.9999999999999993E-3</v>
          </cell>
          <cell r="AU9">
            <v>8.9999999999999993E-3</v>
          </cell>
          <cell r="AV9">
            <v>1.0999999999999999E-2</v>
          </cell>
          <cell r="AW9">
            <v>1.2E-2</v>
          </cell>
          <cell r="AX9">
            <v>1.7000000000000001E-2</v>
          </cell>
          <cell r="AY9">
            <v>1.7000000000000001E-2</v>
          </cell>
          <cell r="AZ9"/>
          <cell r="BA9"/>
          <cell r="BB9">
            <v>0</v>
          </cell>
          <cell r="BC9">
            <v>3.0000000000000001E-3</v>
          </cell>
          <cell r="BD9">
            <v>0</v>
          </cell>
          <cell r="BE9">
            <v>0</v>
          </cell>
          <cell r="BF9">
            <v>4.0000000000000001E-3</v>
          </cell>
          <cell r="BG9">
            <v>0</v>
          </cell>
          <cell r="BH9">
            <v>0</v>
          </cell>
          <cell r="BI9">
            <v>1.7999999999999999E-2</v>
          </cell>
          <cell r="BJ9">
            <v>5.0000000000000001E-3</v>
          </cell>
          <cell r="BK9">
            <v>5.0000000000000001E-3</v>
          </cell>
          <cell r="BL9">
            <v>5.0000000000000001E-3</v>
          </cell>
          <cell r="BM9">
            <v>3.0000000000000001E-3</v>
          </cell>
          <cell r="BN9">
            <v>5.0000000000000001E-3</v>
          </cell>
          <cell r="BO9">
            <v>6.0000000000000001E-3</v>
          </cell>
          <cell r="BP9">
            <v>0.25900000000000001</v>
          </cell>
          <cell r="BQ9">
            <v>4.2999999999999997E-2</v>
          </cell>
          <cell r="BR9">
            <v>0</v>
          </cell>
          <cell r="BS9">
            <v>2.1999999999999999E-2</v>
          </cell>
          <cell r="BT9">
            <v>0</v>
          </cell>
          <cell r="BU9">
            <v>3.0000000000000001E-3</v>
          </cell>
          <cell r="BV9">
            <v>0</v>
          </cell>
          <cell r="BW9">
            <v>0</v>
          </cell>
          <cell r="BX9">
            <v>0.28299999999999997</v>
          </cell>
          <cell r="BY9">
            <v>0.23300000000000001</v>
          </cell>
          <cell r="BZ9">
            <v>0.17599999999999999</v>
          </cell>
          <cell r="CA9">
            <v>0.13</v>
          </cell>
          <cell r="CB9">
            <v>0.08</v>
          </cell>
          <cell r="CC9">
            <v>9.5000000000000001E-2</v>
          </cell>
          <cell r="CD9">
            <v>0.107</v>
          </cell>
          <cell r="CE9">
            <v>9.0999999999999998E-2</v>
          </cell>
          <cell r="CF9">
            <v>7.9000000000000001E-2</v>
          </cell>
          <cell r="CG9">
            <v>6.3E-2</v>
          </cell>
          <cell r="CH9">
            <v>0.26900000000000002</v>
          </cell>
          <cell r="CI9">
            <v>0.182</v>
          </cell>
          <cell r="CJ9">
            <v>0.16</v>
          </cell>
          <cell r="CK9">
            <v>0.13600000000000001</v>
          </cell>
          <cell r="CL9">
            <v>0.14000000000000001</v>
          </cell>
          <cell r="CM9">
            <v>7.1999999999999995E-2</v>
          </cell>
          <cell r="CN9">
            <v>0.107</v>
          </cell>
          <cell r="CO9">
            <v>0.127</v>
          </cell>
          <cell r="CP9">
            <v>9.8000000000000004E-2</v>
          </cell>
          <cell r="CQ9">
            <v>0.28999999999999998</v>
          </cell>
          <cell r="CR9">
            <v>0.22500000000000001</v>
          </cell>
          <cell r="CS9">
            <v>0.20499999999999999</v>
          </cell>
          <cell r="CT9">
            <v>0.17599999999999999</v>
          </cell>
          <cell r="CU9">
            <v>0.14499999999999999</v>
          </cell>
          <cell r="CV9">
            <v>0.13300000000000001</v>
          </cell>
          <cell r="CW9">
            <v>0.104</v>
          </cell>
          <cell r="CX9">
            <v>0.14000000000000001</v>
          </cell>
          <cell r="CY9">
            <v>0.14000000000000001</v>
          </cell>
        </row>
        <row r="10">
          <cell r="A10" t="str">
            <v>Orthophosphate (mg/L)</v>
          </cell>
          <cell r="B10">
            <v>7.2999999999999995E-2</v>
          </cell>
          <cell r="C10">
            <v>6.2E-2</v>
          </cell>
          <cell r="D10">
            <v>5.6000000000000001E-2</v>
          </cell>
          <cell r="E10">
            <v>5.6000000000000001E-2</v>
          </cell>
          <cell r="F10">
            <v>5.1999999999999998E-2</v>
          </cell>
          <cell r="G10">
            <v>5.3999999999999999E-2</v>
          </cell>
          <cell r="H10">
            <v>4.8000000000000001E-2</v>
          </cell>
          <cell r="I10">
            <v>4.4999999999999998E-2</v>
          </cell>
          <cell r="J10">
            <v>2.8000000000000001E-2</v>
          </cell>
          <cell r="K10">
            <v>3.3000000000000002E-2</v>
          </cell>
          <cell r="L10">
            <v>3.2000000000000001E-2</v>
          </cell>
          <cell r="M10">
            <v>0.02</v>
          </cell>
          <cell r="N10">
            <v>1.9E-2</v>
          </cell>
          <cell r="O10">
            <v>0.02</v>
          </cell>
          <cell r="P10">
            <v>1.9E-2</v>
          </cell>
          <cell r="Q10">
            <v>1.7999999999999999E-2</v>
          </cell>
          <cell r="R10">
            <v>1.7999999999999999E-2</v>
          </cell>
          <cell r="S10">
            <v>0.02</v>
          </cell>
          <cell r="T10">
            <v>2.1000000000000001E-2</v>
          </cell>
          <cell r="U10">
            <v>3.1E-2</v>
          </cell>
          <cell r="V10">
            <v>2.3E-2</v>
          </cell>
          <cell r="W10">
            <v>2.3E-2</v>
          </cell>
          <cell r="X10">
            <v>2.1999999999999999E-2</v>
          </cell>
          <cell r="Y10">
            <v>2.1999999999999999E-2</v>
          </cell>
          <cell r="Z10">
            <v>2.1999999999999999E-2</v>
          </cell>
          <cell r="AA10">
            <v>2.1999999999999999E-2</v>
          </cell>
          <cell r="AB10">
            <v>2.1999999999999999E-2</v>
          </cell>
          <cell r="AC10">
            <v>2.4E-2</v>
          </cell>
          <cell r="AD10">
            <v>2.3E-2</v>
          </cell>
          <cell r="AE10">
            <v>1.9E-2</v>
          </cell>
          <cell r="AF10">
            <v>1.4999999999999999E-2</v>
          </cell>
          <cell r="AG10">
            <v>1.4E-2</v>
          </cell>
          <cell r="AH10">
            <v>1.4E-2</v>
          </cell>
          <cell r="AI10">
            <v>1.4E-2</v>
          </cell>
          <cell r="AJ10">
            <v>1.2999999999999999E-2</v>
          </cell>
          <cell r="AK10">
            <v>1.2E-2</v>
          </cell>
          <cell r="AL10">
            <v>1.4999999999999999E-2</v>
          </cell>
          <cell r="AM10">
            <v>1.4999999999999999E-2</v>
          </cell>
          <cell r="AN10">
            <v>1.7000000000000001E-2</v>
          </cell>
          <cell r="AO10">
            <v>1.6E-2</v>
          </cell>
          <cell r="AP10">
            <v>3.1E-2</v>
          </cell>
          <cell r="AQ10">
            <v>2.5000000000000001E-2</v>
          </cell>
          <cell r="AR10">
            <v>1.2999999999999999E-2</v>
          </cell>
          <cell r="AS10">
            <v>1.7999999999999999E-2</v>
          </cell>
          <cell r="AT10">
            <v>1.7999999999999999E-2</v>
          </cell>
          <cell r="AU10">
            <v>1.6E-2</v>
          </cell>
          <cell r="AV10">
            <v>0.02</v>
          </cell>
          <cell r="AW10">
            <v>1.7999999999999999E-2</v>
          </cell>
          <cell r="AX10">
            <v>1.9E-2</v>
          </cell>
          <cell r="AY10">
            <v>2.3E-2</v>
          </cell>
          <cell r="AZ10"/>
          <cell r="BA10"/>
          <cell r="BB10">
            <v>2.1000000000000001E-2</v>
          </cell>
          <cell r="BC10">
            <v>1.4E-2</v>
          </cell>
          <cell r="BD10">
            <v>1.0999999999999999E-2</v>
          </cell>
          <cell r="BE10">
            <v>1.6E-2</v>
          </cell>
          <cell r="BF10">
            <v>5.0000000000000001E-3</v>
          </cell>
          <cell r="BG10">
            <v>1.0999999999999999E-2</v>
          </cell>
          <cell r="BH10">
            <v>4.0000000000000001E-3</v>
          </cell>
          <cell r="BI10">
            <v>7.4999999999999997E-2</v>
          </cell>
          <cell r="BJ10">
            <v>4.4999999999999998E-2</v>
          </cell>
          <cell r="BK10">
            <v>0.04</v>
          </cell>
          <cell r="BL10">
            <v>4.1000000000000002E-2</v>
          </cell>
          <cell r="BM10">
            <v>3.9E-2</v>
          </cell>
          <cell r="BN10">
            <v>3.9E-2</v>
          </cell>
          <cell r="BO10">
            <v>2.5999999999999999E-2</v>
          </cell>
          <cell r="BP10">
            <v>0.11799999999999999</v>
          </cell>
          <cell r="BQ10">
            <v>5.2999999999999999E-2</v>
          </cell>
          <cell r="BR10">
            <v>4.2000000000000003E-2</v>
          </cell>
          <cell r="BS10">
            <v>4.2999999999999997E-2</v>
          </cell>
          <cell r="BT10">
            <v>3.7999999999999999E-2</v>
          </cell>
          <cell r="BU10">
            <v>1.4E-2</v>
          </cell>
          <cell r="BV10">
            <v>1.2E-2</v>
          </cell>
          <cell r="BW10">
            <v>2.9000000000000001E-2</v>
          </cell>
          <cell r="BX10">
            <v>0.124</v>
          </cell>
          <cell r="BY10">
            <v>0.12</v>
          </cell>
          <cell r="BZ10">
            <v>0.10299999999999999</v>
          </cell>
          <cell r="CA10">
            <v>8.3000000000000004E-2</v>
          </cell>
          <cell r="CB10">
            <v>7.1999999999999995E-2</v>
          </cell>
          <cell r="CC10">
            <v>6.9000000000000006E-2</v>
          </cell>
          <cell r="CD10">
            <v>6.9000000000000006E-2</v>
          </cell>
          <cell r="CE10">
            <v>6.0999999999999999E-2</v>
          </cell>
          <cell r="CF10">
            <v>3.7999999999999999E-2</v>
          </cell>
          <cell r="CG10">
            <v>3.6999999999999998E-2</v>
          </cell>
          <cell r="CH10">
            <v>0.109</v>
          </cell>
          <cell r="CI10">
            <v>7.9000000000000001E-2</v>
          </cell>
          <cell r="CJ10">
            <v>8.1000000000000003E-2</v>
          </cell>
          <cell r="CK10">
            <v>7.1999999999999995E-2</v>
          </cell>
          <cell r="CL10">
            <v>7.2999999999999995E-2</v>
          </cell>
          <cell r="CM10">
            <v>6.5000000000000002E-2</v>
          </cell>
          <cell r="CN10">
            <v>6.5000000000000002E-2</v>
          </cell>
          <cell r="CO10">
            <v>5.8999999999999997E-2</v>
          </cell>
          <cell r="CP10">
            <v>3.9E-2</v>
          </cell>
          <cell r="CQ10">
            <v>0.113</v>
          </cell>
          <cell r="CR10">
            <v>9.1999999999999998E-2</v>
          </cell>
          <cell r="CS10">
            <v>0.108</v>
          </cell>
          <cell r="CT10">
            <v>9.1999999999999998E-2</v>
          </cell>
          <cell r="CU10">
            <v>9.9000000000000005E-2</v>
          </cell>
          <cell r="CV10">
            <v>0.105</v>
          </cell>
          <cell r="CW10">
            <v>7.4999999999999997E-2</v>
          </cell>
          <cell r="CX10">
            <v>6.9000000000000006E-2</v>
          </cell>
          <cell r="CY10">
            <v>7.5999999999999998E-2</v>
          </cell>
        </row>
        <row r="11">
          <cell r="A11" t="str">
            <v>Total Dissolved Nitrogen (mg/L)</v>
          </cell>
          <cell r="B11">
            <v>0.55800000000000005</v>
          </cell>
          <cell r="C11">
            <v>0.433</v>
          </cell>
          <cell r="D11">
            <v>0.39200000000000002</v>
          </cell>
          <cell r="E11">
            <v>0.41299999999999998</v>
          </cell>
          <cell r="F11">
            <v>0.31900000000000001</v>
          </cell>
          <cell r="G11">
            <v>0.29299999999999998</v>
          </cell>
          <cell r="H11">
            <v>0.25800000000000001</v>
          </cell>
          <cell r="I11">
            <v>0.26400000000000001</v>
          </cell>
          <cell r="J11">
            <v>0.29799999999999999</v>
          </cell>
          <cell r="K11">
            <v>0.26900000000000002</v>
          </cell>
          <cell r="L11">
            <v>0.35</v>
          </cell>
          <cell r="M11">
            <v>0.157</v>
          </cell>
          <cell r="N11">
            <v>0.13300000000000001</v>
          </cell>
          <cell r="O11">
            <v>0.13900000000000001</v>
          </cell>
          <cell r="P11">
            <v>0.13200000000000001</v>
          </cell>
          <cell r="Q11">
            <v>0.13500000000000001</v>
          </cell>
          <cell r="R11">
            <v>0.107</v>
          </cell>
          <cell r="S11">
            <v>0.113</v>
          </cell>
          <cell r="T11">
            <v>0.128</v>
          </cell>
          <cell r="U11">
            <v>0.16500000000000001</v>
          </cell>
          <cell r="V11">
            <v>0.16400000000000001</v>
          </cell>
          <cell r="W11">
            <v>0.17</v>
          </cell>
          <cell r="X11">
            <v>0.17100000000000001</v>
          </cell>
          <cell r="Y11">
            <v>0.157</v>
          </cell>
          <cell r="Z11">
            <v>0.19</v>
          </cell>
          <cell r="AA11">
            <v>0.245</v>
          </cell>
          <cell r="AB11">
            <v>0.13500000000000001</v>
          </cell>
          <cell r="AC11">
            <v>0.123</v>
          </cell>
          <cell r="AD11">
            <v>0.124</v>
          </cell>
          <cell r="AE11">
            <v>0.14499999999999999</v>
          </cell>
          <cell r="AF11">
            <v>0.26500000000000001</v>
          </cell>
          <cell r="AG11">
            <v>0.18</v>
          </cell>
          <cell r="AH11">
            <v>0.13</v>
          </cell>
          <cell r="AI11">
            <v>0.13800000000000001</v>
          </cell>
          <cell r="AJ11">
            <v>0.14599999999999999</v>
          </cell>
          <cell r="AK11">
            <v>0.157</v>
          </cell>
          <cell r="AL11">
            <v>0.114</v>
          </cell>
          <cell r="AM11">
            <v>0.14299999999999999</v>
          </cell>
          <cell r="AN11">
            <v>0.13800000000000001</v>
          </cell>
          <cell r="AO11">
            <v>0.16500000000000001</v>
          </cell>
          <cell r="AP11">
            <v>0.48</v>
          </cell>
          <cell r="AQ11">
            <v>0.39100000000000001</v>
          </cell>
          <cell r="AR11">
            <v>0.13400000000000001</v>
          </cell>
          <cell r="AS11">
            <v>0.185</v>
          </cell>
          <cell r="AT11">
            <v>0.16400000000000001</v>
          </cell>
          <cell r="AU11">
            <v>0.16500000000000001</v>
          </cell>
          <cell r="AV11">
            <v>0.13300000000000001</v>
          </cell>
          <cell r="AW11">
            <v>0.16400000000000001</v>
          </cell>
          <cell r="AX11">
            <v>0.156</v>
          </cell>
          <cell r="AY11">
            <v>0.14299999999999999</v>
          </cell>
          <cell r="AZ11"/>
          <cell r="BA11"/>
          <cell r="BB11">
            <v>0.17699999999999999</v>
          </cell>
          <cell r="BC11">
            <v>0.16700000000000001</v>
          </cell>
          <cell r="BD11">
            <v>0.20300000000000001</v>
          </cell>
          <cell r="BE11">
            <v>0.16900000000000001</v>
          </cell>
          <cell r="BF11">
            <v>0.13900000000000001</v>
          </cell>
          <cell r="BG11">
            <v>0.14699999999999999</v>
          </cell>
          <cell r="BH11">
            <v>0.17</v>
          </cell>
          <cell r="BI11">
            <v>0.20499999999999999</v>
          </cell>
          <cell r="BJ11">
            <v>0.193</v>
          </cell>
          <cell r="BK11">
            <v>0.18</v>
          </cell>
          <cell r="BL11">
            <v>0.17199999999999999</v>
          </cell>
          <cell r="BM11">
            <v>0.14599999999999999</v>
          </cell>
          <cell r="BN11">
            <v>0.159</v>
          </cell>
          <cell r="BO11">
            <v>0.14899999999999999</v>
          </cell>
          <cell r="BP11">
            <v>0.66</v>
          </cell>
          <cell r="BQ11">
            <v>0.27700000000000002</v>
          </cell>
          <cell r="BR11">
            <v>0.222</v>
          </cell>
          <cell r="BS11">
            <v>0.17299999999999999</v>
          </cell>
          <cell r="BT11">
            <v>0.186</v>
          </cell>
          <cell r="BU11">
            <v>0.153</v>
          </cell>
          <cell r="BV11">
            <v>0.16200000000000001</v>
          </cell>
          <cell r="BW11">
            <v>0.128</v>
          </cell>
          <cell r="BX11">
            <v>0.83699999999999997</v>
          </cell>
          <cell r="BY11">
            <v>0.747</v>
          </cell>
          <cell r="BZ11">
            <v>0.50800000000000001</v>
          </cell>
          <cell r="CA11">
            <v>0.375</v>
          </cell>
          <cell r="CB11">
            <v>0.27</v>
          </cell>
          <cell r="CC11">
            <v>0.26200000000000001</v>
          </cell>
          <cell r="CD11">
            <v>0.308</v>
          </cell>
          <cell r="CE11">
            <v>0.23400000000000001</v>
          </cell>
          <cell r="CF11">
            <v>0.22700000000000001</v>
          </cell>
          <cell r="CG11">
            <v>0.185</v>
          </cell>
          <cell r="CH11">
            <v>0.63</v>
          </cell>
          <cell r="CI11">
            <v>0.45800000000000002</v>
          </cell>
          <cell r="CJ11">
            <v>0.34799999999999998</v>
          </cell>
          <cell r="CK11">
            <v>0.34899999999999998</v>
          </cell>
          <cell r="CL11">
            <v>0.30499999999999999</v>
          </cell>
          <cell r="CM11">
            <v>0.26</v>
          </cell>
          <cell r="CN11">
            <v>0.27300000000000002</v>
          </cell>
          <cell r="CO11">
            <v>0.309</v>
          </cell>
          <cell r="CP11">
            <v>0.26100000000000001</v>
          </cell>
          <cell r="CQ11">
            <v>0.61299999999999999</v>
          </cell>
          <cell r="CR11">
            <v>0.41199999999999998</v>
          </cell>
          <cell r="CS11">
            <v>0.35799999999999998</v>
          </cell>
          <cell r="CT11">
            <v>0.29499999999999998</v>
          </cell>
          <cell r="CU11">
            <v>0.28100000000000003</v>
          </cell>
          <cell r="CV11">
            <v>0.28699999999999998</v>
          </cell>
          <cell r="CW11">
            <v>0.24199999999999999</v>
          </cell>
          <cell r="CX11">
            <v>0.32400000000000001</v>
          </cell>
          <cell r="CY11">
            <v>0.28599999999999998</v>
          </cell>
        </row>
        <row r="12">
          <cell r="A12" t="str">
            <v>Total Dissolved Phosphorus (mg/L)</v>
          </cell>
          <cell r="B12">
            <v>0.09</v>
          </cell>
          <cell r="C12">
            <v>7.9000000000000001E-2</v>
          </cell>
          <cell r="D12">
            <v>7.0999999999999994E-2</v>
          </cell>
          <cell r="E12">
            <v>7.0999999999999994E-2</v>
          </cell>
          <cell r="F12">
            <v>6.9000000000000006E-2</v>
          </cell>
          <cell r="G12">
            <v>6.6000000000000003E-2</v>
          </cell>
          <cell r="H12">
            <v>6.3E-2</v>
          </cell>
          <cell r="I12">
            <v>0.06</v>
          </cell>
          <cell r="J12">
            <v>4.2999999999999997E-2</v>
          </cell>
          <cell r="K12">
            <v>3.5999999999999997E-2</v>
          </cell>
          <cell r="L12">
            <v>5.1999999999999998E-2</v>
          </cell>
          <cell r="M12">
            <v>3.5999999999999997E-2</v>
          </cell>
          <cell r="N12">
            <v>3.4000000000000002E-2</v>
          </cell>
          <cell r="O12">
            <v>3.7999999999999999E-2</v>
          </cell>
          <cell r="P12">
            <v>2.9000000000000001E-2</v>
          </cell>
          <cell r="Q12">
            <v>0.03</v>
          </cell>
          <cell r="R12">
            <v>2.8000000000000001E-2</v>
          </cell>
          <cell r="S12">
            <v>3.1E-2</v>
          </cell>
          <cell r="T12">
            <v>3.1E-2</v>
          </cell>
          <cell r="U12">
            <v>2.8000000000000001E-2</v>
          </cell>
          <cell r="V12">
            <v>1.9E-2</v>
          </cell>
          <cell r="W12">
            <v>0.02</v>
          </cell>
          <cell r="X12">
            <v>2.1000000000000001E-2</v>
          </cell>
          <cell r="Y12">
            <v>2.1999999999999999E-2</v>
          </cell>
          <cell r="Z12">
            <v>2.3E-2</v>
          </cell>
          <cell r="AA12">
            <v>2.5000000000000001E-2</v>
          </cell>
          <cell r="AB12">
            <v>2.3E-2</v>
          </cell>
          <cell r="AC12">
            <v>2.1000000000000001E-2</v>
          </cell>
          <cell r="AD12">
            <v>1.7999999999999999E-2</v>
          </cell>
          <cell r="AE12">
            <v>1.4E-2</v>
          </cell>
          <cell r="AF12">
            <v>0.03</v>
          </cell>
          <cell r="AG12">
            <v>2.5999999999999999E-2</v>
          </cell>
          <cell r="AH12">
            <v>2.5999999999999999E-2</v>
          </cell>
          <cell r="AI12">
            <v>2.5000000000000001E-2</v>
          </cell>
          <cell r="AJ12">
            <v>2.4E-2</v>
          </cell>
          <cell r="AK12">
            <v>2.5000000000000001E-2</v>
          </cell>
          <cell r="AL12">
            <v>2.5999999999999999E-2</v>
          </cell>
          <cell r="AM12">
            <v>2.9000000000000001E-2</v>
          </cell>
          <cell r="AN12">
            <v>2.5999999999999999E-2</v>
          </cell>
          <cell r="AO12">
            <v>2.5000000000000001E-2</v>
          </cell>
          <cell r="AP12">
            <v>4.1000000000000002E-2</v>
          </cell>
          <cell r="AQ12">
            <v>3.5999999999999997E-2</v>
          </cell>
          <cell r="AR12">
            <v>2.1999999999999999E-2</v>
          </cell>
          <cell r="AS12">
            <v>3.5000000000000003E-2</v>
          </cell>
          <cell r="AT12">
            <v>2.7E-2</v>
          </cell>
          <cell r="AU12">
            <v>2.7E-2</v>
          </cell>
          <cell r="AV12">
            <v>3.3000000000000002E-2</v>
          </cell>
          <cell r="AW12">
            <v>2.7E-2</v>
          </cell>
          <cell r="AX12">
            <v>2.7E-2</v>
          </cell>
          <cell r="AY12">
            <v>0.03</v>
          </cell>
          <cell r="AZ12"/>
          <cell r="BA12"/>
          <cell r="BB12">
            <v>4.2999999999999997E-2</v>
          </cell>
          <cell r="BC12">
            <v>3.3000000000000002E-2</v>
          </cell>
          <cell r="BD12">
            <v>2.9000000000000001E-2</v>
          </cell>
          <cell r="BE12">
            <v>0.03</v>
          </cell>
          <cell r="BF12">
            <v>2.1000000000000001E-2</v>
          </cell>
          <cell r="BG12">
            <v>2.5000000000000001E-2</v>
          </cell>
          <cell r="BH12">
            <v>2.1000000000000001E-2</v>
          </cell>
          <cell r="BI12">
            <v>8.3000000000000004E-2</v>
          </cell>
          <cell r="BJ12">
            <v>5.8999999999999997E-2</v>
          </cell>
          <cell r="BK12">
            <v>5.3999999999999999E-2</v>
          </cell>
          <cell r="BL12">
            <v>4.9000000000000002E-2</v>
          </cell>
          <cell r="BM12">
            <v>4.5999999999999999E-2</v>
          </cell>
          <cell r="BN12">
            <v>4.7E-2</v>
          </cell>
          <cell r="BO12">
            <v>4.1000000000000002E-2</v>
          </cell>
          <cell r="BP12">
            <v>0.128</v>
          </cell>
          <cell r="BQ12">
            <v>7.1999999999999995E-2</v>
          </cell>
          <cell r="BR12">
            <v>6.2E-2</v>
          </cell>
          <cell r="BS12">
            <v>4.9000000000000002E-2</v>
          </cell>
          <cell r="BT12">
            <v>5.2999999999999999E-2</v>
          </cell>
          <cell r="BU12">
            <v>2.5999999999999999E-2</v>
          </cell>
          <cell r="BV12">
            <v>2.3E-2</v>
          </cell>
          <cell r="BW12">
            <v>3.5999999999999997E-2</v>
          </cell>
          <cell r="BX12">
            <v>0.13400000000000001</v>
          </cell>
          <cell r="BY12">
            <v>0.11600000000000001</v>
          </cell>
          <cell r="BZ12">
            <v>0.1</v>
          </cell>
          <cell r="CA12">
            <v>8.3000000000000004E-2</v>
          </cell>
          <cell r="CB12">
            <v>7.1999999999999995E-2</v>
          </cell>
          <cell r="CC12">
            <v>7.0000000000000007E-2</v>
          </cell>
          <cell r="CD12">
            <v>6.9000000000000006E-2</v>
          </cell>
          <cell r="CE12">
            <v>5.8999999999999997E-2</v>
          </cell>
          <cell r="CF12">
            <v>4.2999999999999997E-2</v>
          </cell>
          <cell r="CG12">
            <v>3.6999999999999998E-2</v>
          </cell>
          <cell r="CH12">
            <v>0.111</v>
          </cell>
          <cell r="CI12">
            <v>9.0999999999999998E-2</v>
          </cell>
          <cell r="CJ12">
            <v>8.4000000000000005E-2</v>
          </cell>
          <cell r="CK12">
            <v>7.2999999999999995E-2</v>
          </cell>
          <cell r="CL12">
            <v>7.5999999999999998E-2</v>
          </cell>
          <cell r="CM12">
            <v>7.0000000000000007E-2</v>
          </cell>
          <cell r="CN12">
            <v>6.8000000000000005E-2</v>
          </cell>
          <cell r="CO12">
            <v>6.2E-2</v>
          </cell>
          <cell r="CP12">
            <v>4.2000000000000003E-2</v>
          </cell>
          <cell r="CQ12">
            <v>0.124</v>
          </cell>
          <cell r="CR12">
            <v>0.27</v>
          </cell>
          <cell r="CS12">
            <v>0.108</v>
          </cell>
          <cell r="CT12">
            <v>8.5000000000000006E-2</v>
          </cell>
          <cell r="CU12">
            <v>7.5999999999999998E-2</v>
          </cell>
          <cell r="CV12">
            <v>0.10100000000000001</v>
          </cell>
          <cell r="CW12">
            <v>8.4000000000000005E-2</v>
          </cell>
          <cell r="CX12">
            <v>6.6000000000000003E-2</v>
          </cell>
          <cell r="CY12">
            <v>5.6000000000000001E-2</v>
          </cell>
        </row>
        <row r="14">
          <cell r="B14" t="str">
            <v>Jan</v>
          </cell>
          <cell r="L14" t="str">
            <v>Feb</v>
          </cell>
          <cell r="V14" t="str">
            <v>Mar</v>
          </cell>
          <cell r="AF14" t="str">
            <v>Apr</v>
          </cell>
          <cell r="AP14" t="str">
            <v>May</v>
          </cell>
          <cell r="AZ14" t="str">
            <v>Jun</v>
          </cell>
          <cell r="BB14" t="str">
            <v>Jul</v>
          </cell>
          <cell r="BI14" t="str">
            <v>Aug</v>
          </cell>
          <cell r="BP14" t="str">
            <v>Sep</v>
          </cell>
          <cell r="BX14" t="str">
            <v>Oct</v>
          </cell>
          <cell r="CH14" t="str">
            <v>Nov</v>
          </cell>
          <cell r="CQ14" t="str">
            <v>Dec</v>
          </cell>
        </row>
        <row r="15">
          <cell r="B15" t="str">
            <v xml:space="preserve">A4      </v>
          </cell>
          <cell r="C15" t="str">
            <v xml:space="preserve">B3      </v>
          </cell>
          <cell r="D15" t="str">
            <v xml:space="preserve">C1      </v>
          </cell>
          <cell r="E15" t="str">
            <v xml:space="preserve">D3      </v>
          </cell>
          <cell r="F15" t="str">
            <v xml:space="preserve">E1      </v>
          </cell>
          <cell r="G15" t="str">
            <v xml:space="preserve">F2      </v>
          </cell>
          <cell r="H15" t="str">
            <v xml:space="preserve">H4      </v>
          </cell>
          <cell r="I15" t="str">
            <v xml:space="preserve">I2      </v>
          </cell>
          <cell r="J15" t="str">
            <v xml:space="preserve">J2      </v>
          </cell>
          <cell r="K15" t="str">
            <v xml:space="preserve">K2      </v>
          </cell>
          <cell r="L15" t="str">
            <v xml:space="preserve">A4      </v>
          </cell>
          <cell r="M15" t="str">
            <v xml:space="preserve">B3      </v>
          </cell>
          <cell r="N15" t="str">
            <v xml:space="preserve">C1      </v>
          </cell>
          <cell r="O15" t="str">
            <v xml:space="preserve">D3      </v>
          </cell>
          <cell r="P15" t="str">
            <v xml:space="preserve">E1      </v>
          </cell>
          <cell r="Q15" t="str">
            <v xml:space="preserve">F2      </v>
          </cell>
          <cell r="R15" t="str">
            <v xml:space="preserve">H4      </v>
          </cell>
          <cell r="S15" t="str">
            <v xml:space="preserve">I2      </v>
          </cell>
          <cell r="T15" t="str">
            <v xml:space="preserve">J2      </v>
          </cell>
          <cell r="U15" t="str">
            <v xml:space="preserve">K2      </v>
          </cell>
          <cell r="V15" t="str">
            <v xml:space="preserve">A4      </v>
          </cell>
          <cell r="W15" t="str">
            <v xml:space="preserve">B3      </v>
          </cell>
          <cell r="X15" t="str">
            <v xml:space="preserve">C1      </v>
          </cell>
          <cell r="Y15" t="str">
            <v xml:space="preserve">D3      </v>
          </cell>
          <cell r="Z15" t="str">
            <v xml:space="preserve">E1      </v>
          </cell>
          <cell r="AA15" t="str">
            <v xml:space="preserve">F2      </v>
          </cell>
          <cell r="AB15" t="str">
            <v xml:space="preserve">H4      </v>
          </cell>
          <cell r="AC15" t="str">
            <v xml:space="preserve">I2      </v>
          </cell>
          <cell r="AD15" t="str">
            <v xml:space="preserve">J2      </v>
          </cell>
          <cell r="AE15" t="str">
            <v xml:space="preserve">K2      </v>
          </cell>
          <cell r="AF15" t="str">
            <v xml:space="preserve">A4      </v>
          </cell>
          <cell r="AG15" t="str">
            <v xml:space="preserve">B3      </v>
          </cell>
          <cell r="AH15" t="str">
            <v xml:space="preserve">C1      </v>
          </cell>
          <cell r="AI15" t="str">
            <v xml:space="preserve">D3      </v>
          </cell>
          <cell r="AJ15" t="str">
            <v xml:space="preserve">E1      </v>
          </cell>
          <cell r="AK15" t="str">
            <v xml:space="preserve">F2      </v>
          </cell>
          <cell r="AL15" t="str">
            <v xml:space="preserve">H4      </v>
          </cell>
          <cell r="AM15" t="str">
            <v xml:space="preserve">I2      </v>
          </cell>
          <cell r="AN15" t="str">
            <v xml:space="preserve">J2      </v>
          </cell>
          <cell r="AO15" t="str">
            <v xml:space="preserve">K2      </v>
          </cell>
          <cell r="AP15" t="str">
            <v xml:space="preserve">A4      </v>
          </cell>
          <cell r="AQ15" t="str">
            <v xml:space="preserve">B3      </v>
          </cell>
          <cell r="AR15" t="str">
            <v xml:space="preserve">C1      </v>
          </cell>
          <cell r="AS15" t="str">
            <v xml:space="preserve">D3      </v>
          </cell>
          <cell r="AT15" t="str">
            <v xml:space="preserve">E1      </v>
          </cell>
          <cell r="AU15" t="str">
            <v xml:space="preserve">F2      </v>
          </cell>
          <cell r="AV15" t="str">
            <v xml:space="preserve">H4      </v>
          </cell>
          <cell r="AW15" t="str">
            <v xml:space="preserve">I2      </v>
          </cell>
          <cell r="AX15" t="str">
            <v xml:space="preserve">J2      </v>
          </cell>
          <cell r="AY15" t="str">
            <v xml:space="preserve">K2      </v>
          </cell>
          <cell r="BB15" t="str">
            <v xml:space="preserve">A4      </v>
          </cell>
          <cell r="BC15" t="str">
            <v xml:space="preserve">B3      </v>
          </cell>
          <cell r="BD15" t="str">
            <v xml:space="preserve">C1      </v>
          </cell>
          <cell r="BE15" t="str">
            <v xml:space="preserve">D3      </v>
          </cell>
          <cell r="BF15" t="str">
            <v xml:space="preserve">E1      </v>
          </cell>
          <cell r="BG15" t="str">
            <v xml:space="preserve">F2      </v>
          </cell>
          <cell r="BH15" t="str">
            <v xml:space="preserve">H4      </v>
          </cell>
          <cell r="BI15" t="str">
            <v xml:space="preserve">A4      </v>
          </cell>
          <cell r="BJ15" t="str">
            <v xml:space="preserve">B3      </v>
          </cell>
          <cell r="BK15" t="str">
            <v xml:space="preserve">C1      </v>
          </cell>
          <cell r="BL15" t="str">
            <v xml:space="preserve">D3      </v>
          </cell>
          <cell r="BM15" t="str">
            <v xml:space="preserve">E1      </v>
          </cell>
          <cell r="BN15" t="str">
            <v xml:space="preserve">F2      </v>
          </cell>
          <cell r="BO15" t="str">
            <v xml:space="preserve">H4      </v>
          </cell>
          <cell r="BP15" t="str">
            <v xml:space="preserve">A4      </v>
          </cell>
          <cell r="BQ15" t="str">
            <v xml:space="preserve">B3      </v>
          </cell>
          <cell r="BR15" t="str">
            <v xml:space="preserve">C1      </v>
          </cell>
          <cell r="BS15" t="str">
            <v xml:space="preserve">D3      </v>
          </cell>
          <cell r="BT15" t="str">
            <v xml:space="preserve">E1      </v>
          </cell>
          <cell r="BU15" t="str">
            <v xml:space="preserve">F2      </v>
          </cell>
          <cell r="BV15" t="str">
            <v xml:space="preserve">H4      </v>
          </cell>
          <cell r="BW15" t="str">
            <v xml:space="preserve">I2      </v>
          </cell>
          <cell r="BX15" t="str">
            <v xml:space="preserve">A4      </v>
          </cell>
          <cell r="BY15" t="str">
            <v xml:space="preserve">B3      </v>
          </cell>
          <cell r="BZ15" t="str">
            <v xml:space="preserve">C1      </v>
          </cell>
          <cell r="CA15" t="str">
            <v xml:space="preserve">D3      </v>
          </cell>
          <cell r="CB15" t="str">
            <v xml:space="preserve">E1      </v>
          </cell>
          <cell r="CC15" t="str">
            <v xml:space="preserve">F2      </v>
          </cell>
          <cell r="CD15" t="str">
            <v xml:space="preserve">H4      </v>
          </cell>
          <cell r="CE15" t="str">
            <v xml:space="preserve">I2      </v>
          </cell>
          <cell r="CF15" t="str">
            <v xml:space="preserve">J2      </v>
          </cell>
          <cell r="CG15" t="str">
            <v xml:space="preserve">K2      </v>
          </cell>
          <cell r="CH15" t="str">
            <v xml:space="preserve">A4      </v>
          </cell>
          <cell r="CI15" t="str">
            <v xml:space="preserve">B3      </v>
          </cell>
          <cell r="CJ15" t="str">
            <v xml:space="preserve">C1      </v>
          </cell>
          <cell r="CK15" t="str">
            <v xml:space="preserve">D3      </v>
          </cell>
          <cell r="CL15" t="str">
            <v xml:space="preserve">E1      </v>
          </cell>
          <cell r="CM15" t="str">
            <v xml:space="preserve">F2      </v>
          </cell>
          <cell r="CN15" t="str">
            <v xml:space="preserve">H4      </v>
          </cell>
          <cell r="CO15" t="str">
            <v xml:space="preserve">I2      </v>
          </cell>
          <cell r="CP15" t="str">
            <v xml:space="preserve">J2      </v>
          </cell>
          <cell r="CQ15" t="str">
            <v xml:space="preserve">A4      </v>
          </cell>
          <cell r="CR15" t="str">
            <v xml:space="preserve">B3      </v>
          </cell>
          <cell r="CS15" t="str">
            <v xml:space="preserve">C1      </v>
          </cell>
          <cell r="CT15" t="str">
            <v xml:space="preserve">D3      </v>
          </cell>
          <cell r="CU15" t="str">
            <v xml:space="preserve">E1      </v>
          </cell>
          <cell r="CV15" t="str">
            <v xml:space="preserve">F2      </v>
          </cell>
          <cell r="CW15" t="str">
            <v xml:space="preserve">H4      </v>
          </cell>
          <cell r="CX15" t="str">
            <v xml:space="preserve">I2      </v>
          </cell>
          <cell r="CY15" t="str">
            <v xml:space="preserve">J2      </v>
          </cell>
        </row>
        <row r="16">
          <cell r="A16" t="str">
            <v>Chlorophyll a (µg/L)</v>
          </cell>
          <cell r="B16">
            <v>1.7</v>
          </cell>
          <cell r="C16">
            <v>2.8</v>
          </cell>
          <cell r="D16">
            <v>2.2000000000000002</v>
          </cell>
          <cell r="E16">
            <v>3.4</v>
          </cell>
          <cell r="F16">
            <v>2.1</v>
          </cell>
          <cell r="G16">
            <v>1.6</v>
          </cell>
          <cell r="H16">
            <v>1.5</v>
          </cell>
          <cell r="I16">
            <v>1.7</v>
          </cell>
          <cell r="J16">
            <v>2.4</v>
          </cell>
          <cell r="K16">
            <v>1.8</v>
          </cell>
          <cell r="L16">
            <v>13.6</v>
          </cell>
          <cell r="M16">
            <v>18.600000000000001</v>
          </cell>
          <cell r="N16">
            <v>25.9</v>
          </cell>
          <cell r="O16">
            <v>23</v>
          </cell>
          <cell r="P16">
            <v>26.4</v>
          </cell>
          <cell r="Q16">
            <v>21</v>
          </cell>
          <cell r="R16">
            <v>20.2</v>
          </cell>
          <cell r="S16">
            <v>17.8</v>
          </cell>
          <cell r="T16">
            <v>11.7</v>
          </cell>
          <cell r="U16">
            <v>7.8</v>
          </cell>
          <cell r="V16">
            <v>6.4</v>
          </cell>
          <cell r="W16">
            <v>3.8</v>
          </cell>
          <cell r="X16">
            <v>1.2</v>
          </cell>
          <cell r="Y16">
            <v>6.2</v>
          </cell>
          <cell r="Z16">
            <v>1.5</v>
          </cell>
          <cell r="AA16">
            <v>2.9</v>
          </cell>
          <cell r="AB16">
            <v>1.1000000000000001</v>
          </cell>
          <cell r="AC16">
            <v>1.9</v>
          </cell>
          <cell r="AD16">
            <v>2.5</v>
          </cell>
          <cell r="AE16">
            <v>3</v>
          </cell>
          <cell r="AF16">
            <v>14.2</v>
          </cell>
          <cell r="AG16">
            <v>12</v>
          </cell>
          <cell r="AH16">
            <v>9</v>
          </cell>
          <cell r="AI16">
            <v>5.5</v>
          </cell>
          <cell r="AJ16">
            <v>2.8</v>
          </cell>
          <cell r="AK16">
            <v>3.1</v>
          </cell>
          <cell r="AL16">
            <v>3.1</v>
          </cell>
          <cell r="AM16">
            <v>2.1</v>
          </cell>
          <cell r="AN16">
            <v>2.8</v>
          </cell>
          <cell r="AO16">
            <v>2.2000000000000002</v>
          </cell>
          <cell r="AP16">
            <v>7.2</v>
          </cell>
          <cell r="AQ16">
            <v>8.4</v>
          </cell>
          <cell r="AR16">
            <v>9</v>
          </cell>
          <cell r="AS16">
            <v>11.5</v>
          </cell>
          <cell r="AT16">
            <v>4.4000000000000004</v>
          </cell>
          <cell r="AU16">
            <v>1.3</v>
          </cell>
          <cell r="AV16">
            <v>2.2000000000000002</v>
          </cell>
          <cell r="AW16">
            <v>2</v>
          </cell>
          <cell r="AX16">
            <v>5.3</v>
          </cell>
          <cell r="AY16">
            <v>1.9</v>
          </cell>
          <cell r="AZ16"/>
          <cell r="BA16"/>
          <cell r="BB16">
            <v>7.6</v>
          </cell>
          <cell r="BC16">
            <v>8.3000000000000007</v>
          </cell>
          <cell r="BD16">
            <v>8.3000000000000007</v>
          </cell>
          <cell r="BE16">
            <v>6</v>
          </cell>
          <cell r="BF16">
            <v>1</v>
          </cell>
          <cell r="BG16">
            <v>1.2</v>
          </cell>
          <cell r="BH16">
            <v>0.6</v>
          </cell>
          <cell r="BI16">
            <v>18.600000000000001</v>
          </cell>
          <cell r="BJ16">
            <v>5.4</v>
          </cell>
          <cell r="BK16">
            <v>5.4</v>
          </cell>
          <cell r="BL16">
            <v>4.5999999999999996</v>
          </cell>
          <cell r="BM16">
            <v>1.9</v>
          </cell>
          <cell r="BN16">
            <v>3.9</v>
          </cell>
          <cell r="BO16">
            <v>1.8</v>
          </cell>
          <cell r="BP16">
            <v>7.5</v>
          </cell>
          <cell r="BQ16">
            <v>10.6</v>
          </cell>
          <cell r="BR16">
            <v>10.8</v>
          </cell>
          <cell r="BS16">
            <v>9.4</v>
          </cell>
          <cell r="BT16">
            <v>2.7</v>
          </cell>
          <cell r="BU16">
            <v>8.5</v>
          </cell>
          <cell r="BV16">
            <v>2.4</v>
          </cell>
          <cell r="BW16">
            <v>2</v>
          </cell>
          <cell r="BX16">
            <v>2.8</v>
          </cell>
          <cell r="BY16">
            <v>2.5</v>
          </cell>
          <cell r="BZ16">
            <v>5.9</v>
          </cell>
          <cell r="CA16">
            <v>5.8</v>
          </cell>
          <cell r="CB16">
            <v>8.1999999999999993</v>
          </cell>
          <cell r="CC16">
            <v>2.6</v>
          </cell>
          <cell r="CD16">
            <v>2</v>
          </cell>
          <cell r="CE16">
            <v>1.1000000000000001</v>
          </cell>
          <cell r="CF16">
            <v>2.2999999999999998</v>
          </cell>
          <cell r="CG16">
            <v>1.1000000000000001</v>
          </cell>
          <cell r="CH16">
            <v>2.2999999999999998</v>
          </cell>
          <cell r="CI16">
            <v>4.3</v>
          </cell>
          <cell r="CJ16">
            <v>3</v>
          </cell>
          <cell r="CK16">
            <v>1.8</v>
          </cell>
          <cell r="CL16">
            <v>2</v>
          </cell>
          <cell r="CM16">
            <v>5.4</v>
          </cell>
          <cell r="CN16">
            <v>3.2</v>
          </cell>
          <cell r="CO16">
            <v>2.7</v>
          </cell>
          <cell r="CP16">
            <v>2.2000000000000002</v>
          </cell>
          <cell r="CQ16">
            <v>2.2999999999999998</v>
          </cell>
          <cell r="CR16">
            <v>2.4</v>
          </cell>
          <cell r="CS16">
            <v>1.6</v>
          </cell>
          <cell r="CT16">
            <v>2.4</v>
          </cell>
          <cell r="CU16">
            <v>2.5</v>
          </cell>
          <cell r="CV16">
            <v>3.4</v>
          </cell>
          <cell r="CW16">
            <v>2.2999999999999998</v>
          </cell>
          <cell r="CX16">
            <v>1.6</v>
          </cell>
          <cell r="CY16">
            <v>3.4</v>
          </cell>
        </row>
        <row r="17">
          <cell r="A17" t="str">
            <v xml:space="preserve">Temperature (ºC) </v>
          </cell>
          <cell r="B17">
            <v>1.06</v>
          </cell>
          <cell r="C17">
            <v>1.61</v>
          </cell>
          <cell r="D17">
            <v>2.5499999999999998</v>
          </cell>
          <cell r="E17">
            <v>2.27</v>
          </cell>
          <cell r="F17">
            <v>2.72</v>
          </cell>
          <cell r="G17">
            <v>2.99</v>
          </cell>
          <cell r="H17">
            <v>3.32</v>
          </cell>
          <cell r="I17">
            <v>3.65</v>
          </cell>
          <cell r="J17">
            <v>4.59</v>
          </cell>
          <cell r="K17">
            <v>4.33</v>
          </cell>
          <cell r="L17">
            <v>0.55000000000000004</v>
          </cell>
          <cell r="M17">
            <v>0.96</v>
          </cell>
          <cell r="N17">
            <v>1.1200000000000001</v>
          </cell>
          <cell r="O17">
            <v>1.27</v>
          </cell>
          <cell r="P17">
            <v>1.04</v>
          </cell>
          <cell r="Q17">
            <v>0.76</v>
          </cell>
          <cell r="R17">
            <v>1.52</v>
          </cell>
          <cell r="S17">
            <v>1.7</v>
          </cell>
          <cell r="T17">
            <v>2.33</v>
          </cell>
          <cell r="U17">
            <v>2.56</v>
          </cell>
          <cell r="V17">
            <v>2.0099999999999998</v>
          </cell>
          <cell r="W17">
            <v>1.9</v>
          </cell>
          <cell r="X17">
            <v>2.37</v>
          </cell>
          <cell r="Y17">
            <v>2.2799999999999998</v>
          </cell>
          <cell r="Z17">
            <v>2.13</v>
          </cell>
          <cell r="AA17">
            <v>2.12</v>
          </cell>
          <cell r="AB17">
            <v>2.4900000000000002</v>
          </cell>
          <cell r="AC17">
            <v>2.2799999999999998</v>
          </cell>
          <cell r="AD17">
            <v>2.69</v>
          </cell>
          <cell r="AE17">
            <v>3.47</v>
          </cell>
          <cell r="AF17">
            <v>6.59</v>
          </cell>
          <cell r="AG17">
            <v>6.07</v>
          </cell>
          <cell r="AH17">
            <v>5.73</v>
          </cell>
          <cell r="AI17">
            <v>5.8</v>
          </cell>
          <cell r="AJ17">
            <v>6.07</v>
          </cell>
          <cell r="AK17">
            <v>5.82</v>
          </cell>
          <cell r="AL17">
            <v>4.9800000000000004</v>
          </cell>
          <cell r="AM17">
            <v>7.48</v>
          </cell>
          <cell r="AN17">
            <v>5.82</v>
          </cell>
          <cell r="AO17">
            <v>5.98</v>
          </cell>
          <cell r="AP17">
            <v>13.3</v>
          </cell>
          <cell r="AQ17">
            <v>12.04</v>
          </cell>
          <cell r="AR17">
            <v>12.15</v>
          </cell>
          <cell r="AS17">
            <v>11.84</v>
          </cell>
          <cell r="AT17">
            <v>11.19</v>
          </cell>
          <cell r="AU17">
            <v>13.02</v>
          </cell>
          <cell r="AV17">
            <v>10.75</v>
          </cell>
          <cell r="AW17">
            <v>10.33</v>
          </cell>
          <cell r="AX17">
            <v>10.14</v>
          </cell>
          <cell r="AY17">
            <v>10.039999999999999</v>
          </cell>
          <cell r="AZ17"/>
          <cell r="BA17"/>
          <cell r="BB17">
            <v>20.75</v>
          </cell>
          <cell r="BC17">
            <v>20.309999999999999</v>
          </cell>
          <cell r="BD17">
            <v>21.78</v>
          </cell>
          <cell r="BE17">
            <v>21.91</v>
          </cell>
          <cell r="BF17">
            <v>21.66</v>
          </cell>
          <cell r="BG17">
            <v>24.52</v>
          </cell>
          <cell r="BH17">
            <v>23.95</v>
          </cell>
          <cell r="BI17">
            <v>22.04</v>
          </cell>
          <cell r="BJ17">
            <v>23.2</v>
          </cell>
          <cell r="BK17">
            <v>23.46</v>
          </cell>
          <cell r="BL17">
            <v>23.44</v>
          </cell>
          <cell r="BM17">
            <v>22.9</v>
          </cell>
          <cell r="BN17">
            <v>23.03</v>
          </cell>
          <cell r="BO17">
            <v>23.39</v>
          </cell>
          <cell r="BP17">
            <v>23.18</v>
          </cell>
          <cell r="BQ17">
            <v>24.14</v>
          </cell>
          <cell r="BR17">
            <v>23.7</v>
          </cell>
          <cell r="BS17">
            <v>23.51</v>
          </cell>
          <cell r="BT17">
            <v>24.02</v>
          </cell>
          <cell r="BU17">
            <v>23.37</v>
          </cell>
          <cell r="BV17">
            <v>23.2</v>
          </cell>
          <cell r="BW17">
            <v>23.89</v>
          </cell>
          <cell r="BX17">
            <v>18.510000000000002</v>
          </cell>
          <cell r="BY17">
            <v>18.29</v>
          </cell>
          <cell r="BZ17">
            <v>18.57</v>
          </cell>
          <cell r="CA17">
            <v>18.809999999999999</v>
          </cell>
          <cell r="CB17">
            <v>19.03</v>
          </cell>
          <cell r="CC17">
            <v>18.95</v>
          </cell>
          <cell r="CD17">
            <v>19.66</v>
          </cell>
          <cell r="CE17">
            <v>19.09</v>
          </cell>
          <cell r="CF17">
            <v>19.09</v>
          </cell>
          <cell r="CG17">
            <v>18.87</v>
          </cell>
          <cell r="CH17">
            <v>14.26</v>
          </cell>
          <cell r="CI17">
            <v>14.9</v>
          </cell>
          <cell r="CJ17">
            <v>15.32</v>
          </cell>
          <cell r="CK17">
            <v>15.35</v>
          </cell>
          <cell r="CL17">
            <v>14.81</v>
          </cell>
          <cell r="CM17">
            <v>13.34</v>
          </cell>
          <cell r="CN17">
            <v>14.89</v>
          </cell>
          <cell r="CO17">
            <v>14.76</v>
          </cell>
          <cell r="CP17">
            <v>14.23</v>
          </cell>
          <cell r="CQ17">
            <v>9.64</v>
          </cell>
          <cell r="CR17">
            <v>9.86</v>
          </cell>
          <cell r="CS17">
            <v>10.31</v>
          </cell>
          <cell r="CT17">
            <v>10.47</v>
          </cell>
          <cell r="CU17">
            <v>9.6300000000000008</v>
          </cell>
          <cell r="CV17">
            <v>9.9600000000000009</v>
          </cell>
          <cell r="CW17">
            <v>10.93</v>
          </cell>
          <cell r="CX17">
            <v>10.6</v>
          </cell>
          <cell r="CY17">
            <v>10.7</v>
          </cell>
        </row>
        <row r="18">
          <cell r="A18" t="str">
            <v>Salinity (psu)</v>
          </cell>
          <cell r="B18">
            <v>25.73</v>
          </cell>
          <cell r="C18">
            <v>26.09</v>
          </cell>
          <cell r="D18">
            <v>26.44</v>
          </cell>
          <cell r="E18">
            <v>26.45</v>
          </cell>
          <cell r="F18">
            <v>26.41</v>
          </cell>
          <cell r="G18">
            <v>26.5</v>
          </cell>
          <cell r="H18">
            <v>26.99</v>
          </cell>
          <cell r="I18">
            <v>27.41</v>
          </cell>
          <cell r="J18">
            <v>28.82</v>
          </cell>
          <cell r="K18">
            <v>27.61</v>
          </cell>
          <cell r="L18">
            <v>25.14</v>
          </cell>
          <cell r="M18">
            <v>26.16</v>
          </cell>
          <cell r="N18">
            <v>26.4</v>
          </cell>
          <cell r="O18">
            <v>26.63</v>
          </cell>
          <cell r="P18">
            <v>27.04</v>
          </cell>
          <cell r="Q18">
            <v>25.42</v>
          </cell>
          <cell r="R18">
            <v>27.03</v>
          </cell>
          <cell r="S18">
            <v>27.15</v>
          </cell>
          <cell r="T18">
            <v>28.19</v>
          </cell>
          <cell r="U18">
            <v>28.45</v>
          </cell>
          <cell r="V18">
            <v>25.7</v>
          </cell>
          <cell r="W18">
            <v>25.92</v>
          </cell>
          <cell r="X18">
            <v>26.11</v>
          </cell>
          <cell r="Y18">
            <v>26.07</v>
          </cell>
          <cell r="Z18">
            <v>26.06</v>
          </cell>
          <cell r="AA18">
            <v>25.61</v>
          </cell>
          <cell r="AB18">
            <v>26.83</v>
          </cell>
          <cell r="AC18">
            <v>27.37</v>
          </cell>
          <cell r="AD18">
            <v>27.61</v>
          </cell>
          <cell r="AE18">
            <v>25.46</v>
          </cell>
          <cell r="AF18">
            <v>23.59</v>
          </cell>
          <cell r="AG18">
            <v>24.07</v>
          </cell>
          <cell r="AH18">
            <v>24.35</v>
          </cell>
          <cell r="AI18">
            <v>24.23</v>
          </cell>
          <cell r="AJ18">
            <v>23.83</v>
          </cell>
          <cell r="AK18">
            <v>24.57</v>
          </cell>
          <cell r="AL18">
            <v>26.21</v>
          </cell>
          <cell r="AM18">
            <v>25.37</v>
          </cell>
          <cell r="AN18">
            <v>25.68</v>
          </cell>
          <cell r="AO18">
            <v>24.72</v>
          </cell>
          <cell r="AP18">
            <v>23.43</v>
          </cell>
          <cell r="AQ18">
            <v>23.87</v>
          </cell>
          <cell r="AR18">
            <v>24.39</v>
          </cell>
          <cell r="AS18">
            <v>24.45</v>
          </cell>
          <cell r="AT18">
            <v>24.86</v>
          </cell>
          <cell r="AU18">
            <v>24.32</v>
          </cell>
          <cell r="AV18">
            <v>25.09</v>
          </cell>
          <cell r="AW18">
            <v>25.09</v>
          </cell>
          <cell r="AX18">
            <v>26.83</v>
          </cell>
          <cell r="AY18">
            <v>25.12</v>
          </cell>
          <cell r="AZ18"/>
          <cell r="BA18"/>
          <cell r="BB18">
            <v>25.96</v>
          </cell>
          <cell r="BC18">
            <v>26.09</v>
          </cell>
          <cell r="BD18">
            <v>26.07</v>
          </cell>
          <cell r="BE18">
            <v>26.77</v>
          </cell>
          <cell r="BF18">
            <v>26.79</v>
          </cell>
          <cell r="BG18">
            <v>26.53</v>
          </cell>
          <cell r="BH18">
            <v>26.74</v>
          </cell>
          <cell r="BI18">
            <v>26.5</v>
          </cell>
          <cell r="BJ18">
            <v>26.87</v>
          </cell>
          <cell r="BK18">
            <v>26.98</v>
          </cell>
          <cell r="BL18">
            <v>27.29</v>
          </cell>
          <cell r="BM18">
            <v>27.21</v>
          </cell>
          <cell r="BN18">
            <v>27.37</v>
          </cell>
          <cell r="BO18">
            <v>27.86</v>
          </cell>
          <cell r="BP18">
            <v>26.77</v>
          </cell>
          <cell r="BQ18">
            <v>27.17</v>
          </cell>
          <cell r="BR18">
            <v>27.6</v>
          </cell>
          <cell r="BS18">
            <v>27.8</v>
          </cell>
          <cell r="BT18">
            <v>28.15</v>
          </cell>
          <cell r="BU18">
            <v>27.89</v>
          </cell>
          <cell r="BV18">
            <v>28.2</v>
          </cell>
          <cell r="BW18">
            <v>28.67</v>
          </cell>
          <cell r="BX18">
            <v>26.27</v>
          </cell>
          <cell r="BY18">
            <v>26.79</v>
          </cell>
          <cell r="BZ18">
            <v>27.45</v>
          </cell>
          <cell r="CA18">
            <v>27.93</v>
          </cell>
          <cell r="CB18">
            <v>28.48</v>
          </cell>
          <cell r="CC18">
            <v>28.31</v>
          </cell>
          <cell r="CD18">
            <v>29.09</v>
          </cell>
          <cell r="CE18">
            <v>29.66</v>
          </cell>
          <cell r="CF18">
            <v>29.66</v>
          </cell>
          <cell r="CG18">
            <v>28.77</v>
          </cell>
          <cell r="CH18">
            <v>27.25</v>
          </cell>
          <cell r="CI18">
            <v>27.94</v>
          </cell>
          <cell r="CJ18">
            <v>28.3</v>
          </cell>
          <cell r="CK18">
            <v>28.32</v>
          </cell>
          <cell r="CL18">
            <v>28.51</v>
          </cell>
          <cell r="CM18">
            <v>27.21</v>
          </cell>
          <cell r="CN18">
            <v>28.73</v>
          </cell>
          <cell r="CO18">
            <v>28.91</v>
          </cell>
          <cell r="CP18">
            <v>29.45</v>
          </cell>
          <cell r="CQ18">
            <v>27.13</v>
          </cell>
          <cell r="CR18">
            <v>27.83</v>
          </cell>
          <cell r="CS18">
            <v>28.05</v>
          </cell>
          <cell r="CT18">
            <v>28.28</v>
          </cell>
          <cell r="CU18">
            <v>27.65</v>
          </cell>
          <cell r="CV18">
            <v>27.5</v>
          </cell>
          <cell r="CW18">
            <v>28.43</v>
          </cell>
          <cell r="CX18">
            <v>28.73</v>
          </cell>
          <cell r="CY18">
            <v>28.93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90A25-B997-4592-B228-77A2C037CA3A}">
  <dimension ref="B49:AA50"/>
  <sheetViews>
    <sheetView tabSelected="1" zoomScale="75" zoomScaleNormal="75" workbookViewId="0">
      <selection activeCell="AE24" sqref="AE24"/>
    </sheetView>
  </sheetViews>
  <sheetFormatPr defaultRowHeight="14.4" x14ac:dyDescent="0.3"/>
  <sheetData>
    <row r="49" spans="2:27" ht="15.6" customHeight="1" x14ac:dyDescent="0.3">
      <c r="B49" s="33" t="s">
        <v>0</v>
      </c>
      <c r="C49" s="33"/>
      <c r="D49" s="33"/>
      <c r="E49" s="33"/>
      <c r="F49" s="33"/>
      <c r="G49" s="33"/>
      <c r="H49" s="33"/>
      <c r="I49" s="33"/>
      <c r="J49" s="33"/>
      <c r="K49" s="33"/>
      <c r="L49" s="33"/>
      <c r="M49" s="33"/>
      <c r="N49" s="33"/>
      <c r="O49" s="33"/>
      <c r="P49" s="33"/>
      <c r="Q49" s="33"/>
      <c r="R49" s="33"/>
      <c r="S49" s="33"/>
      <c r="T49" s="33"/>
      <c r="U49" s="33"/>
      <c r="V49" s="33"/>
      <c r="W49" s="33"/>
      <c r="X49" s="33"/>
      <c r="Y49" s="33"/>
      <c r="Z49" s="33"/>
      <c r="AA49" s="33"/>
    </row>
    <row r="50" spans="2:27" x14ac:dyDescent="0.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row>
  </sheetData>
  <mergeCells count="1">
    <mergeCell ref="B49:AA5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FD0C2-CA14-4616-9338-2A26AAA42FB1}">
  <dimension ref="B59"/>
  <sheetViews>
    <sheetView topLeftCell="A13" zoomScale="78" zoomScaleNormal="78" workbookViewId="0">
      <selection activeCell="B59" sqref="B59"/>
    </sheetView>
  </sheetViews>
  <sheetFormatPr defaultRowHeight="14.4" x14ac:dyDescent="0.3"/>
  <sheetData>
    <row r="59" spans="2:2" ht="15.6" x14ac:dyDescent="0.3">
      <c r="B59" s="1" t="s">
        <v>618</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80816-6376-4F9C-A4AC-1E0F0CF49571}">
  <dimension ref="A1:DK146"/>
  <sheetViews>
    <sheetView workbookViewId="0">
      <selection activeCell="D14" sqref="D14"/>
    </sheetView>
  </sheetViews>
  <sheetFormatPr defaultRowHeight="14.4" x14ac:dyDescent="0.3"/>
  <cols>
    <col min="1" max="1" width="21.5546875" style="11" customWidth="1"/>
    <col min="2" max="2" width="35" style="11" customWidth="1"/>
    <col min="3" max="4" width="8.44140625" style="2" customWidth="1"/>
    <col min="5" max="12" width="9.88671875" style="2" bestFit="1" customWidth="1"/>
    <col min="13" max="13" width="10.88671875" style="2" bestFit="1" customWidth="1"/>
    <col min="14" max="14" width="8.44140625" style="2" customWidth="1"/>
    <col min="15" max="15" width="8.6640625" style="2"/>
    <col min="16" max="17" width="10.88671875" style="2" bestFit="1" customWidth="1"/>
    <col min="18" max="18" width="9" style="2" customWidth="1"/>
    <col min="19" max="19" width="8.6640625" style="2"/>
    <col min="20" max="20" width="8.44140625" style="2" customWidth="1"/>
    <col min="21" max="21" width="9.109375" style="2" customWidth="1"/>
    <col min="22" max="22" width="9" style="2" customWidth="1"/>
    <col min="23" max="23" width="7.5546875" style="2" customWidth="1"/>
    <col min="24" max="24" width="8" style="2" customWidth="1"/>
    <col min="25" max="25" width="7.88671875" style="2" customWidth="1"/>
    <col min="26" max="26" width="7.5546875" style="2" customWidth="1"/>
    <col min="27" max="27" width="8.5546875" style="2" customWidth="1"/>
    <col min="28" max="28" width="8.44140625" style="2" customWidth="1"/>
    <col min="29" max="30" width="7.88671875" style="2" customWidth="1"/>
    <col min="31" max="31" width="8.109375" style="2" customWidth="1"/>
    <col min="32" max="32" width="9" style="2" customWidth="1"/>
    <col min="33" max="35" width="9.88671875" style="2" bestFit="1" customWidth="1"/>
    <col min="36" max="36" width="9.88671875" style="2" customWidth="1"/>
    <col min="37" max="37" width="9.44140625" style="2" customWidth="1"/>
    <col min="38" max="38" width="9.5546875" style="2" customWidth="1"/>
    <col min="39" max="40" width="11.5546875" style="2" bestFit="1" customWidth="1"/>
    <col min="41" max="42" width="9.88671875" style="2" bestFit="1" customWidth="1"/>
    <col min="43" max="44" width="10.5546875" style="2" bestFit="1" customWidth="1"/>
    <col min="45" max="45" width="10.5546875" style="2" customWidth="1"/>
    <col min="46" max="46" width="10.5546875" style="2" bestFit="1" customWidth="1"/>
    <col min="47" max="47" width="9.88671875" style="2" bestFit="1" customWidth="1"/>
    <col min="48" max="48" width="10.5546875" style="2" bestFit="1" customWidth="1"/>
    <col min="49" max="49" width="10.88671875" style="3" bestFit="1" customWidth="1"/>
    <col min="50" max="50" width="9.6640625" style="2" customWidth="1"/>
    <col min="51" max="51" width="9.88671875" style="2" bestFit="1" customWidth="1"/>
    <col min="52" max="56" width="9.6640625" style="2" customWidth="1"/>
    <col min="57" max="57" width="10.88671875" style="2" bestFit="1" customWidth="1"/>
    <col min="58" max="65" width="9.6640625" style="2" customWidth="1"/>
    <col min="66" max="67" width="9.88671875" style="2" bestFit="1" customWidth="1"/>
    <col min="68" max="68" width="10.88671875" style="2" bestFit="1" customWidth="1"/>
    <col min="69" max="69" width="9.88671875" style="2" bestFit="1" customWidth="1"/>
    <col min="70" max="70" width="10.88671875" style="2" bestFit="1" customWidth="1"/>
    <col min="71" max="71" width="9.88671875" style="2" bestFit="1" customWidth="1"/>
    <col min="72" max="72" width="9.88671875" style="4" bestFit="1" customWidth="1"/>
    <col min="73" max="76" width="8.6640625" style="2"/>
    <col min="77" max="77" width="10.88671875" style="2" bestFit="1" customWidth="1"/>
    <col min="78" max="78" width="8.6640625" style="2"/>
    <col min="79" max="79" width="13.109375" style="2" bestFit="1" customWidth="1"/>
    <col min="80" max="80" width="9.88671875" style="2" bestFit="1" customWidth="1"/>
    <col min="81" max="82" width="10.88671875" style="2" bestFit="1" customWidth="1"/>
    <col min="83" max="83" width="9.88671875" style="2" bestFit="1" customWidth="1"/>
    <col min="84" max="84" width="10.33203125" style="2" bestFit="1" customWidth="1"/>
    <col min="85" max="85" width="8.6640625" style="2"/>
    <col min="86" max="86" width="10.88671875" style="2" bestFit="1" customWidth="1"/>
    <col min="87" max="88" width="11.5546875" style="2" bestFit="1" customWidth="1"/>
    <col min="89" max="92" width="10.88671875" style="2" bestFit="1" customWidth="1"/>
    <col min="93" max="93" width="12.6640625" style="2" bestFit="1" customWidth="1"/>
    <col min="94" max="94" width="10.5546875" style="2" bestFit="1" customWidth="1"/>
    <col min="95" max="95" width="9.88671875" style="2" bestFit="1" customWidth="1"/>
    <col min="96" max="96" width="10.88671875" style="2" customWidth="1"/>
    <col min="97" max="98" width="9.88671875" style="2" bestFit="1" customWidth="1"/>
    <col min="99" max="99" width="10.88671875" style="2" bestFit="1" customWidth="1"/>
    <col min="100" max="101" width="8.6640625" style="2"/>
    <col min="102" max="102" width="10.88671875" style="2" bestFit="1" customWidth="1"/>
    <col min="103" max="103" width="11.88671875" style="2" bestFit="1" customWidth="1"/>
    <col min="104" max="106" width="8.6640625" style="2"/>
    <col min="107" max="108" width="10.88671875" style="2" bestFit="1" customWidth="1"/>
    <col min="109" max="109" width="8.6640625" style="2"/>
    <col min="110" max="110" width="10.88671875" style="2" bestFit="1" customWidth="1"/>
    <col min="111" max="112" width="8.6640625" style="2"/>
    <col min="113" max="113" width="10.88671875" style="2" bestFit="1" customWidth="1"/>
    <col min="114" max="256" width="8.6640625" style="2"/>
    <col min="257" max="257" width="21.5546875" style="2" customWidth="1"/>
    <col min="258" max="258" width="35" style="2" customWidth="1"/>
    <col min="259" max="260" width="8.44140625" style="2" customWidth="1"/>
    <col min="261" max="268" width="9.88671875" style="2" bestFit="1" customWidth="1"/>
    <col min="269" max="269" width="10.88671875" style="2" bestFit="1" customWidth="1"/>
    <col min="270" max="270" width="8.44140625" style="2" customWidth="1"/>
    <col min="271" max="271" width="8.6640625" style="2"/>
    <col min="272" max="273" width="10.88671875" style="2" bestFit="1" customWidth="1"/>
    <col min="274" max="274" width="9" style="2" customWidth="1"/>
    <col min="275" max="275" width="8.6640625" style="2"/>
    <col min="276" max="276" width="8.44140625" style="2" customWidth="1"/>
    <col min="277" max="277" width="9.109375" style="2" customWidth="1"/>
    <col min="278" max="278" width="9" style="2" customWidth="1"/>
    <col min="279" max="279" width="7.5546875" style="2" customWidth="1"/>
    <col min="280" max="280" width="8" style="2" customWidth="1"/>
    <col min="281" max="281" width="7.88671875" style="2" customWidth="1"/>
    <col min="282" max="282" width="7.5546875" style="2" customWidth="1"/>
    <col min="283" max="283" width="8.5546875" style="2" customWidth="1"/>
    <col min="284" max="284" width="8.44140625" style="2" customWidth="1"/>
    <col min="285" max="286" width="7.88671875" style="2" customWidth="1"/>
    <col min="287" max="287" width="8.109375" style="2" customWidth="1"/>
    <col min="288" max="288" width="9" style="2" customWidth="1"/>
    <col min="289" max="291" width="9.88671875" style="2" bestFit="1" customWidth="1"/>
    <col min="292" max="292" width="9.88671875" style="2" customWidth="1"/>
    <col min="293" max="293" width="9.44140625" style="2" customWidth="1"/>
    <col min="294" max="294" width="9.5546875" style="2" customWidth="1"/>
    <col min="295" max="296" width="11.5546875" style="2" bestFit="1" customWidth="1"/>
    <col min="297" max="298" width="9.88671875" style="2" bestFit="1" customWidth="1"/>
    <col min="299" max="300" width="10.5546875" style="2" bestFit="1" customWidth="1"/>
    <col min="301" max="301" width="10.5546875" style="2" customWidth="1"/>
    <col min="302" max="302" width="10.5546875" style="2" bestFit="1" customWidth="1"/>
    <col min="303" max="303" width="9.88671875" style="2" bestFit="1" customWidth="1"/>
    <col min="304" max="304" width="10.5546875" style="2" bestFit="1" customWidth="1"/>
    <col min="305" max="305" width="10.88671875" style="2" bestFit="1" customWidth="1"/>
    <col min="306" max="306" width="9.6640625" style="2" customWidth="1"/>
    <col min="307" max="307" width="9.88671875" style="2" bestFit="1" customWidth="1"/>
    <col min="308" max="312" width="9.6640625" style="2" customWidth="1"/>
    <col min="313" max="313" width="10.88671875" style="2" bestFit="1" customWidth="1"/>
    <col min="314" max="321" width="9.6640625" style="2" customWidth="1"/>
    <col min="322" max="323" width="9.88671875" style="2" bestFit="1" customWidth="1"/>
    <col min="324" max="324" width="10.88671875" style="2" bestFit="1" customWidth="1"/>
    <col min="325" max="325" width="9.88671875" style="2" bestFit="1" customWidth="1"/>
    <col min="326" max="326" width="10.88671875" style="2" bestFit="1" customWidth="1"/>
    <col min="327" max="328" width="9.88671875" style="2" bestFit="1" customWidth="1"/>
    <col min="329" max="332" width="8.6640625" style="2"/>
    <col min="333" max="333" width="10.88671875" style="2" bestFit="1" customWidth="1"/>
    <col min="334" max="334" width="8.6640625" style="2"/>
    <col min="335" max="335" width="13.109375" style="2" bestFit="1" customWidth="1"/>
    <col min="336" max="336" width="9.88671875" style="2" bestFit="1" customWidth="1"/>
    <col min="337" max="338" width="10.88671875" style="2" bestFit="1" customWidth="1"/>
    <col min="339" max="339" width="9.88671875" style="2" bestFit="1" customWidth="1"/>
    <col min="340" max="340" width="10.33203125" style="2" bestFit="1" customWidth="1"/>
    <col min="341" max="341" width="8.6640625" style="2"/>
    <col min="342" max="342" width="10.88671875" style="2" bestFit="1" customWidth="1"/>
    <col min="343" max="344" width="11.5546875" style="2" bestFit="1" customWidth="1"/>
    <col min="345" max="348" width="10.88671875" style="2" bestFit="1" customWidth="1"/>
    <col min="349" max="349" width="12.6640625" style="2" bestFit="1" customWidth="1"/>
    <col min="350" max="350" width="10.5546875" style="2" bestFit="1" customWidth="1"/>
    <col min="351" max="351" width="9.88671875" style="2" bestFit="1" customWidth="1"/>
    <col min="352" max="352" width="10.88671875" style="2" customWidth="1"/>
    <col min="353" max="354" width="9.88671875" style="2" bestFit="1" customWidth="1"/>
    <col min="355" max="355" width="10.88671875" style="2" bestFit="1" customWidth="1"/>
    <col min="356" max="357" width="8.6640625" style="2"/>
    <col min="358" max="358" width="10.88671875" style="2" bestFit="1" customWidth="1"/>
    <col min="359" max="359" width="11.88671875" style="2" bestFit="1" customWidth="1"/>
    <col min="360" max="362" width="8.6640625" style="2"/>
    <col min="363" max="364" width="10.88671875" style="2" bestFit="1" customWidth="1"/>
    <col min="365" max="365" width="8.6640625" style="2"/>
    <col min="366" max="366" width="10.88671875" style="2" bestFit="1" customWidth="1"/>
    <col min="367" max="368" width="8.6640625" style="2"/>
    <col min="369" max="369" width="10.88671875" style="2" bestFit="1" customWidth="1"/>
    <col min="370" max="512" width="8.6640625" style="2"/>
    <col min="513" max="513" width="21.5546875" style="2" customWidth="1"/>
    <col min="514" max="514" width="35" style="2" customWidth="1"/>
    <col min="515" max="516" width="8.44140625" style="2" customWidth="1"/>
    <col min="517" max="524" width="9.88671875" style="2" bestFit="1" customWidth="1"/>
    <col min="525" max="525" width="10.88671875" style="2" bestFit="1" customWidth="1"/>
    <col min="526" max="526" width="8.44140625" style="2" customWidth="1"/>
    <col min="527" max="527" width="8.6640625" style="2"/>
    <col min="528" max="529" width="10.88671875" style="2" bestFit="1" customWidth="1"/>
    <col min="530" max="530" width="9" style="2" customWidth="1"/>
    <col min="531" max="531" width="8.6640625" style="2"/>
    <col min="532" max="532" width="8.44140625" style="2" customWidth="1"/>
    <col min="533" max="533" width="9.109375" style="2" customWidth="1"/>
    <col min="534" max="534" width="9" style="2" customWidth="1"/>
    <col min="535" max="535" width="7.5546875" style="2" customWidth="1"/>
    <col min="536" max="536" width="8" style="2" customWidth="1"/>
    <col min="537" max="537" width="7.88671875" style="2" customWidth="1"/>
    <col min="538" max="538" width="7.5546875" style="2" customWidth="1"/>
    <col min="539" max="539" width="8.5546875" style="2" customWidth="1"/>
    <col min="540" max="540" width="8.44140625" style="2" customWidth="1"/>
    <col min="541" max="542" width="7.88671875" style="2" customWidth="1"/>
    <col min="543" max="543" width="8.109375" style="2" customWidth="1"/>
    <col min="544" max="544" width="9" style="2" customWidth="1"/>
    <col min="545" max="547" width="9.88671875" style="2" bestFit="1" customWidth="1"/>
    <col min="548" max="548" width="9.88671875" style="2" customWidth="1"/>
    <col min="549" max="549" width="9.44140625" style="2" customWidth="1"/>
    <col min="550" max="550" width="9.5546875" style="2" customWidth="1"/>
    <col min="551" max="552" width="11.5546875" style="2" bestFit="1" customWidth="1"/>
    <col min="553" max="554" width="9.88671875" style="2" bestFit="1" customWidth="1"/>
    <col min="555" max="556" width="10.5546875" style="2" bestFit="1" customWidth="1"/>
    <col min="557" max="557" width="10.5546875" style="2" customWidth="1"/>
    <col min="558" max="558" width="10.5546875" style="2" bestFit="1" customWidth="1"/>
    <col min="559" max="559" width="9.88671875" style="2" bestFit="1" customWidth="1"/>
    <col min="560" max="560" width="10.5546875" style="2" bestFit="1" customWidth="1"/>
    <col min="561" max="561" width="10.88671875" style="2" bestFit="1" customWidth="1"/>
    <col min="562" max="562" width="9.6640625" style="2" customWidth="1"/>
    <col min="563" max="563" width="9.88671875" style="2" bestFit="1" customWidth="1"/>
    <col min="564" max="568" width="9.6640625" style="2" customWidth="1"/>
    <col min="569" max="569" width="10.88671875" style="2" bestFit="1" customWidth="1"/>
    <col min="570" max="577" width="9.6640625" style="2" customWidth="1"/>
    <col min="578" max="579" width="9.88671875" style="2" bestFit="1" customWidth="1"/>
    <col min="580" max="580" width="10.88671875" style="2" bestFit="1" customWidth="1"/>
    <col min="581" max="581" width="9.88671875" style="2" bestFit="1" customWidth="1"/>
    <col min="582" max="582" width="10.88671875" style="2" bestFit="1" customWidth="1"/>
    <col min="583" max="584" width="9.88671875" style="2" bestFit="1" customWidth="1"/>
    <col min="585" max="588" width="8.6640625" style="2"/>
    <col min="589" max="589" width="10.88671875" style="2" bestFit="1" customWidth="1"/>
    <col min="590" max="590" width="8.6640625" style="2"/>
    <col min="591" max="591" width="13.109375" style="2" bestFit="1" customWidth="1"/>
    <col min="592" max="592" width="9.88671875" style="2" bestFit="1" customWidth="1"/>
    <col min="593" max="594" width="10.88671875" style="2" bestFit="1" customWidth="1"/>
    <col min="595" max="595" width="9.88671875" style="2" bestFit="1" customWidth="1"/>
    <col min="596" max="596" width="10.33203125" style="2" bestFit="1" customWidth="1"/>
    <col min="597" max="597" width="8.6640625" style="2"/>
    <col min="598" max="598" width="10.88671875" style="2" bestFit="1" customWidth="1"/>
    <col min="599" max="600" width="11.5546875" style="2" bestFit="1" customWidth="1"/>
    <col min="601" max="604" width="10.88671875" style="2" bestFit="1" customWidth="1"/>
    <col min="605" max="605" width="12.6640625" style="2" bestFit="1" customWidth="1"/>
    <col min="606" max="606" width="10.5546875" style="2" bestFit="1" customWidth="1"/>
    <col min="607" max="607" width="9.88671875" style="2" bestFit="1" customWidth="1"/>
    <col min="608" max="608" width="10.88671875" style="2" customWidth="1"/>
    <col min="609" max="610" width="9.88671875" style="2" bestFit="1" customWidth="1"/>
    <col min="611" max="611" width="10.88671875" style="2" bestFit="1" customWidth="1"/>
    <col min="612" max="613" width="8.6640625" style="2"/>
    <col min="614" max="614" width="10.88671875" style="2" bestFit="1" customWidth="1"/>
    <col min="615" max="615" width="11.88671875" style="2" bestFit="1" customWidth="1"/>
    <col min="616" max="618" width="8.6640625" style="2"/>
    <col min="619" max="620" width="10.88671875" style="2" bestFit="1" customWidth="1"/>
    <col min="621" max="621" width="8.6640625" style="2"/>
    <col min="622" max="622" width="10.88671875" style="2" bestFit="1" customWidth="1"/>
    <col min="623" max="624" width="8.6640625" style="2"/>
    <col min="625" max="625" width="10.88671875" style="2" bestFit="1" customWidth="1"/>
    <col min="626" max="768" width="8.6640625" style="2"/>
    <col min="769" max="769" width="21.5546875" style="2" customWidth="1"/>
    <col min="770" max="770" width="35" style="2" customWidth="1"/>
    <col min="771" max="772" width="8.44140625" style="2" customWidth="1"/>
    <col min="773" max="780" width="9.88671875" style="2" bestFit="1" customWidth="1"/>
    <col min="781" max="781" width="10.88671875" style="2" bestFit="1" customWidth="1"/>
    <col min="782" max="782" width="8.44140625" style="2" customWidth="1"/>
    <col min="783" max="783" width="8.6640625" style="2"/>
    <col min="784" max="785" width="10.88671875" style="2" bestFit="1" customWidth="1"/>
    <col min="786" max="786" width="9" style="2" customWidth="1"/>
    <col min="787" max="787" width="8.6640625" style="2"/>
    <col min="788" max="788" width="8.44140625" style="2" customWidth="1"/>
    <col min="789" max="789" width="9.109375" style="2" customWidth="1"/>
    <col min="790" max="790" width="9" style="2" customWidth="1"/>
    <col min="791" max="791" width="7.5546875" style="2" customWidth="1"/>
    <col min="792" max="792" width="8" style="2" customWidth="1"/>
    <col min="793" max="793" width="7.88671875" style="2" customWidth="1"/>
    <col min="794" max="794" width="7.5546875" style="2" customWidth="1"/>
    <col min="795" max="795" width="8.5546875" style="2" customWidth="1"/>
    <col min="796" max="796" width="8.44140625" style="2" customWidth="1"/>
    <col min="797" max="798" width="7.88671875" style="2" customWidth="1"/>
    <col min="799" max="799" width="8.109375" style="2" customWidth="1"/>
    <col min="800" max="800" width="9" style="2" customWidth="1"/>
    <col min="801" max="803" width="9.88671875" style="2" bestFit="1" customWidth="1"/>
    <col min="804" max="804" width="9.88671875" style="2" customWidth="1"/>
    <col min="805" max="805" width="9.44140625" style="2" customWidth="1"/>
    <col min="806" max="806" width="9.5546875" style="2" customWidth="1"/>
    <col min="807" max="808" width="11.5546875" style="2" bestFit="1" customWidth="1"/>
    <col min="809" max="810" width="9.88671875" style="2" bestFit="1" customWidth="1"/>
    <col min="811" max="812" width="10.5546875" style="2" bestFit="1" customWidth="1"/>
    <col min="813" max="813" width="10.5546875" style="2" customWidth="1"/>
    <col min="814" max="814" width="10.5546875" style="2" bestFit="1" customWidth="1"/>
    <col min="815" max="815" width="9.88671875" style="2" bestFit="1" customWidth="1"/>
    <col min="816" max="816" width="10.5546875" style="2" bestFit="1" customWidth="1"/>
    <col min="817" max="817" width="10.88671875" style="2" bestFit="1" customWidth="1"/>
    <col min="818" max="818" width="9.6640625" style="2" customWidth="1"/>
    <col min="819" max="819" width="9.88671875" style="2" bestFit="1" customWidth="1"/>
    <col min="820" max="824" width="9.6640625" style="2" customWidth="1"/>
    <col min="825" max="825" width="10.88671875" style="2" bestFit="1" customWidth="1"/>
    <col min="826" max="833" width="9.6640625" style="2" customWidth="1"/>
    <col min="834" max="835" width="9.88671875" style="2" bestFit="1" customWidth="1"/>
    <col min="836" max="836" width="10.88671875" style="2" bestFit="1" customWidth="1"/>
    <col min="837" max="837" width="9.88671875" style="2" bestFit="1" customWidth="1"/>
    <col min="838" max="838" width="10.88671875" style="2" bestFit="1" customWidth="1"/>
    <col min="839" max="840" width="9.88671875" style="2" bestFit="1" customWidth="1"/>
    <col min="841" max="844" width="8.6640625" style="2"/>
    <col min="845" max="845" width="10.88671875" style="2" bestFit="1" customWidth="1"/>
    <col min="846" max="846" width="8.6640625" style="2"/>
    <col min="847" max="847" width="13.109375" style="2" bestFit="1" customWidth="1"/>
    <col min="848" max="848" width="9.88671875" style="2" bestFit="1" customWidth="1"/>
    <col min="849" max="850" width="10.88671875" style="2" bestFit="1" customWidth="1"/>
    <col min="851" max="851" width="9.88671875" style="2" bestFit="1" customWidth="1"/>
    <col min="852" max="852" width="10.33203125" style="2" bestFit="1" customWidth="1"/>
    <col min="853" max="853" width="8.6640625" style="2"/>
    <col min="854" max="854" width="10.88671875" style="2" bestFit="1" customWidth="1"/>
    <col min="855" max="856" width="11.5546875" style="2" bestFit="1" customWidth="1"/>
    <col min="857" max="860" width="10.88671875" style="2" bestFit="1" customWidth="1"/>
    <col min="861" max="861" width="12.6640625" style="2" bestFit="1" customWidth="1"/>
    <col min="862" max="862" width="10.5546875" style="2" bestFit="1" customWidth="1"/>
    <col min="863" max="863" width="9.88671875" style="2" bestFit="1" customWidth="1"/>
    <col min="864" max="864" width="10.88671875" style="2" customWidth="1"/>
    <col min="865" max="866" width="9.88671875" style="2" bestFit="1" customWidth="1"/>
    <col min="867" max="867" width="10.88671875" style="2" bestFit="1" customWidth="1"/>
    <col min="868" max="869" width="8.6640625" style="2"/>
    <col min="870" max="870" width="10.88671875" style="2" bestFit="1" customWidth="1"/>
    <col min="871" max="871" width="11.88671875" style="2" bestFit="1" customWidth="1"/>
    <col min="872" max="874" width="8.6640625" style="2"/>
    <col min="875" max="876" width="10.88671875" style="2" bestFit="1" customWidth="1"/>
    <col min="877" max="877" width="8.6640625" style="2"/>
    <col min="878" max="878" width="10.88671875" style="2" bestFit="1" customWidth="1"/>
    <col min="879" max="880" width="8.6640625" style="2"/>
    <col min="881" max="881" width="10.88671875" style="2" bestFit="1" customWidth="1"/>
    <col min="882" max="1024" width="8.6640625" style="2"/>
    <col min="1025" max="1025" width="21.5546875" style="2" customWidth="1"/>
    <col min="1026" max="1026" width="35" style="2" customWidth="1"/>
    <col min="1027" max="1028" width="8.44140625" style="2" customWidth="1"/>
    <col min="1029" max="1036" width="9.88671875" style="2" bestFit="1" customWidth="1"/>
    <col min="1037" max="1037" width="10.88671875" style="2" bestFit="1" customWidth="1"/>
    <col min="1038" max="1038" width="8.44140625" style="2" customWidth="1"/>
    <col min="1039" max="1039" width="8.6640625" style="2"/>
    <col min="1040" max="1041" width="10.88671875" style="2" bestFit="1" customWidth="1"/>
    <col min="1042" max="1042" width="9" style="2" customWidth="1"/>
    <col min="1043" max="1043" width="8.6640625" style="2"/>
    <col min="1044" max="1044" width="8.44140625" style="2" customWidth="1"/>
    <col min="1045" max="1045" width="9.109375" style="2" customWidth="1"/>
    <col min="1046" max="1046" width="9" style="2" customWidth="1"/>
    <col min="1047" max="1047" width="7.5546875" style="2" customWidth="1"/>
    <col min="1048" max="1048" width="8" style="2" customWidth="1"/>
    <col min="1049" max="1049" width="7.88671875" style="2" customWidth="1"/>
    <col min="1050" max="1050" width="7.5546875" style="2" customWidth="1"/>
    <col min="1051" max="1051" width="8.5546875" style="2" customWidth="1"/>
    <col min="1052" max="1052" width="8.44140625" style="2" customWidth="1"/>
    <col min="1053" max="1054" width="7.88671875" style="2" customWidth="1"/>
    <col min="1055" max="1055" width="8.109375" style="2" customWidth="1"/>
    <col min="1056" max="1056" width="9" style="2" customWidth="1"/>
    <col min="1057" max="1059" width="9.88671875" style="2" bestFit="1" customWidth="1"/>
    <col min="1060" max="1060" width="9.88671875" style="2" customWidth="1"/>
    <col min="1061" max="1061" width="9.44140625" style="2" customWidth="1"/>
    <col min="1062" max="1062" width="9.5546875" style="2" customWidth="1"/>
    <col min="1063" max="1064" width="11.5546875" style="2" bestFit="1" customWidth="1"/>
    <col min="1065" max="1066" width="9.88671875" style="2" bestFit="1" customWidth="1"/>
    <col min="1067" max="1068" width="10.5546875" style="2" bestFit="1" customWidth="1"/>
    <col min="1069" max="1069" width="10.5546875" style="2" customWidth="1"/>
    <col min="1070" max="1070" width="10.5546875" style="2" bestFit="1" customWidth="1"/>
    <col min="1071" max="1071" width="9.88671875" style="2" bestFit="1" customWidth="1"/>
    <col min="1072" max="1072" width="10.5546875" style="2" bestFit="1" customWidth="1"/>
    <col min="1073" max="1073" width="10.88671875" style="2" bestFit="1" customWidth="1"/>
    <col min="1074" max="1074" width="9.6640625" style="2" customWidth="1"/>
    <col min="1075" max="1075" width="9.88671875" style="2" bestFit="1" customWidth="1"/>
    <col min="1076" max="1080" width="9.6640625" style="2" customWidth="1"/>
    <col min="1081" max="1081" width="10.88671875" style="2" bestFit="1" customWidth="1"/>
    <col min="1082" max="1089" width="9.6640625" style="2" customWidth="1"/>
    <col min="1090" max="1091" width="9.88671875" style="2" bestFit="1" customWidth="1"/>
    <col min="1092" max="1092" width="10.88671875" style="2" bestFit="1" customWidth="1"/>
    <col min="1093" max="1093" width="9.88671875" style="2" bestFit="1" customWidth="1"/>
    <col min="1094" max="1094" width="10.88671875" style="2" bestFit="1" customWidth="1"/>
    <col min="1095" max="1096" width="9.88671875" style="2" bestFit="1" customWidth="1"/>
    <col min="1097" max="1100" width="8.6640625" style="2"/>
    <col min="1101" max="1101" width="10.88671875" style="2" bestFit="1" customWidth="1"/>
    <col min="1102" max="1102" width="8.6640625" style="2"/>
    <col min="1103" max="1103" width="13.109375" style="2" bestFit="1" customWidth="1"/>
    <col min="1104" max="1104" width="9.88671875" style="2" bestFit="1" customWidth="1"/>
    <col min="1105" max="1106" width="10.88671875" style="2" bestFit="1" customWidth="1"/>
    <col min="1107" max="1107" width="9.88671875" style="2" bestFit="1" customWidth="1"/>
    <col min="1108" max="1108" width="10.33203125" style="2" bestFit="1" customWidth="1"/>
    <col min="1109" max="1109" width="8.6640625" style="2"/>
    <col min="1110" max="1110" width="10.88671875" style="2" bestFit="1" customWidth="1"/>
    <col min="1111" max="1112" width="11.5546875" style="2" bestFit="1" customWidth="1"/>
    <col min="1113" max="1116" width="10.88671875" style="2" bestFit="1" customWidth="1"/>
    <col min="1117" max="1117" width="12.6640625" style="2" bestFit="1" customWidth="1"/>
    <col min="1118" max="1118" width="10.5546875" style="2" bestFit="1" customWidth="1"/>
    <col min="1119" max="1119" width="9.88671875" style="2" bestFit="1" customWidth="1"/>
    <col min="1120" max="1120" width="10.88671875" style="2" customWidth="1"/>
    <col min="1121" max="1122" width="9.88671875" style="2" bestFit="1" customWidth="1"/>
    <col min="1123" max="1123" width="10.88671875" style="2" bestFit="1" customWidth="1"/>
    <col min="1124" max="1125" width="8.6640625" style="2"/>
    <col min="1126" max="1126" width="10.88671875" style="2" bestFit="1" customWidth="1"/>
    <col min="1127" max="1127" width="11.88671875" style="2" bestFit="1" customWidth="1"/>
    <col min="1128" max="1130" width="8.6640625" style="2"/>
    <col min="1131" max="1132" width="10.88671875" style="2" bestFit="1" customWidth="1"/>
    <col min="1133" max="1133" width="8.6640625" style="2"/>
    <col min="1134" max="1134" width="10.88671875" style="2" bestFit="1" customWidth="1"/>
    <col min="1135" max="1136" width="8.6640625" style="2"/>
    <col min="1137" max="1137" width="10.88671875" style="2" bestFit="1" customWidth="1"/>
    <col min="1138" max="1280" width="8.6640625" style="2"/>
    <col min="1281" max="1281" width="21.5546875" style="2" customWidth="1"/>
    <col min="1282" max="1282" width="35" style="2" customWidth="1"/>
    <col min="1283" max="1284" width="8.44140625" style="2" customWidth="1"/>
    <col min="1285" max="1292" width="9.88671875" style="2" bestFit="1" customWidth="1"/>
    <col min="1293" max="1293" width="10.88671875" style="2" bestFit="1" customWidth="1"/>
    <col min="1294" max="1294" width="8.44140625" style="2" customWidth="1"/>
    <col min="1295" max="1295" width="8.6640625" style="2"/>
    <col min="1296" max="1297" width="10.88671875" style="2" bestFit="1" customWidth="1"/>
    <col min="1298" max="1298" width="9" style="2" customWidth="1"/>
    <col min="1299" max="1299" width="8.6640625" style="2"/>
    <col min="1300" max="1300" width="8.44140625" style="2" customWidth="1"/>
    <col min="1301" max="1301" width="9.109375" style="2" customWidth="1"/>
    <col min="1302" max="1302" width="9" style="2" customWidth="1"/>
    <col min="1303" max="1303" width="7.5546875" style="2" customWidth="1"/>
    <col min="1304" max="1304" width="8" style="2" customWidth="1"/>
    <col min="1305" max="1305" width="7.88671875" style="2" customWidth="1"/>
    <col min="1306" max="1306" width="7.5546875" style="2" customWidth="1"/>
    <col min="1307" max="1307" width="8.5546875" style="2" customWidth="1"/>
    <col min="1308" max="1308" width="8.44140625" style="2" customWidth="1"/>
    <col min="1309" max="1310" width="7.88671875" style="2" customWidth="1"/>
    <col min="1311" max="1311" width="8.109375" style="2" customWidth="1"/>
    <col min="1312" max="1312" width="9" style="2" customWidth="1"/>
    <col min="1313" max="1315" width="9.88671875" style="2" bestFit="1" customWidth="1"/>
    <col min="1316" max="1316" width="9.88671875" style="2" customWidth="1"/>
    <col min="1317" max="1317" width="9.44140625" style="2" customWidth="1"/>
    <col min="1318" max="1318" width="9.5546875" style="2" customWidth="1"/>
    <col min="1319" max="1320" width="11.5546875" style="2" bestFit="1" customWidth="1"/>
    <col min="1321" max="1322" width="9.88671875" style="2" bestFit="1" customWidth="1"/>
    <col min="1323" max="1324" width="10.5546875" style="2" bestFit="1" customWidth="1"/>
    <col min="1325" max="1325" width="10.5546875" style="2" customWidth="1"/>
    <col min="1326" max="1326" width="10.5546875" style="2" bestFit="1" customWidth="1"/>
    <col min="1327" max="1327" width="9.88671875" style="2" bestFit="1" customWidth="1"/>
    <col min="1328" max="1328" width="10.5546875" style="2" bestFit="1" customWidth="1"/>
    <col min="1329" max="1329" width="10.88671875" style="2" bestFit="1" customWidth="1"/>
    <col min="1330" max="1330" width="9.6640625" style="2" customWidth="1"/>
    <col min="1331" max="1331" width="9.88671875" style="2" bestFit="1" customWidth="1"/>
    <col min="1332" max="1336" width="9.6640625" style="2" customWidth="1"/>
    <col min="1337" max="1337" width="10.88671875" style="2" bestFit="1" customWidth="1"/>
    <col min="1338" max="1345" width="9.6640625" style="2" customWidth="1"/>
    <col min="1346" max="1347" width="9.88671875" style="2" bestFit="1" customWidth="1"/>
    <col min="1348" max="1348" width="10.88671875" style="2" bestFit="1" customWidth="1"/>
    <col min="1349" max="1349" width="9.88671875" style="2" bestFit="1" customWidth="1"/>
    <col min="1350" max="1350" width="10.88671875" style="2" bestFit="1" customWidth="1"/>
    <col min="1351" max="1352" width="9.88671875" style="2" bestFit="1" customWidth="1"/>
    <col min="1353" max="1356" width="8.6640625" style="2"/>
    <col min="1357" max="1357" width="10.88671875" style="2" bestFit="1" customWidth="1"/>
    <col min="1358" max="1358" width="8.6640625" style="2"/>
    <col min="1359" max="1359" width="13.109375" style="2" bestFit="1" customWidth="1"/>
    <col min="1360" max="1360" width="9.88671875" style="2" bestFit="1" customWidth="1"/>
    <col min="1361" max="1362" width="10.88671875" style="2" bestFit="1" customWidth="1"/>
    <col min="1363" max="1363" width="9.88671875" style="2" bestFit="1" customWidth="1"/>
    <col min="1364" max="1364" width="10.33203125" style="2" bestFit="1" customWidth="1"/>
    <col min="1365" max="1365" width="8.6640625" style="2"/>
    <col min="1366" max="1366" width="10.88671875" style="2" bestFit="1" customWidth="1"/>
    <col min="1367" max="1368" width="11.5546875" style="2" bestFit="1" customWidth="1"/>
    <col min="1369" max="1372" width="10.88671875" style="2" bestFit="1" customWidth="1"/>
    <col min="1373" max="1373" width="12.6640625" style="2" bestFit="1" customWidth="1"/>
    <col min="1374" max="1374" width="10.5546875" style="2" bestFit="1" customWidth="1"/>
    <col min="1375" max="1375" width="9.88671875" style="2" bestFit="1" customWidth="1"/>
    <col min="1376" max="1376" width="10.88671875" style="2" customWidth="1"/>
    <col min="1377" max="1378" width="9.88671875" style="2" bestFit="1" customWidth="1"/>
    <col min="1379" max="1379" width="10.88671875" style="2" bestFit="1" customWidth="1"/>
    <col min="1380" max="1381" width="8.6640625" style="2"/>
    <col min="1382" max="1382" width="10.88671875" style="2" bestFit="1" customWidth="1"/>
    <col min="1383" max="1383" width="11.88671875" style="2" bestFit="1" customWidth="1"/>
    <col min="1384" max="1386" width="8.6640625" style="2"/>
    <col min="1387" max="1388" width="10.88671875" style="2" bestFit="1" customWidth="1"/>
    <col min="1389" max="1389" width="8.6640625" style="2"/>
    <col min="1390" max="1390" width="10.88671875" style="2" bestFit="1" customWidth="1"/>
    <col min="1391" max="1392" width="8.6640625" style="2"/>
    <col min="1393" max="1393" width="10.88671875" style="2" bestFit="1" customWidth="1"/>
    <col min="1394" max="1536" width="8.6640625" style="2"/>
    <col min="1537" max="1537" width="21.5546875" style="2" customWidth="1"/>
    <col min="1538" max="1538" width="35" style="2" customWidth="1"/>
    <col min="1539" max="1540" width="8.44140625" style="2" customWidth="1"/>
    <col min="1541" max="1548" width="9.88671875" style="2" bestFit="1" customWidth="1"/>
    <col min="1549" max="1549" width="10.88671875" style="2" bestFit="1" customWidth="1"/>
    <col min="1550" max="1550" width="8.44140625" style="2" customWidth="1"/>
    <col min="1551" max="1551" width="8.6640625" style="2"/>
    <col min="1552" max="1553" width="10.88671875" style="2" bestFit="1" customWidth="1"/>
    <col min="1554" max="1554" width="9" style="2" customWidth="1"/>
    <col min="1555" max="1555" width="8.6640625" style="2"/>
    <col min="1556" max="1556" width="8.44140625" style="2" customWidth="1"/>
    <col min="1557" max="1557" width="9.109375" style="2" customWidth="1"/>
    <col min="1558" max="1558" width="9" style="2" customWidth="1"/>
    <col min="1559" max="1559" width="7.5546875" style="2" customWidth="1"/>
    <col min="1560" max="1560" width="8" style="2" customWidth="1"/>
    <col min="1561" max="1561" width="7.88671875" style="2" customWidth="1"/>
    <col min="1562" max="1562" width="7.5546875" style="2" customWidth="1"/>
    <col min="1563" max="1563" width="8.5546875" style="2" customWidth="1"/>
    <col min="1564" max="1564" width="8.44140625" style="2" customWidth="1"/>
    <col min="1565" max="1566" width="7.88671875" style="2" customWidth="1"/>
    <col min="1567" max="1567" width="8.109375" style="2" customWidth="1"/>
    <col min="1568" max="1568" width="9" style="2" customWidth="1"/>
    <col min="1569" max="1571" width="9.88671875" style="2" bestFit="1" customWidth="1"/>
    <col min="1572" max="1572" width="9.88671875" style="2" customWidth="1"/>
    <col min="1573" max="1573" width="9.44140625" style="2" customWidth="1"/>
    <col min="1574" max="1574" width="9.5546875" style="2" customWidth="1"/>
    <col min="1575" max="1576" width="11.5546875" style="2" bestFit="1" customWidth="1"/>
    <col min="1577" max="1578" width="9.88671875" style="2" bestFit="1" customWidth="1"/>
    <col min="1579" max="1580" width="10.5546875" style="2" bestFit="1" customWidth="1"/>
    <col min="1581" max="1581" width="10.5546875" style="2" customWidth="1"/>
    <col min="1582" max="1582" width="10.5546875" style="2" bestFit="1" customWidth="1"/>
    <col min="1583" max="1583" width="9.88671875" style="2" bestFit="1" customWidth="1"/>
    <col min="1584" max="1584" width="10.5546875" style="2" bestFit="1" customWidth="1"/>
    <col min="1585" max="1585" width="10.88671875" style="2" bestFit="1" customWidth="1"/>
    <col min="1586" max="1586" width="9.6640625" style="2" customWidth="1"/>
    <col min="1587" max="1587" width="9.88671875" style="2" bestFit="1" customWidth="1"/>
    <col min="1588" max="1592" width="9.6640625" style="2" customWidth="1"/>
    <col min="1593" max="1593" width="10.88671875" style="2" bestFit="1" customWidth="1"/>
    <col min="1594" max="1601" width="9.6640625" style="2" customWidth="1"/>
    <col min="1602" max="1603" width="9.88671875" style="2" bestFit="1" customWidth="1"/>
    <col min="1604" max="1604" width="10.88671875" style="2" bestFit="1" customWidth="1"/>
    <col min="1605" max="1605" width="9.88671875" style="2" bestFit="1" customWidth="1"/>
    <col min="1606" max="1606" width="10.88671875" style="2" bestFit="1" customWidth="1"/>
    <col min="1607" max="1608" width="9.88671875" style="2" bestFit="1" customWidth="1"/>
    <col min="1609" max="1612" width="8.6640625" style="2"/>
    <col min="1613" max="1613" width="10.88671875" style="2" bestFit="1" customWidth="1"/>
    <col min="1614" max="1614" width="8.6640625" style="2"/>
    <col min="1615" max="1615" width="13.109375" style="2" bestFit="1" customWidth="1"/>
    <col min="1616" max="1616" width="9.88671875" style="2" bestFit="1" customWidth="1"/>
    <col min="1617" max="1618" width="10.88671875" style="2" bestFit="1" customWidth="1"/>
    <col min="1619" max="1619" width="9.88671875" style="2" bestFit="1" customWidth="1"/>
    <col min="1620" max="1620" width="10.33203125" style="2" bestFit="1" customWidth="1"/>
    <col min="1621" max="1621" width="8.6640625" style="2"/>
    <col min="1622" max="1622" width="10.88671875" style="2" bestFit="1" customWidth="1"/>
    <col min="1623" max="1624" width="11.5546875" style="2" bestFit="1" customWidth="1"/>
    <col min="1625" max="1628" width="10.88671875" style="2" bestFit="1" customWidth="1"/>
    <col min="1629" max="1629" width="12.6640625" style="2" bestFit="1" customWidth="1"/>
    <col min="1630" max="1630" width="10.5546875" style="2" bestFit="1" customWidth="1"/>
    <col min="1631" max="1631" width="9.88671875" style="2" bestFit="1" customWidth="1"/>
    <col min="1632" max="1632" width="10.88671875" style="2" customWidth="1"/>
    <col min="1633" max="1634" width="9.88671875" style="2" bestFit="1" customWidth="1"/>
    <col min="1635" max="1635" width="10.88671875" style="2" bestFit="1" customWidth="1"/>
    <col min="1636" max="1637" width="8.6640625" style="2"/>
    <col min="1638" max="1638" width="10.88671875" style="2" bestFit="1" customWidth="1"/>
    <col min="1639" max="1639" width="11.88671875" style="2" bestFit="1" customWidth="1"/>
    <col min="1640" max="1642" width="8.6640625" style="2"/>
    <col min="1643" max="1644" width="10.88671875" style="2" bestFit="1" customWidth="1"/>
    <col min="1645" max="1645" width="8.6640625" style="2"/>
    <col min="1646" max="1646" width="10.88671875" style="2" bestFit="1" customWidth="1"/>
    <col min="1647" max="1648" width="8.6640625" style="2"/>
    <col min="1649" max="1649" width="10.88671875" style="2" bestFit="1" customWidth="1"/>
    <col min="1650" max="1792" width="8.6640625" style="2"/>
    <col min="1793" max="1793" width="21.5546875" style="2" customWidth="1"/>
    <col min="1794" max="1794" width="35" style="2" customWidth="1"/>
    <col min="1795" max="1796" width="8.44140625" style="2" customWidth="1"/>
    <col min="1797" max="1804" width="9.88671875" style="2" bestFit="1" customWidth="1"/>
    <col min="1805" max="1805" width="10.88671875" style="2" bestFit="1" customWidth="1"/>
    <col min="1806" max="1806" width="8.44140625" style="2" customWidth="1"/>
    <col min="1807" max="1807" width="8.6640625" style="2"/>
    <col min="1808" max="1809" width="10.88671875" style="2" bestFit="1" customWidth="1"/>
    <col min="1810" max="1810" width="9" style="2" customWidth="1"/>
    <col min="1811" max="1811" width="8.6640625" style="2"/>
    <col min="1812" max="1812" width="8.44140625" style="2" customWidth="1"/>
    <col min="1813" max="1813" width="9.109375" style="2" customWidth="1"/>
    <col min="1814" max="1814" width="9" style="2" customWidth="1"/>
    <col min="1815" max="1815" width="7.5546875" style="2" customWidth="1"/>
    <col min="1816" max="1816" width="8" style="2" customWidth="1"/>
    <col min="1817" max="1817" width="7.88671875" style="2" customWidth="1"/>
    <col min="1818" max="1818" width="7.5546875" style="2" customWidth="1"/>
    <col min="1819" max="1819" width="8.5546875" style="2" customWidth="1"/>
    <col min="1820" max="1820" width="8.44140625" style="2" customWidth="1"/>
    <col min="1821" max="1822" width="7.88671875" style="2" customWidth="1"/>
    <col min="1823" max="1823" width="8.109375" style="2" customWidth="1"/>
    <col min="1824" max="1824" width="9" style="2" customWidth="1"/>
    <col min="1825" max="1827" width="9.88671875" style="2" bestFit="1" customWidth="1"/>
    <col min="1828" max="1828" width="9.88671875" style="2" customWidth="1"/>
    <col min="1829" max="1829" width="9.44140625" style="2" customWidth="1"/>
    <col min="1830" max="1830" width="9.5546875" style="2" customWidth="1"/>
    <col min="1831" max="1832" width="11.5546875" style="2" bestFit="1" customWidth="1"/>
    <col min="1833" max="1834" width="9.88671875" style="2" bestFit="1" customWidth="1"/>
    <col min="1835" max="1836" width="10.5546875" style="2" bestFit="1" customWidth="1"/>
    <col min="1837" max="1837" width="10.5546875" style="2" customWidth="1"/>
    <col min="1838" max="1838" width="10.5546875" style="2" bestFit="1" customWidth="1"/>
    <col min="1839" max="1839" width="9.88671875" style="2" bestFit="1" customWidth="1"/>
    <col min="1840" max="1840" width="10.5546875" style="2" bestFit="1" customWidth="1"/>
    <col min="1841" max="1841" width="10.88671875" style="2" bestFit="1" customWidth="1"/>
    <col min="1842" max="1842" width="9.6640625" style="2" customWidth="1"/>
    <col min="1843" max="1843" width="9.88671875" style="2" bestFit="1" customWidth="1"/>
    <col min="1844" max="1848" width="9.6640625" style="2" customWidth="1"/>
    <col min="1849" max="1849" width="10.88671875" style="2" bestFit="1" customWidth="1"/>
    <col min="1850" max="1857" width="9.6640625" style="2" customWidth="1"/>
    <col min="1858" max="1859" width="9.88671875" style="2" bestFit="1" customWidth="1"/>
    <col min="1860" max="1860" width="10.88671875" style="2" bestFit="1" customWidth="1"/>
    <col min="1861" max="1861" width="9.88671875" style="2" bestFit="1" customWidth="1"/>
    <col min="1862" max="1862" width="10.88671875" style="2" bestFit="1" customWidth="1"/>
    <col min="1863" max="1864" width="9.88671875" style="2" bestFit="1" customWidth="1"/>
    <col min="1865" max="1868" width="8.6640625" style="2"/>
    <col min="1869" max="1869" width="10.88671875" style="2" bestFit="1" customWidth="1"/>
    <col min="1870" max="1870" width="8.6640625" style="2"/>
    <col min="1871" max="1871" width="13.109375" style="2" bestFit="1" customWidth="1"/>
    <col min="1872" max="1872" width="9.88671875" style="2" bestFit="1" customWidth="1"/>
    <col min="1873" max="1874" width="10.88671875" style="2" bestFit="1" customWidth="1"/>
    <col min="1875" max="1875" width="9.88671875" style="2" bestFit="1" customWidth="1"/>
    <col min="1876" max="1876" width="10.33203125" style="2" bestFit="1" customWidth="1"/>
    <col min="1877" max="1877" width="8.6640625" style="2"/>
    <col min="1878" max="1878" width="10.88671875" style="2" bestFit="1" customWidth="1"/>
    <col min="1879" max="1880" width="11.5546875" style="2" bestFit="1" customWidth="1"/>
    <col min="1881" max="1884" width="10.88671875" style="2" bestFit="1" customWidth="1"/>
    <col min="1885" max="1885" width="12.6640625" style="2" bestFit="1" customWidth="1"/>
    <col min="1886" max="1886" width="10.5546875" style="2" bestFit="1" customWidth="1"/>
    <col min="1887" max="1887" width="9.88671875" style="2" bestFit="1" customWidth="1"/>
    <col min="1888" max="1888" width="10.88671875" style="2" customWidth="1"/>
    <col min="1889" max="1890" width="9.88671875" style="2" bestFit="1" customWidth="1"/>
    <col min="1891" max="1891" width="10.88671875" style="2" bestFit="1" customWidth="1"/>
    <col min="1892" max="1893" width="8.6640625" style="2"/>
    <col min="1894" max="1894" width="10.88671875" style="2" bestFit="1" customWidth="1"/>
    <col min="1895" max="1895" width="11.88671875" style="2" bestFit="1" customWidth="1"/>
    <col min="1896" max="1898" width="8.6640625" style="2"/>
    <col min="1899" max="1900" width="10.88671875" style="2" bestFit="1" customWidth="1"/>
    <col min="1901" max="1901" width="8.6640625" style="2"/>
    <col min="1902" max="1902" width="10.88671875" style="2" bestFit="1" customWidth="1"/>
    <col min="1903" max="1904" width="8.6640625" style="2"/>
    <col min="1905" max="1905" width="10.88671875" style="2" bestFit="1" customWidth="1"/>
    <col min="1906" max="2048" width="8.6640625" style="2"/>
    <col min="2049" max="2049" width="21.5546875" style="2" customWidth="1"/>
    <col min="2050" max="2050" width="35" style="2" customWidth="1"/>
    <col min="2051" max="2052" width="8.44140625" style="2" customWidth="1"/>
    <col min="2053" max="2060" width="9.88671875" style="2" bestFit="1" customWidth="1"/>
    <col min="2061" max="2061" width="10.88671875" style="2" bestFit="1" customWidth="1"/>
    <col min="2062" max="2062" width="8.44140625" style="2" customWidth="1"/>
    <col min="2063" max="2063" width="8.6640625" style="2"/>
    <col min="2064" max="2065" width="10.88671875" style="2" bestFit="1" customWidth="1"/>
    <col min="2066" max="2066" width="9" style="2" customWidth="1"/>
    <col min="2067" max="2067" width="8.6640625" style="2"/>
    <col min="2068" max="2068" width="8.44140625" style="2" customWidth="1"/>
    <col min="2069" max="2069" width="9.109375" style="2" customWidth="1"/>
    <col min="2070" max="2070" width="9" style="2" customWidth="1"/>
    <col min="2071" max="2071" width="7.5546875" style="2" customWidth="1"/>
    <col min="2072" max="2072" width="8" style="2" customWidth="1"/>
    <col min="2073" max="2073" width="7.88671875" style="2" customWidth="1"/>
    <col min="2074" max="2074" width="7.5546875" style="2" customWidth="1"/>
    <col min="2075" max="2075" width="8.5546875" style="2" customWidth="1"/>
    <col min="2076" max="2076" width="8.44140625" style="2" customWidth="1"/>
    <col min="2077" max="2078" width="7.88671875" style="2" customWidth="1"/>
    <col min="2079" max="2079" width="8.109375" style="2" customWidth="1"/>
    <col min="2080" max="2080" width="9" style="2" customWidth="1"/>
    <col min="2081" max="2083" width="9.88671875" style="2" bestFit="1" customWidth="1"/>
    <col min="2084" max="2084" width="9.88671875" style="2" customWidth="1"/>
    <col min="2085" max="2085" width="9.44140625" style="2" customWidth="1"/>
    <col min="2086" max="2086" width="9.5546875" style="2" customWidth="1"/>
    <col min="2087" max="2088" width="11.5546875" style="2" bestFit="1" customWidth="1"/>
    <col min="2089" max="2090" width="9.88671875" style="2" bestFit="1" customWidth="1"/>
    <col min="2091" max="2092" width="10.5546875" style="2" bestFit="1" customWidth="1"/>
    <col min="2093" max="2093" width="10.5546875" style="2" customWidth="1"/>
    <col min="2094" max="2094" width="10.5546875" style="2" bestFit="1" customWidth="1"/>
    <col min="2095" max="2095" width="9.88671875" style="2" bestFit="1" customWidth="1"/>
    <col min="2096" max="2096" width="10.5546875" style="2" bestFit="1" customWidth="1"/>
    <col min="2097" max="2097" width="10.88671875" style="2" bestFit="1" customWidth="1"/>
    <col min="2098" max="2098" width="9.6640625" style="2" customWidth="1"/>
    <col min="2099" max="2099" width="9.88671875" style="2" bestFit="1" customWidth="1"/>
    <col min="2100" max="2104" width="9.6640625" style="2" customWidth="1"/>
    <col min="2105" max="2105" width="10.88671875" style="2" bestFit="1" customWidth="1"/>
    <col min="2106" max="2113" width="9.6640625" style="2" customWidth="1"/>
    <col min="2114" max="2115" width="9.88671875" style="2" bestFit="1" customWidth="1"/>
    <col min="2116" max="2116" width="10.88671875" style="2" bestFit="1" customWidth="1"/>
    <col min="2117" max="2117" width="9.88671875" style="2" bestFit="1" customWidth="1"/>
    <col min="2118" max="2118" width="10.88671875" style="2" bestFit="1" customWidth="1"/>
    <col min="2119" max="2120" width="9.88671875" style="2" bestFit="1" customWidth="1"/>
    <col min="2121" max="2124" width="8.6640625" style="2"/>
    <col min="2125" max="2125" width="10.88671875" style="2" bestFit="1" customWidth="1"/>
    <col min="2126" max="2126" width="8.6640625" style="2"/>
    <col min="2127" max="2127" width="13.109375" style="2" bestFit="1" customWidth="1"/>
    <col min="2128" max="2128" width="9.88671875" style="2" bestFit="1" customWidth="1"/>
    <col min="2129" max="2130" width="10.88671875" style="2" bestFit="1" customWidth="1"/>
    <col min="2131" max="2131" width="9.88671875" style="2" bestFit="1" customWidth="1"/>
    <col min="2132" max="2132" width="10.33203125" style="2" bestFit="1" customWidth="1"/>
    <col min="2133" max="2133" width="8.6640625" style="2"/>
    <col min="2134" max="2134" width="10.88671875" style="2" bestFit="1" customWidth="1"/>
    <col min="2135" max="2136" width="11.5546875" style="2" bestFit="1" customWidth="1"/>
    <col min="2137" max="2140" width="10.88671875" style="2" bestFit="1" customWidth="1"/>
    <col min="2141" max="2141" width="12.6640625" style="2" bestFit="1" customWidth="1"/>
    <col min="2142" max="2142" width="10.5546875" style="2" bestFit="1" customWidth="1"/>
    <col min="2143" max="2143" width="9.88671875" style="2" bestFit="1" customWidth="1"/>
    <col min="2144" max="2144" width="10.88671875" style="2" customWidth="1"/>
    <col min="2145" max="2146" width="9.88671875" style="2" bestFit="1" customWidth="1"/>
    <col min="2147" max="2147" width="10.88671875" style="2" bestFit="1" customWidth="1"/>
    <col min="2148" max="2149" width="8.6640625" style="2"/>
    <col min="2150" max="2150" width="10.88671875" style="2" bestFit="1" customWidth="1"/>
    <col min="2151" max="2151" width="11.88671875" style="2" bestFit="1" customWidth="1"/>
    <col min="2152" max="2154" width="8.6640625" style="2"/>
    <col min="2155" max="2156" width="10.88671875" style="2" bestFit="1" customWidth="1"/>
    <col min="2157" max="2157" width="8.6640625" style="2"/>
    <col min="2158" max="2158" width="10.88671875" style="2" bestFit="1" customWidth="1"/>
    <col min="2159" max="2160" width="8.6640625" style="2"/>
    <col min="2161" max="2161" width="10.88671875" style="2" bestFit="1" customWidth="1"/>
    <col min="2162" max="2304" width="8.6640625" style="2"/>
    <col min="2305" max="2305" width="21.5546875" style="2" customWidth="1"/>
    <col min="2306" max="2306" width="35" style="2" customWidth="1"/>
    <col min="2307" max="2308" width="8.44140625" style="2" customWidth="1"/>
    <col min="2309" max="2316" width="9.88671875" style="2" bestFit="1" customWidth="1"/>
    <col min="2317" max="2317" width="10.88671875" style="2" bestFit="1" customWidth="1"/>
    <col min="2318" max="2318" width="8.44140625" style="2" customWidth="1"/>
    <col min="2319" max="2319" width="8.6640625" style="2"/>
    <col min="2320" max="2321" width="10.88671875" style="2" bestFit="1" customWidth="1"/>
    <col min="2322" max="2322" width="9" style="2" customWidth="1"/>
    <col min="2323" max="2323" width="8.6640625" style="2"/>
    <col min="2324" max="2324" width="8.44140625" style="2" customWidth="1"/>
    <col min="2325" max="2325" width="9.109375" style="2" customWidth="1"/>
    <col min="2326" max="2326" width="9" style="2" customWidth="1"/>
    <col min="2327" max="2327" width="7.5546875" style="2" customWidth="1"/>
    <col min="2328" max="2328" width="8" style="2" customWidth="1"/>
    <col min="2329" max="2329" width="7.88671875" style="2" customWidth="1"/>
    <col min="2330" max="2330" width="7.5546875" style="2" customWidth="1"/>
    <col min="2331" max="2331" width="8.5546875" style="2" customWidth="1"/>
    <col min="2332" max="2332" width="8.44140625" style="2" customWidth="1"/>
    <col min="2333" max="2334" width="7.88671875" style="2" customWidth="1"/>
    <col min="2335" max="2335" width="8.109375" style="2" customWidth="1"/>
    <col min="2336" max="2336" width="9" style="2" customWidth="1"/>
    <col min="2337" max="2339" width="9.88671875" style="2" bestFit="1" customWidth="1"/>
    <col min="2340" max="2340" width="9.88671875" style="2" customWidth="1"/>
    <col min="2341" max="2341" width="9.44140625" style="2" customWidth="1"/>
    <col min="2342" max="2342" width="9.5546875" style="2" customWidth="1"/>
    <col min="2343" max="2344" width="11.5546875" style="2" bestFit="1" customWidth="1"/>
    <col min="2345" max="2346" width="9.88671875" style="2" bestFit="1" customWidth="1"/>
    <col min="2347" max="2348" width="10.5546875" style="2" bestFit="1" customWidth="1"/>
    <col min="2349" max="2349" width="10.5546875" style="2" customWidth="1"/>
    <col min="2350" max="2350" width="10.5546875" style="2" bestFit="1" customWidth="1"/>
    <col min="2351" max="2351" width="9.88671875" style="2" bestFit="1" customWidth="1"/>
    <col min="2352" max="2352" width="10.5546875" style="2" bestFit="1" customWidth="1"/>
    <col min="2353" max="2353" width="10.88671875" style="2" bestFit="1" customWidth="1"/>
    <col min="2354" max="2354" width="9.6640625" style="2" customWidth="1"/>
    <col min="2355" max="2355" width="9.88671875" style="2" bestFit="1" customWidth="1"/>
    <col min="2356" max="2360" width="9.6640625" style="2" customWidth="1"/>
    <col min="2361" max="2361" width="10.88671875" style="2" bestFit="1" customWidth="1"/>
    <col min="2362" max="2369" width="9.6640625" style="2" customWidth="1"/>
    <col min="2370" max="2371" width="9.88671875" style="2" bestFit="1" customWidth="1"/>
    <col min="2372" max="2372" width="10.88671875" style="2" bestFit="1" customWidth="1"/>
    <col min="2373" max="2373" width="9.88671875" style="2" bestFit="1" customWidth="1"/>
    <col min="2374" max="2374" width="10.88671875" style="2" bestFit="1" customWidth="1"/>
    <col min="2375" max="2376" width="9.88671875" style="2" bestFit="1" customWidth="1"/>
    <col min="2377" max="2380" width="8.6640625" style="2"/>
    <col min="2381" max="2381" width="10.88671875" style="2" bestFit="1" customWidth="1"/>
    <col min="2382" max="2382" width="8.6640625" style="2"/>
    <col min="2383" max="2383" width="13.109375" style="2" bestFit="1" customWidth="1"/>
    <col min="2384" max="2384" width="9.88671875" style="2" bestFit="1" customWidth="1"/>
    <col min="2385" max="2386" width="10.88671875" style="2" bestFit="1" customWidth="1"/>
    <col min="2387" max="2387" width="9.88671875" style="2" bestFit="1" customWidth="1"/>
    <col min="2388" max="2388" width="10.33203125" style="2" bestFit="1" customWidth="1"/>
    <col min="2389" max="2389" width="8.6640625" style="2"/>
    <col min="2390" max="2390" width="10.88671875" style="2" bestFit="1" customWidth="1"/>
    <col min="2391" max="2392" width="11.5546875" style="2" bestFit="1" customWidth="1"/>
    <col min="2393" max="2396" width="10.88671875" style="2" bestFit="1" customWidth="1"/>
    <col min="2397" max="2397" width="12.6640625" style="2" bestFit="1" customWidth="1"/>
    <col min="2398" max="2398" width="10.5546875" style="2" bestFit="1" customWidth="1"/>
    <col min="2399" max="2399" width="9.88671875" style="2" bestFit="1" customWidth="1"/>
    <col min="2400" max="2400" width="10.88671875" style="2" customWidth="1"/>
    <col min="2401" max="2402" width="9.88671875" style="2" bestFit="1" customWidth="1"/>
    <col min="2403" max="2403" width="10.88671875" style="2" bestFit="1" customWidth="1"/>
    <col min="2404" max="2405" width="8.6640625" style="2"/>
    <col min="2406" max="2406" width="10.88671875" style="2" bestFit="1" customWidth="1"/>
    <col min="2407" max="2407" width="11.88671875" style="2" bestFit="1" customWidth="1"/>
    <col min="2408" max="2410" width="8.6640625" style="2"/>
    <col min="2411" max="2412" width="10.88671875" style="2" bestFit="1" customWidth="1"/>
    <col min="2413" max="2413" width="8.6640625" style="2"/>
    <col min="2414" max="2414" width="10.88671875" style="2" bestFit="1" customWidth="1"/>
    <col min="2415" max="2416" width="8.6640625" style="2"/>
    <col min="2417" max="2417" width="10.88671875" style="2" bestFit="1" customWidth="1"/>
    <col min="2418" max="2560" width="8.6640625" style="2"/>
    <col min="2561" max="2561" width="21.5546875" style="2" customWidth="1"/>
    <col min="2562" max="2562" width="35" style="2" customWidth="1"/>
    <col min="2563" max="2564" width="8.44140625" style="2" customWidth="1"/>
    <col min="2565" max="2572" width="9.88671875" style="2" bestFit="1" customWidth="1"/>
    <col min="2573" max="2573" width="10.88671875" style="2" bestFit="1" customWidth="1"/>
    <col min="2574" max="2574" width="8.44140625" style="2" customWidth="1"/>
    <col min="2575" max="2575" width="8.6640625" style="2"/>
    <col min="2576" max="2577" width="10.88671875" style="2" bestFit="1" customWidth="1"/>
    <col min="2578" max="2578" width="9" style="2" customWidth="1"/>
    <col min="2579" max="2579" width="8.6640625" style="2"/>
    <col min="2580" max="2580" width="8.44140625" style="2" customWidth="1"/>
    <col min="2581" max="2581" width="9.109375" style="2" customWidth="1"/>
    <col min="2582" max="2582" width="9" style="2" customWidth="1"/>
    <col min="2583" max="2583" width="7.5546875" style="2" customWidth="1"/>
    <col min="2584" max="2584" width="8" style="2" customWidth="1"/>
    <col min="2585" max="2585" width="7.88671875" style="2" customWidth="1"/>
    <col min="2586" max="2586" width="7.5546875" style="2" customWidth="1"/>
    <col min="2587" max="2587" width="8.5546875" style="2" customWidth="1"/>
    <col min="2588" max="2588" width="8.44140625" style="2" customWidth="1"/>
    <col min="2589" max="2590" width="7.88671875" style="2" customWidth="1"/>
    <col min="2591" max="2591" width="8.109375" style="2" customWidth="1"/>
    <col min="2592" max="2592" width="9" style="2" customWidth="1"/>
    <col min="2593" max="2595" width="9.88671875" style="2" bestFit="1" customWidth="1"/>
    <col min="2596" max="2596" width="9.88671875" style="2" customWidth="1"/>
    <col min="2597" max="2597" width="9.44140625" style="2" customWidth="1"/>
    <col min="2598" max="2598" width="9.5546875" style="2" customWidth="1"/>
    <col min="2599" max="2600" width="11.5546875" style="2" bestFit="1" customWidth="1"/>
    <col min="2601" max="2602" width="9.88671875" style="2" bestFit="1" customWidth="1"/>
    <col min="2603" max="2604" width="10.5546875" style="2" bestFit="1" customWidth="1"/>
    <col min="2605" max="2605" width="10.5546875" style="2" customWidth="1"/>
    <col min="2606" max="2606" width="10.5546875" style="2" bestFit="1" customWidth="1"/>
    <col min="2607" max="2607" width="9.88671875" style="2" bestFit="1" customWidth="1"/>
    <col min="2608" max="2608" width="10.5546875" style="2" bestFit="1" customWidth="1"/>
    <col min="2609" max="2609" width="10.88671875" style="2" bestFit="1" customWidth="1"/>
    <col min="2610" max="2610" width="9.6640625" style="2" customWidth="1"/>
    <col min="2611" max="2611" width="9.88671875" style="2" bestFit="1" customWidth="1"/>
    <col min="2612" max="2616" width="9.6640625" style="2" customWidth="1"/>
    <col min="2617" max="2617" width="10.88671875" style="2" bestFit="1" customWidth="1"/>
    <col min="2618" max="2625" width="9.6640625" style="2" customWidth="1"/>
    <col min="2626" max="2627" width="9.88671875" style="2" bestFit="1" customWidth="1"/>
    <col min="2628" max="2628" width="10.88671875" style="2" bestFit="1" customWidth="1"/>
    <col min="2629" max="2629" width="9.88671875" style="2" bestFit="1" customWidth="1"/>
    <col min="2630" max="2630" width="10.88671875" style="2" bestFit="1" customWidth="1"/>
    <col min="2631" max="2632" width="9.88671875" style="2" bestFit="1" customWidth="1"/>
    <col min="2633" max="2636" width="8.6640625" style="2"/>
    <col min="2637" max="2637" width="10.88671875" style="2" bestFit="1" customWidth="1"/>
    <col min="2638" max="2638" width="8.6640625" style="2"/>
    <col min="2639" max="2639" width="13.109375" style="2" bestFit="1" customWidth="1"/>
    <col min="2640" max="2640" width="9.88671875" style="2" bestFit="1" customWidth="1"/>
    <col min="2641" max="2642" width="10.88671875" style="2" bestFit="1" customWidth="1"/>
    <col min="2643" max="2643" width="9.88671875" style="2" bestFit="1" customWidth="1"/>
    <col min="2644" max="2644" width="10.33203125" style="2" bestFit="1" customWidth="1"/>
    <col min="2645" max="2645" width="8.6640625" style="2"/>
    <col min="2646" max="2646" width="10.88671875" style="2" bestFit="1" customWidth="1"/>
    <col min="2647" max="2648" width="11.5546875" style="2" bestFit="1" customWidth="1"/>
    <col min="2649" max="2652" width="10.88671875" style="2" bestFit="1" customWidth="1"/>
    <col min="2653" max="2653" width="12.6640625" style="2" bestFit="1" customWidth="1"/>
    <col min="2654" max="2654" width="10.5546875" style="2" bestFit="1" customWidth="1"/>
    <col min="2655" max="2655" width="9.88671875" style="2" bestFit="1" customWidth="1"/>
    <col min="2656" max="2656" width="10.88671875" style="2" customWidth="1"/>
    <col min="2657" max="2658" width="9.88671875" style="2" bestFit="1" customWidth="1"/>
    <col min="2659" max="2659" width="10.88671875" style="2" bestFit="1" customWidth="1"/>
    <col min="2660" max="2661" width="8.6640625" style="2"/>
    <col min="2662" max="2662" width="10.88671875" style="2" bestFit="1" customWidth="1"/>
    <col min="2663" max="2663" width="11.88671875" style="2" bestFit="1" customWidth="1"/>
    <col min="2664" max="2666" width="8.6640625" style="2"/>
    <col min="2667" max="2668" width="10.88671875" style="2" bestFit="1" customWidth="1"/>
    <col min="2669" max="2669" width="8.6640625" style="2"/>
    <col min="2670" max="2670" width="10.88671875" style="2" bestFit="1" customWidth="1"/>
    <col min="2671" max="2672" width="8.6640625" style="2"/>
    <col min="2673" max="2673" width="10.88671875" style="2" bestFit="1" customWidth="1"/>
    <col min="2674" max="2816" width="8.6640625" style="2"/>
    <col min="2817" max="2817" width="21.5546875" style="2" customWidth="1"/>
    <col min="2818" max="2818" width="35" style="2" customWidth="1"/>
    <col min="2819" max="2820" width="8.44140625" style="2" customWidth="1"/>
    <col min="2821" max="2828" width="9.88671875" style="2" bestFit="1" customWidth="1"/>
    <col min="2829" max="2829" width="10.88671875" style="2" bestFit="1" customWidth="1"/>
    <col min="2830" max="2830" width="8.44140625" style="2" customWidth="1"/>
    <col min="2831" max="2831" width="8.6640625" style="2"/>
    <col min="2832" max="2833" width="10.88671875" style="2" bestFit="1" customWidth="1"/>
    <col min="2834" max="2834" width="9" style="2" customWidth="1"/>
    <col min="2835" max="2835" width="8.6640625" style="2"/>
    <col min="2836" max="2836" width="8.44140625" style="2" customWidth="1"/>
    <col min="2837" max="2837" width="9.109375" style="2" customWidth="1"/>
    <col min="2838" max="2838" width="9" style="2" customWidth="1"/>
    <col min="2839" max="2839" width="7.5546875" style="2" customWidth="1"/>
    <col min="2840" max="2840" width="8" style="2" customWidth="1"/>
    <col min="2841" max="2841" width="7.88671875" style="2" customWidth="1"/>
    <col min="2842" max="2842" width="7.5546875" style="2" customWidth="1"/>
    <col min="2843" max="2843" width="8.5546875" style="2" customWidth="1"/>
    <col min="2844" max="2844" width="8.44140625" style="2" customWidth="1"/>
    <col min="2845" max="2846" width="7.88671875" style="2" customWidth="1"/>
    <col min="2847" max="2847" width="8.109375" style="2" customWidth="1"/>
    <col min="2848" max="2848" width="9" style="2" customWidth="1"/>
    <col min="2849" max="2851" width="9.88671875" style="2" bestFit="1" customWidth="1"/>
    <col min="2852" max="2852" width="9.88671875" style="2" customWidth="1"/>
    <col min="2853" max="2853" width="9.44140625" style="2" customWidth="1"/>
    <col min="2854" max="2854" width="9.5546875" style="2" customWidth="1"/>
    <col min="2855" max="2856" width="11.5546875" style="2" bestFit="1" customWidth="1"/>
    <col min="2857" max="2858" width="9.88671875" style="2" bestFit="1" customWidth="1"/>
    <col min="2859" max="2860" width="10.5546875" style="2" bestFit="1" customWidth="1"/>
    <col min="2861" max="2861" width="10.5546875" style="2" customWidth="1"/>
    <col min="2862" max="2862" width="10.5546875" style="2" bestFit="1" customWidth="1"/>
    <col min="2863" max="2863" width="9.88671875" style="2" bestFit="1" customWidth="1"/>
    <col min="2864" max="2864" width="10.5546875" style="2" bestFit="1" customWidth="1"/>
    <col min="2865" max="2865" width="10.88671875" style="2" bestFit="1" customWidth="1"/>
    <col min="2866" max="2866" width="9.6640625" style="2" customWidth="1"/>
    <col min="2867" max="2867" width="9.88671875" style="2" bestFit="1" customWidth="1"/>
    <col min="2868" max="2872" width="9.6640625" style="2" customWidth="1"/>
    <col min="2873" max="2873" width="10.88671875" style="2" bestFit="1" customWidth="1"/>
    <col min="2874" max="2881" width="9.6640625" style="2" customWidth="1"/>
    <col min="2882" max="2883" width="9.88671875" style="2" bestFit="1" customWidth="1"/>
    <col min="2884" max="2884" width="10.88671875" style="2" bestFit="1" customWidth="1"/>
    <col min="2885" max="2885" width="9.88671875" style="2" bestFit="1" customWidth="1"/>
    <col min="2886" max="2886" width="10.88671875" style="2" bestFit="1" customWidth="1"/>
    <col min="2887" max="2888" width="9.88671875" style="2" bestFit="1" customWidth="1"/>
    <col min="2889" max="2892" width="8.6640625" style="2"/>
    <col min="2893" max="2893" width="10.88671875" style="2" bestFit="1" customWidth="1"/>
    <col min="2894" max="2894" width="8.6640625" style="2"/>
    <col min="2895" max="2895" width="13.109375" style="2" bestFit="1" customWidth="1"/>
    <col min="2896" max="2896" width="9.88671875" style="2" bestFit="1" customWidth="1"/>
    <col min="2897" max="2898" width="10.88671875" style="2" bestFit="1" customWidth="1"/>
    <col min="2899" max="2899" width="9.88671875" style="2" bestFit="1" customWidth="1"/>
    <col min="2900" max="2900" width="10.33203125" style="2" bestFit="1" customWidth="1"/>
    <col min="2901" max="2901" width="8.6640625" style="2"/>
    <col min="2902" max="2902" width="10.88671875" style="2" bestFit="1" customWidth="1"/>
    <col min="2903" max="2904" width="11.5546875" style="2" bestFit="1" customWidth="1"/>
    <col min="2905" max="2908" width="10.88671875" style="2" bestFit="1" customWidth="1"/>
    <col min="2909" max="2909" width="12.6640625" style="2" bestFit="1" customWidth="1"/>
    <col min="2910" max="2910" width="10.5546875" style="2" bestFit="1" customWidth="1"/>
    <col min="2911" max="2911" width="9.88671875" style="2" bestFit="1" customWidth="1"/>
    <col min="2912" max="2912" width="10.88671875" style="2" customWidth="1"/>
    <col min="2913" max="2914" width="9.88671875" style="2" bestFit="1" customWidth="1"/>
    <col min="2915" max="2915" width="10.88671875" style="2" bestFit="1" customWidth="1"/>
    <col min="2916" max="2917" width="8.6640625" style="2"/>
    <col min="2918" max="2918" width="10.88671875" style="2" bestFit="1" customWidth="1"/>
    <col min="2919" max="2919" width="11.88671875" style="2" bestFit="1" customWidth="1"/>
    <col min="2920" max="2922" width="8.6640625" style="2"/>
    <col min="2923" max="2924" width="10.88671875" style="2" bestFit="1" customWidth="1"/>
    <col min="2925" max="2925" width="8.6640625" style="2"/>
    <col min="2926" max="2926" width="10.88671875" style="2" bestFit="1" customWidth="1"/>
    <col min="2927" max="2928" width="8.6640625" style="2"/>
    <col min="2929" max="2929" width="10.88671875" style="2" bestFit="1" customWidth="1"/>
    <col min="2930" max="3072" width="8.6640625" style="2"/>
    <col min="3073" max="3073" width="21.5546875" style="2" customWidth="1"/>
    <col min="3074" max="3074" width="35" style="2" customWidth="1"/>
    <col min="3075" max="3076" width="8.44140625" style="2" customWidth="1"/>
    <col min="3077" max="3084" width="9.88671875" style="2" bestFit="1" customWidth="1"/>
    <col min="3085" max="3085" width="10.88671875" style="2" bestFit="1" customWidth="1"/>
    <col min="3086" max="3086" width="8.44140625" style="2" customWidth="1"/>
    <col min="3087" max="3087" width="8.6640625" style="2"/>
    <col min="3088" max="3089" width="10.88671875" style="2" bestFit="1" customWidth="1"/>
    <col min="3090" max="3090" width="9" style="2" customWidth="1"/>
    <col min="3091" max="3091" width="8.6640625" style="2"/>
    <col min="3092" max="3092" width="8.44140625" style="2" customWidth="1"/>
    <col min="3093" max="3093" width="9.109375" style="2" customWidth="1"/>
    <col min="3094" max="3094" width="9" style="2" customWidth="1"/>
    <col min="3095" max="3095" width="7.5546875" style="2" customWidth="1"/>
    <col min="3096" max="3096" width="8" style="2" customWidth="1"/>
    <col min="3097" max="3097" width="7.88671875" style="2" customWidth="1"/>
    <col min="3098" max="3098" width="7.5546875" style="2" customWidth="1"/>
    <col min="3099" max="3099" width="8.5546875" style="2" customWidth="1"/>
    <col min="3100" max="3100" width="8.44140625" style="2" customWidth="1"/>
    <col min="3101" max="3102" width="7.88671875" style="2" customWidth="1"/>
    <col min="3103" max="3103" width="8.109375" style="2" customWidth="1"/>
    <col min="3104" max="3104" width="9" style="2" customWidth="1"/>
    <col min="3105" max="3107" width="9.88671875" style="2" bestFit="1" customWidth="1"/>
    <col min="3108" max="3108" width="9.88671875" style="2" customWidth="1"/>
    <col min="3109" max="3109" width="9.44140625" style="2" customWidth="1"/>
    <col min="3110" max="3110" width="9.5546875" style="2" customWidth="1"/>
    <col min="3111" max="3112" width="11.5546875" style="2" bestFit="1" customWidth="1"/>
    <col min="3113" max="3114" width="9.88671875" style="2" bestFit="1" customWidth="1"/>
    <col min="3115" max="3116" width="10.5546875" style="2" bestFit="1" customWidth="1"/>
    <col min="3117" max="3117" width="10.5546875" style="2" customWidth="1"/>
    <col min="3118" max="3118" width="10.5546875" style="2" bestFit="1" customWidth="1"/>
    <col min="3119" max="3119" width="9.88671875" style="2" bestFit="1" customWidth="1"/>
    <col min="3120" max="3120" width="10.5546875" style="2" bestFit="1" customWidth="1"/>
    <col min="3121" max="3121" width="10.88671875" style="2" bestFit="1" customWidth="1"/>
    <col min="3122" max="3122" width="9.6640625" style="2" customWidth="1"/>
    <col min="3123" max="3123" width="9.88671875" style="2" bestFit="1" customWidth="1"/>
    <col min="3124" max="3128" width="9.6640625" style="2" customWidth="1"/>
    <col min="3129" max="3129" width="10.88671875" style="2" bestFit="1" customWidth="1"/>
    <col min="3130" max="3137" width="9.6640625" style="2" customWidth="1"/>
    <col min="3138" max="3139" width="9.88671875" style="2" bestFit="1" customWidth="1"/>
    <col min="3140" max="3140" width="10.88671875" style="2" bestFit="1" customWidth="1"/>
    <col min="3141" max="3141" width="9.88671875" style="2" bestFit="1" customWidth="1"/>
    <col min="3142" max="3142" width="10.88671875" style="2" bestFit="1" customWidth="1"/>
    <col min="3143" max="3144" width="9.88671875" style="2" bestFit="1" customWidth="1"/>
    <col min="3145" max="3148" width="8.6640625" style="2"/>
    <col min="3149" max="3149" width="10.88671875" style="2" bestFit="1" customWidth="1"/>
    <col min="3150" max="3150" width="8.6640625" style="2"/>
    <col min="3151" max="3151" width="13.109375" style="2" bestFit="1" customWidth="1"/>
    <col min="3152" max="3152" width="9.88671875" style="2" bestFit="1" customWidth="1"/>
    <col min="3153" max="3154" width="10.88671875" style="2" bestFit="1" customWidth="1"/>
    <col min="3155" max="3155" width="9.88671875" style="2" bestFit="1" customWidth="1"/>
    <col min="3156" max="3156" width="10.33203125" style="2" bestFit="1" customWidth="1"/>
    <col min="3157" max="3157" width="8.6640625" style="2"/>
    <col min="3158" max="3158" width="10.88671875" style="2" bestFit="1" customWidth="1"/>
    <col min="3159" max="3160" width="11.5546875" style="2" bestFit="1" customWidth="1"/>
    <col min="3161" max="3164" width="10.88671875" style="2" bestFit="1" customWidth="1"/>
    <col min="3165" max="3165" width="12.6640625" style="2" bestFit="1" customWidth="1"/>
    <col min="3166" max="3166" width="10.5546875" style="2" bestFit="1" customWidth="1"/>
    <col min="3167" max="3167" width="9.88671875" style="2" bestFit="1" customWidth="1"/>
    <col min="3168" max="3168" width="10.88671875" style="2" customWidth="1"/>
    <col min="3169" max="3170" width="9.88671875" style="2" bestFit="1" customWidth="1"/>
    <col min="3171" max="3171" width="10.88671875" style="2" bestFit="1" customWidth="1"/>
    <col min="3172" max="3173" width="8.6640625" style="2"/>
    <col min="3174" max="3174" width="10.88671875" style="2" bestFit="1" customWidth="1"/>
    <col min="3175" max="3175" width="11.88671875" style="2" bestFit="1" customWidth="1"/>
    <col min="3176" max="3178" width="8.6640625" style="2"/>
    <col min="3179" max="3180" width="10.88671875" style="2" bestFit="1" customWidth="1"/>
    <col min="3181" max="3181" width="8.6640625" style="2"/>
    <col min="3182" max="3182" width="10.88671875" style="2" bestFit="1" customWidth="1"/>
    <col min="3183" max="3184" width="8.6640625" style="2"/>
    <col min="3185" max="3185" width="10.88671875" style="2" bestFit="1" customWidth="1"/>
    <col min="3186" max="3328" width="8.6640625" style="2"/>
    <col min="3329" max="3329" width="21.5546875" style="2" customWidth="1"/>
    <col min="3330" max="3330" width="35" style="2" customWidth="1"/>
    <col min="3331" max="3332" width="8.44140625" style="2" customWidth="1"/>
    <col min="3333" max="3340" width="9.88671875" style="2" bestFit="1" customWidth="1"/>
    <col min="3341" max="3341" width="10.88671875" style="2" bestFit="1" customWidth="1"/>
    <col min="3342" max="3342" width="8.44140625" style="2" customWidth="1"/>
    <col min="3343" max="3343" width="8.6640625" style="2"/>
    <col min="3344" max="3345" width="10.88671875" style="2" bestFit="1" customWidth="1"/>
    <col min="3346" max="3346" width="9" style="2" customWidth="1"/>
    <col min="3347" max="3347" width="8.6640625" style="2"/>
    <col min="3348" max="3348" width="8.44140625" style="2" customWidth="1"/>
    <col min="3349" max="3349" width="9.109375" style="2" customWidth="1"/>
    <col min="3350" max="3350" width="9" style="2" customWidth="1"/>
    <col min="3351" max="3351" width="7.5546875" style="2" customWidth="1"/>
    <col min="3352" max="3352" width="8" style="2" customWidth="1"/>
    <col min="3353" max="3353" width="7.88671875" style="2" customWidth="1"/>
    <col min="3354" max="3354" width="7.5546875" style="2" customWidth="1"/>
    <col min="3355" max="3355" width="8.5546875" style="2" customWidth="1"/>
    <col min="3356" max="3356" width="8.44140625" style="2" customWidth="1"/>
    <col min="3357" max="3358" width="7.88671875" style="2" customWidth="1"/>
    <col min="3359" max="3359" width="8.109375" style="2" customWidth="1"/>
    <col min="3360" max="3360" width="9" style="2" customWidth="1"/>
    <col min="3361" max="3363" width="9.88671875" style="2" bestFit="1" customWidth="1"/>
    <col min="3364" max="3364" width="9.88671875" style="2" customWidth="1"/>
    <col min="3365" max="3365" width="9.44140625" style="2" customWidth="1"/>
    <col min="3366" max="3366" width="9.5546875" style="2" customWidth="1"/>
    <col min="3367" max="3368" width="11.5546875" style="2" bestFit="1" customWidth="1"/>
    <col min="3369" max="3370" width="9.88671875" style="2" bestFit="1" customWidth="1"/>
    <col min="3371" max="3372" width="10.5546875" style="2" bestFit="1" customWidth="1"/>
    <col min="3373" max="3373" width="10.5546875" style="2" customWidth="1"/>
    <col min="3374" max="3374" width="10.5546875" style="2" bestFit="1" customWidth="1"/>
    <col min="3375" max="3375" width="9.88671875" style="2" bestFit="1" customWidth="1"/>
    <col min="3376" max="3376" width="10.5546875" style="2" bestFit="1" customWidth="1"/>
    <col min="3377" max="3377" width="10.88671875" style="2" bestFit="1" customWidth="1"/>
    <col min="3378" max="3378" width="9.6640625" style="2" customWidth="1"/>
    <col min="3379" max="3379" width="9.88671875" style="2" bestFit="1" customWidth="1"/>
    <col min="3380" max="3384" width="9.6640625" style="2" customWidth="1"/>
    <col min="3385" max="3385" width="10.88671875" style="2" bestFit="1" customWidth="1"/>
    <col min="3386" max="3393" width="9.6640625" style="2" customWidth="1"/>
    <col min="3394" max="3395" width="9.88671875" style="2" bestFit="1" customWidth="1"/>
    <col min="3396" max="3396" width="10.88671875" style="2" bestFit="1" customWidth="1"/>
    <col min="3397" max="3397" width="9.88671875" style="2" bestFit="1" customWidth="1"/>
    <col min="3398" max="3398" width="10.88671875" style="2" bestFit="1" customWidth="1"/>
    <col min="3399" max="3400" width="9.88671875" style="2" bestFit="1" customWidth="1"/>
    <col min="3401" max="3404" width="8.6640625" style="2"/>
    <col min="3405" max="3405" width="10.88671875" style="2" bestFit="1" customWidth="1"/>
    <col min="3406" max="3406" width="8.6640625" style="2"/>
    <col min="3407" max="3407" width="13.109375" style="2" bestFit="1" customWidth="1"/>
    <col min="3408" max="3408" width="9.88671875" style="2" bestFit="1" customWidth="1"/>
    <col min="3409" max="3410" width="10.88671875" style="2" bestFit="1" customWidth="1"/>
    <col min="3411" max="3411" width="9.88671875" style="2" bestFit="1" customWidth="1"/>
    <col min="3412" max="3412" width="10.33203125" style="2" bestFit="1" customWidth="1"/>
    <col min="3413" max="3413" width="8.6640625" style="2"/>
    <col min="3414" max="3414" width="10.88671875" style="2" bestFit="1" customWidth="1"/>
    <col min="3415" max="3416" width="11.5546875" style="2" bestFit="1" customWidth="1"/>
    <col min="3417" max="3420" width="10.88671875" style="2" bestFit="1" customWidth="1"/>
    <col min="3421" max="3421" width="12.6640625" style="2" bestFit="1" customWidth="1"/>
    <col min="3422" max="3422" width="10.5546875" style="2" bestFit="1" customWidth="1"/>
    <col min="3423" max="3423" width="9.88671875" style="2" bestFit="1" customWidth="1"/>
    <col min="3424" max="3424" width="10.88671875" style="2" customWidth="1"/>
    <col min="3425" max="3426" width="9.88671875" style="2" bestFit="1" customWidth="1"/>
    <col min="3427" max="3427" width="10.88671875" style="2" bestFit="1" customWidth="1"/>
    <col min="3428" max="3429" width="8.6640625" style="2"/>
    <col min="3430" max="3430" width="10.88671875" style="2" bestFit="1" customWidth="1"/>
    <col min="3431" max="3431" width="11.88671875" style="2" bestFit="1" customWidth="1"/>
    <col min="3432" max="3434" width="8.6640625" style="2"/>
    <col min="3435" max="3436" width="10.88671875" style="2" bestFit="1" customWidth="1"/>
    <col min="3437" max="3437" width="8.6640625" style="2"/>
    <col min="3438" max="3438" width="10.88671875" style="2" bestFit="1" customWidth="1"/>
    <col min="3439" max="3440" width="8.6640625" style="2"/>
    <col min="3441" max="3441" width="10.88671875" style="2" bestFit="1" customWidth="1"/>
    <col min="3442" max="3584" width="8.6640625" style="2"/>
    <col min="3585" max="3585" width="21.5546875" style="2" customWidth="1"/>
    <col min="3586" max="3586" width="35" style="2" customWidth="1"/>
    <col min="3587" max="3588" width="8.44140625" style="2" customWidth="1"/>
    <col min="3589" max="3596" width="9.88671875" style="2" bestFit="1" customWidth="1"/>
    <col min="3597" max="3597" width="10.88671875" style="2" bestFit="1" customWidth="1"/>
    <col min="3598" max="3598" width="8.44140625" style="2" customWidth="1"/>
    <col min="3599" max="3599" width="8.6640625" style="2"/>
    <col min="3600" max="3601" width="10.88671875" style="2" bestFit="1" customWidth="1"/>
    <col min="3602" max="3602" width="9" style="2" customWidth="1"/>
    <col min="3603" max="3603" width="8.6640625" style="2"/>
    <col min="3604" max="3604" width="8.44140625" style="2" customWidth="1"/>
    <col min="3605" max="3605" width="9.109375" style="2" customWidth="1"/>
    <col min="3606" max="3606" width="9" style="2" customWidth="1"/>
    <col min="3607" max="3607" width="7.5546875" style="2" customWidth="1"/>
    <col min="3608" max="3608" width="8" style="2" customWidth="1"/>
    <col min="3609" max="3609" width="7.88671875" style="2" customWidth="1"/>
    <col min="3610" max="3610" width="7.5546875" style="2" customWidth="1"/>
    <col min="3611" max="3611" width="8.5546875" style="2" customWidth="1"/>
    <col min="3612" max="3612" width="8.44140625" style="2" customWidth="1"/>
    <col min="3613" max="3614" width="7.88671875" style="2" customWidth="1"/>
    <col min="3615" max="3615" width="8.109375" style="2" customWidth="1"/>
    <col min="3616" max="3616" width="9" style="2" customWidth="1"/>
    <col min="3617" max="3619" width="9.88671875" style="2" bestFit="1" customWidth="1"/>
    <col min="3620" max="3620" width="9.88671875" style="2" customWidth="1"/>
    <col min="3621" max="3621" width="9.44140625" style="2" customWidth="1"/>
    <col min="3622" max="3622" width="9.5546875" style="2" customWidth="1"/>
    <col min="3623" max="3624" width="11.5546875" style="2" bestFit="1" customWidth="1"/>
    <col min="3625" max="3626" width="9.88671875" style="2" bestFit="1" customWidth="1"/>
    <col min="3627" max="3628" width="10.5546875" style="2" bestFit="1" customWidth="1"/>
    <col min="3629" max="3629" width="10.5546875" style="2" customWidth="1"/>
    <col min="3630" max="3630" width="10.5546875" style="2" bestFit="1" customWidth="1"/>
    <col min="3631" max="3631" width="9.88671875" style="2" bestFit="1" customWidth="1"/>
    <col min="3632" max="3632" width="10.5546875" style="2" bestFit="1" customWidth="1"/>
    <col min="3633" max="3633" width="10.88671875" style="2" bestFit="1" customWidth="1"/>
    <col min="3634" max="3634" width="9.6640625" style="2" customWidth="1"/>
    <col min="3635" max="3635" width="9.88671875" style="2" bestFit="1" customWidth="1"/>
    <col min="3636" max="3640" width="9.6640625" style="2" customWidth="1"/>
    <col min="3641" max="3641" width="10.88671875" style="2" bestFit="1" customWidth="1"/>
    <col min="3642" max="3649" width="9.6640625" style="2" customWidth="1"/>
    <col min="3650" max="3651" width="9.88671875" style="2" bestFit="1" customWidth="1"/>
    <col min="3652" max="3652" width="10.88671875" style="2" bestFit="1" customWidth="1"/>
    <col min="3653" max="3653" width="9.88671875" style="2" bestFit="1" customWidth="1"/>
    <col min="3654" max="3654" width="10.88671875" style="2" bestFit="1" customWidth="1"/>
    <col min="3655" max="3656" width="9.88671875" style="2" bestFit="1" customWidth="1"/>
    <col min="3657" max="3660" width="8.6640625" style="2"/>
    <col min="3661" max="3661" width="10.88671875" style="2" bestFit="1" customWidth="1"/>
    <col min="3662" max="3662" width="8.6640625" style="2"/>
    <col min="3663" max="3663" width="13.109375" style="2" bestFit="1" customWidth="1"/>
    <col min="3664" max="3664" width="9.88671875" style="2" bestFit="1" customWidth="1"/>
    <col min="3665" max="3666" width="10.88671875" style="2" bestFit="1" customWidth="1"/>
    <col min="3667" max="3667" width="9.88671875" style="2" bestFit="1" customWidth="1"/>
    <col min="3668" max="3668" width="10.33203125" style="2" bestFit="1" customWidth="1"/>
    <col min="3669" max="3669" width="8.6640625" style="2"/>
    <col min="3670" max="3670" width="10.88671875" style="2" bestFit="1" customWidth="1"/>
    <col min="3671" max="3672" width="11.5546875" style="2" bestFit="1" customWidth="1"/>
    <col min="3673" max="3676" width="10.88671875" style="2" bestFit="1" customWidth="1"/>
    <col min="3677" max="3677" width="12.6640625" style="2" bestFit="1" customWidth="1"/>
    <col min="3678" max="3678" width="10.5546875" style="2" bestFit="1" customWidth="1"/>
    <col min="3679" max="3679" width="9.88671875" style="2" bestFit="1" customWidth="1"/>
    <col min="3680" max="3680" width="10.88671875" style="2" customWidth="1"/>
    <col min="3681" max="3682" width="9.88671875" style="2" bestFit="1" customWidth="1"/>
    <col min="3683" max="3683" width="10.88671875" style="2" bestFit="1" customWidth="1"/>
    <col min="3684" max="3685" width="8.6640625" style="2"/>
    <col min="3686" max="3686" width="10.88671875" style="2" bestFit="1" customWidth="1"/>
    <col min="3687" max="3687" width="11.88671875" style="2" bestFit="1" customWidth="1"/>
    <col min="3688" max="3690" width="8.6640625" style="2"/>
    <col min="3691" max="3692" width="10.88671875" style="2" bestFit="1" customWidth="1"/>
    <col min="3693" max="3693" width="8.6640625" style="2"/>
    <col min="3694" max="3694" width="10.88671875" style="2" bestFit="1" customWidth="1"/>
    <col min="3695" max="3696" width="8.6640625" style="2"/>
    <col min="3697" max="3697" width="10.88671875" style="2" bestFit="1" customWidth="1"/>
    <col min="3698" max="3840" width="8.6640625" style="2"/>
    <col min="3841" max="3841" width="21.5546875" style="2" customWidth="1"/>
    <col min="3842" max="3842" width="35" style="2" customWidth="1"/>
    <col min="3843" max="3844" width="8.44140625" style="2" customWidth="1"/>
    <col min="3845" max="3852" width="9.88671875" style="2" bestFit="1" customWidth="1"/>
    <col min="3853" max="3853" width="10.88671875" style="2" bestFit="1" customWidth="1"/>
    <col min="3854" max="3854" width="8.44140625" style="2" customWidth="1"/>
    <col min="3855" max="3855" width="8.6640625" style="2"/>
    <col min="3856" max="3857" width="10.88671875" style="2" bestFit="1" customWidth="1"/>
    <col min="3858" max="3858" width="9" style="2" customWidth="1"/>
    <col min="3859" max="3859" width="8.6640625" style="2"/>
    <col min="3860" max="3860" width="8.44140625" style="2" customWidth="1"/>
    <col min="3861" max="3861" width="9.109375" style="2" customWidth="1"/>
    <col min="3862" max="3862" width="9" style="2" customWidth="1"/>
    <col min="3863" max="3863" width="7.5546875" style="2" customWidth="1"/>
    <col min="3864" max="3864" width="8" style="2" customWidth="1"/>
    <col min="3865" max="3865" width="7.88671875" style="2" customWidth="1"/>
    <col min="3866" max="3866" width="7.5546875" style="2" customWidth="1"/>
    <col min="3867" max="3867" width="8.5546875" style="2" customWidth="1"/>
    <col min="3868" max="3868" width="8.44140625" style="2" customWidth="1"/>
    <col min="3869" max="3870" width="7.88671875" style="2" customWidth="1"/>
    <col min="3871" max="3871" width="8.109375" style="2" customWidth="1"/>
    <col min="3872" max="3872" width="9" style="2" customWidth="1"/>
    <col min="3873" max="3875" width="9.88671875" style="2" bestFit="1" customWidth="1"/>
    <col min="3876" max="3876" width="9.88671875" style="2" customWidth="1"/>
    <col min="3877" max="3877" width="9.44140625" style="2" customWidth="1"/>
    <col min="3878" max="3878" width="9.5546875" style="2" customWidth="1"/>
    <col min="3879" max="3880" width="11.5546875" style="2" bestFit="1" customWidth="1"/>
    <col min="3881" max="3882" width="9.88671875" style="2" bestFit="1" customWidth="1"/>
    <col min="3883" max="3884" width="10.5546875" style="2" bestFit="1" customWidth="1"/>
    <col min="3885" max="3885" width="10.5546875" style="2" customWidth="1"/>
    <col min="3886" max="3886" width="10.5546875" style="2" bestFit="1" customWidth="1"/>
    <col min="3887" max="3887" width="9.88671875" style="2" bestFit="1" customWidth="1"/>
    <col min="3888" max="3888" width="10.5546875" style="2" bestFit="1" customWidth="1"/>
    <col min="3889" max="3889" width="10.88671875" style="2" bestFit="1" customWidth="1"/>
    <col min="3890" max="3890" width="9.6640625" style="2" customWidth="1"/>
    <col min="3891" max="3891" width="9.88671875" style="2" bestFit="1" customWidth="1"/>
    <col min="3892" max="3896" width="9.6640625" style="2" customWidth="1"/>
    <col min="3897" max="3897" width="10.88671875" style="2" bestFit="1" customWidth="1"/>
    <col min="3898" max="3905" width="9.6640625" style="2" customWidth="1"/>
    <col min="3906" max="3907" width="9.88671875" style="2" bestFit="1" customWidth="1"/>
    <col min="3908" max="3908" width="10.88671875" style="2" bestFit="1" customWidth="1"/>
    <col min="3909" max="3909" width="9.88671875" style="2" bestFit="1" customWidth="1"/>
    <col min="3910" max="3910" width="10.88671875" style="2" bestFit="1" customWidth="1"/>
    <col min="3911" max="3912" width="9.88671875" style="2" bestFit="1" customWidth="1"/>
    <col min="3913" max="3916" width="8.6640625" style="2"/>
    <col min="3917" max="3917" width="10.88671875" style="2" bestFit="1" customWidth="1"/>
    <col min="3918" max="3918" width="8.6640625" style="2"/>
    <col min="3919" max="3919" width="13.109375" style="2" bestFit="1" customWidth="1"/>
    <col min="3920" max="3920" width="9.88671875" style="2" bestFit="1" customWidth="1"/>
    <col min="3921" max="3922" width="10.88671875" style="2" bestFit="1" customWidth="1"/>
    <col min="3923" max="3923" width="9.88671875" style="2" bestFit="1" customWidth="1"/>
    <col min="3924" max="3924" width="10.33203125" style="2" bestFit="1" customWidth="1"/>
    <col min="3925" max="3925" width="8.6640625" style="2"/>
    <col min="3926" max="3926" width="10.88671875" style="2" bestFit="1" customWidth="1"/>
    <col min="3927" max="3928" width="11.5546875" style="2" bestFit="1" customWidth="1"/>
    <col min="3929" max="3932" width="10.88671875" style="2" bestFit="1" customWidth="1"/>
    <col min="3933" max="3933" width="12.6640625" style="2" bestFit="1" customWidth="1"/>
    <col min="3934" max="3934" width="10.5546875" style="2" bestFit="1" customWidth="1"/>
    <col min="3935" max="3935" width="9.88671875" style="2" bestFit="1" customWidth="1"/>
    <col min="3936" max="3936" width="10.88671875" style="2" customWidth="1"/>
    <col min="3937" max="3938" width="9.88671875" style="2" bestFit="1" customWidth="1"/>
    <col min="3939" max="3939" width="10.88671875" style="2" bestFit="1" customWidth="1"/>
    <col min="3940" max="3941" width="8.6640625" style="2"/>
    <col min="3942" max="3942" width="10.88671875" style="2" bestFit="1" customWidth="1"/>
    <col min="3943" max="3943" width="11.88671875" style="2" bestFit="1" customWidth="1"/>
    <col min="3944" max="3946" width="8.6640625" style="2"/>
    <col min="3947" max="3948" width="10.88671875" style="2" bestFit="1" customWidth="1"/>
    <col min="3949" max="3949" width="8.6640625" style="2"/>
    <col min="3950" max="3950" width="10.88671875" style="2" bestFit="1" customWidth="1"/>
    <col min="3951" max="3952" width="8.6640625" style="2"/>
    <col min="3953" max="3953" width="10.88671875" style="2" bestFit="1" customWidth="1"/>
    <col min="3954" max="4096" width="8.6640625" style="2"/>
    <col min="4097" max="4097" width="21.5546875" style="2" customWidth="1"/>
    <col min="4098" max="4098" width="35" style="2" customWidth="1"/>
    <col min="4099" max="4100" width="8.44140625" style="2" customWidth="1"/>
    <col min="4101" max="4108" width="9.88671875" style="2" bestFit="1" customWidth="1"/>
    <col min="4109" max="4109" width="10.88671875" style="2" bestFit="1" customWidth="1"/>
    <col min="4110" max="4110" width="8.44140625" style="2" customWidth="1"/>
    <col min="4111" max="4111" width="8.6640625" style="2"/>
    <col min="4112" max="4113" width="10.88671875" style="2" bestFit="1" customWidth="1"/>
    <col min="4114" max="4114" width="9" style="2" customWidth="1"/>
    <col min="4115" max="4115" width="8.6640625" style="2"/>
    <col min="4116" max="4116" width="8.44140625" style="2" customWidth="1"/>
    <col min="4117" max="4117" width="9.109375" style="2" customWidth="1"/>
    <col min="4118" max="4118" width="9" style="2" customWidth="1"/>
    <col min="4119" max="4119" width="7.5546875" style="2" customWidth="1"/>
    <col min="4120" max="4120" width="8" style="2" customWidth="1"/>
    <col min="4121" max="4121" width="7.88671875" style="2" customWidth="1"/>
    <col min="4122" max="4122" width="7.5546875" style="2" customWidth="1"/>
    <col min="4123" max="4123" width="8.5546875" style="2" customWidth="1"/>
    <col min="4124" max="4124" width="8.44140625" style="2" customWidth="1"/>
    <col min="4125" max="4126" width="7.88671875" style="2" customWidth="1"/>
    <col min="4127" max="4127" width="8.109375" style="2" customWidth="1"/>
    <col min="4128" max="4128" width="9" style="2" customWidth="1"/>
    <col min="4129" max="4131" width="9.88671875" style="2" bestFit="1" customWidth="1"/>
    <col min="4132" max="4132" width="9.88671875" style="2" customWidth="1"/>
    <col min="4133" max="4133" width="9.44140625" style="2" customWidth="1"/>
    <col min="4134" max="4134" width="9.5546875" style="2" customWidth="1"/>
    <col min="4135" max="4136" width="11.5546875" style="2" bestFit="1" customWidth="1"/>
    <col min="4137" max="4138" width="9.88671875" style="2" bestFit="1" customWidth="1"/>
    <col min="4139" max="4140" width="10.5546875" style="2" bestFit="1" customWidth="1"/>
    <col min="4141" max="4141" width="10.5546875" style="2" customWidth="1"/>
    <col min="4142" max="4142" width="10.5546875" style="2" bestFit="1" customWidth="1"/>
    <col min="4143" max="4143" width="9.88671875" style="2" bestFit="1" customWidth="1"/>
    <col min="4144" max="4144" width="10.5546875" style="2" bestFit="1" customWidth="1"/>
    <col min="4145" max="4145" width="10.88671875" style="2" bestFit="1" customWidth="1"/>
    <col min="4146" max="4146" width="9.6640625" style="2" customWidth="1"/>
    <col min="4147" max="4147" width="9.88671875" style="2" bestFit="1" customWidth="1"/>
    <col min="4148" max="4152" width="9.6640625" style="2" customWidth="1"/>
    <col min="4153" max="4153" width="10.88671875" style="2" bestFit="1" customWidth="1"/>
    <col min="4154" max="4161" width="9.6640625" style="2" customWidth="1"/>
    <col min="4162" max="4163" width="9.88671875" style="2" bestFit="1" customWidth="1"/>
    <col min="4164" max="4164" width="10.88671875" style="2" bestFit="1" customWidth="1"/>
    <col min="4165" max="4165" width="9.88671875" style="2" bestFit="1" customWidth="1"/>
    <col min="4166" max="4166" width="10.88671875" style="2" bestFit="1" customWidth="1"/>
    <col min="4167" max="4168" width="9.88671875" style="2" bestFit="1" customWidth="1"/>
    <col min="4169" max="4172" width="8.6640625" style="2"/>
    <col min="4173" max="4173" width="10.88671875" style="2" bestFit="1" customWidth="1"/>
    <col min="4174" max="4174" width="8.6640625" style="2"/>
    <col min="4175" max="4175" width="13.109375" style="2" bestFit="1" customWidth="1"/>
    <col min="4176" max="4176" width="9.88671875" style="2" bestFit="1" customWidth="1"/>
    <col min="4177" max="4178" width="10.88671875" style="2" bestFit="1" customWidth="1"/>
    <col min="4179" max="4179" width="9.88671875" style="2" bestFit="1" customWidth="1"/>
    <col min="4180" max="4180" width="10.33203125" style="2" bestFit="1" customWidth="1"/>
    <col min="4181" max="4181" width="8.6640625" style="2"/>
    <col min="4182" max="4182" width="10.88671875" style="2" bestFit="1" customWidth="1"/>
    <col min="4183" max="4184" width="11.5546875" style="2" bestFit="1" customWidth="1"/>
    <col min="4185" max="4188" width="10.88671875" style="2" bestFit="1" customWidth="1"/>
    <col min="4189" max="4189" width="12.6640625" style="2" bestFit="1" customWidth="1"/>
    <col min="4190" max="4190" width="10.5546875" style="2" bestFit="1" customWidth="1"/>
    <col min="4191" max="4191" width="9.88671875" style="2" bestFit="1" customWidth="1"/>
    <col min="4192" max="4192" width="10.88671875" style="2" customWidth="1"/>
    <col min="4193" max="4194" width="9.88671875" style="2" bestFit="1" customWidth="1"/>
    <col min="4195" max="4195" width="10.88671875" style="2" bestFit="1" customWidth="1"/>
    <col min="4196" max="4197" width="8.6640625" style="2"/>
    <col min="4198" max="4198" width="10.88671875" style="2" bestFit="1" customWidth="1"/>
    <col min="4199" max="4199" width="11.88671875" style="2" bestFit="1" customWidth="1"/>
    <col min="4200" max="4202" width="8.6640625" style="2"/>
    <col min="4203" max="4204" width="10.88671875" style="2" bestFit="1" customWidth="1"/>
    <col min="4205" max="4205" width="8.6640625" style="2"/>
    <col min="4206" max="4206" width="10.88671875" style="2" bestFit="1" customWidth="1"/>
    <col min="4207" max="4208" width="8.6640625" style="2"/>
    <col min="4209" max="4209" width="10.88671875" style="2" bestFit="1" customWidth="1"/>
    <col min="4210" max="4352" width="8.6640625" style="2"/>
    <col min="4353" max="4353" width="21.5546875" style="2" customWidth="1"/>
    <col min="4354" max="4354" width="35" style="2" customWidth="1"/>
    <col min="4355" max="4356" width="8.44140625" style="2" customWidth="1"/>
    <col min="4357" max="4364" width="9.88671875" style="2" bestFit="1" customWidth="1"/>
    <col min="4365" max="4365" width="10.88671875" style="2" bestFit="1" customWidth="1"/>
    <col min="4366" max="4366" width="8.44140625" style="2" customWidth="1"/>
    <col min="4367" max="4367" width="8.6640625" style="2"/>
    <col min="4368" max="4369" width="10.88671875" style="2" bestFit="1" customWidth="1"/>
    <col min="4370" max="4370" width="9" style="2" customWidth="1"/>
    <col min="4371" max="4371" width="8.6640625" style="2"/>
    <col min="4372" max="4372" width="8.44140625" style="2" customWidth="1"/>
    <col min="4373" max="4373" width="9.109375" style="2" customWidth="1"/>
    <col min="4374" max="4374" width="9" style="2" customWidth="1"/>
    <col min="4375" max="4375" width="7.5546875" style="2" customWidth="1"/>
    <col min="4376" max="4376" width="8" style="2" customWidth="1"/>
    <col min="4377" max="4377" width="7.88671875" style="2" customWidth="1"/>
    <col min="4378" max="4378" width="7.5546875" style="2" customWidth="1"/>
    <col min="4379" max="4379" width="8.5546875" style="2" customWidth="1"/>
    <col min="4380" max="4380" width="8.44140625" style="2" customWidth="1"/>
    <col min="4381" max="4382" width="7.88671875" style="2" customWidth="1"/>
    <col min="4383" max="4383" width="8.109375" style="2" customWidth="1"/>
    <col min="4384" max="4384" width="9" style="2" customWidth="1"/>
    <col min="4385" max="4387" width="9.88671875" style="2" bestFit="1" customWidth="1"/>
    <col min="4388" max="4388" width="9.88671875" style="2" customWidth="1"/>
    <col min="4389" max="4389" width="9.44140625" style="2" customWidth="1"/>
    <col min="4390" max="4390" width="9.5546875" style="2" customWidth="1"/>
    <col min="4391" max="4392" width="11.5546875" style="2" bestFit="1" customWidth="1"/>
    <col min="4393" max="4394" width="9.88671875" style="2" bestFit="1" customWidth="1"/>
    <col min="4395" max="4396" width="10.5546875" style="2" bestFit="1" customWidth="1"/>
    <col min="4397" max="4397" width="10.5546875" style="2" customWidth="1"/>
    <col min="4398" max="4398" width="10.5546875" style="2" bestFit="1" customWidth="1"/>
    <col min="4399" max="4399" width="9.88671875" style="2" bestFit="1" customWidth="1"/>
    <col min="4400" max="4400" width="10.5546875" style="2" bestFit="1" customWidth="1"/>
    <col min="4401" max="4401" width="10.88671875" style="2" bestFit="1" customWidth="1"/>
    <col min="4402" max="4402" width="9.6640625" style="2" customWidth="1"/>
    <col min="4403" max="4403" width="9.88671875" style="2" bestFit="1" customWidth="1"/>
    <col min="4404" max="4408" width="9.6640625" style="2" customWidth="1"/>
    <col min="4409" max="4409" width="10.88671875" style="2" bestFit="1" customWidth="1"/>
    <col min="4410" max="4417" width="9.6640625" style="2" customWidth="1"/>
    <col min="4418" max="4419" width="9.88671875" style="2" bestFit="1" customWidth="1"/>
    <col min="4420" max="4420" width="10.88671875" style="2" bestFit="1" customWidth="1"/>
    <col min="4421" max="4421" width="9.88671875" style="2" bestFit="1" customWidth="1"/>
    <col min="4422" max="4422" width="10.88671875" style="2" bestFit="1" customWidth="1"/>
    <col min="4423" max="4424" width="9.88671875" style="2" bestFit="1" customWidth="1"/>
    <col min="4425" max="4428" width="8.6640625" style="2"/>
    <col min="4429" max="4429" width="10.88671875" style="2" bestFit="1" customWidth="1"/>
    <col min="4430" max="4430" width="8.6640625" style="2"/>
    <col min="4431" max="4431" width="13.109375" style="2" bestFit="1" customWidth="1"/>
    <col min="4432" max="4432" width="9.88671875" style="2" bestFit="1" customWidth="1"/>
    <col min="4433" max="4434" width="10.88671875" style="2" bestFit="1" customWidth="1"/>
    <col min="4435" max="4435" width="9.88671875" style="2" bestFit="1" customWidth="1"/>
    <col min="4436" max="4436" width="10.33203125" style="2" bestFit="1" customWidth="1"/>
    <col min="4437" max="4437" width="8.6640625" style="2"/>
    <col min="4438" max="4438" width="10.88671875" style="2" bestFit="1" customWidth="1"/>
    <col min="4439" max="4440" width="11.5546875" style="2" bestFit="1" customWidth="1"/>
    <col min="4441" max="4444" width="10.88671875" style="2" bestFit="1" customWidth="1"/>
    <col min="4445" max="4445" width="12.6640625" style="2" bestFit="1" customWidth="1"/>
    <col min="4446" max="4446" width="10.5546875" style="2" bestFit="1" customWidth="1"/>
    <col min="4447" max="4447" width="9.88671875" style="2" bestFit="1" customWidth="1"/>
    <col min="4448" max="4448" width="10.88671875" style="2" customWidth="1"/>
    <col min="4449" max="4450" width="9.88671875" style="2" bestFit="1" customWidth="1"/>
    <col min="4451" max="4451" width="10.88671875" style="2" bestFit="1" customWidth="1"/>
    <col min="4452" max="4453" width="8.6640625" style="2"/>
    <col min="4454" max="4454" width="10.88671875" style="2" bestFit="1" customWidth="1"/>
    <col min="4455" max="4455" width="11.88671875" style="2" bestFit="1" customWidth="1"/>
    <col min="4456" max="4458" width="8.6640625" style="2"/>
    <col min="4459" max="4460" width="10.88671875" style="2" bestFit="1" customWidth="1"/>
    <col min="4461" max="4461" width="8.6640625" style="2"/>
    <col min="4462" max="4462" width="10.88671875" style="2" bestFit="1" customWidth="1"/>
    <col min="4463" max="4464" width="8.6640625" style="2"/>
    <col min="4465" max="4465" width="10.88671875" style="2" bestFit="1" customWidth="1"/>
    <col min="4466" max="4608" width="8.6640625" style="2"/>
    <col min="4609" max="4609" width="21.5546875" style="2" customWidth="1"/>
    <col min="4610" max="4610" width="35" style="2" customWidth="1"/>
    <col min="4611" max="4612" width="8.44140625" style="2" customWidth="1"/>
    <col min="4613" max="4620" width="9.88671875" style="2" bestFit="1" customWidth="1"/>
    <col min="4621" max="4621" width="10.88671875" style="2" bestFit="1" customWidth="1"/>
    <col min="4622" max="4622" width="8.44140625" style="2" customWidth="1"/>
    <col min="4623" max="4623" width="8.6640625" style="2"/>
    <col min="4624" max="4625" width="10.88671875" style="2" bestFit="1" customWidth="1"/>
    <col min="4626" max="4626" width="9" style="2" customWidth="1"/>
    <col min="4627" max="4627" width="8.6640625" style="2"/>
    <col min="4628" max="4628" width="8.44140625" style="2" customWidth="1"/>
    <col min="4629" max="4629" width="9.109375" style="2" customWidth="1"/>
    <col min="4630" max="4630" width="9" style="2" customWidth="1"/>
    <col min="4631" max="4631" width="7.5546875" style="2" customWidth="1"/>
    <col min="4632" max="4632" width="8" style="2" customWidth="1"/>
    <col min="4633" max="4633" width="7.88671875" style="2" customWidth="1"/>
    <col min="4634" max="4634" width="7.5546875" style="2" customWidth="1"/>
    <col min="4635" max="4635" width="8.5546875" style="2" customWidth="1"/>
    <col min="4636" max="4636" width="8.44140625" style="2" customWidth="1"/>
    <col min="4637" max="4638" width="7.88671875" style="2" customWidth="1"/>
    <col min="4639" max="4639" width="8.109375" style="2" customWidth="1"/>
    <col min="4640" max="4640" width="9" style="2" customWidth="1"/>
    <col min="4641" max="4643" width="9.88671875" style="2" bestFit="1" customWidth="1"/>
    <col min="4644" max="4644" width="9.88671875" style="2" customWidth="1"/>
    <col min="4645" max="4645" width="9.44140625" style="2" customWidth="1"/>
    <col min="4646" max="4646" width="9.5546875" style="2" customWidth="1"/>
    <col min="4647" max="4648" width="11.5546875" style="2" bestFit="1" customWidth="1"/>
    <col min="4649" max="4650" width="9.88671875" style="2" bestFit="1" customWidth="1"/>
    <col min="4651" max="4652" width="10.5546875" style="2" bestFit="1" customWidth="1"/>
    <col min="4653" max="4653" width="10.5546875" style="2" customWidth="1"/>
    <col min="4654" max="4654" width="10.5546875" style="2" bestFit="1" customWidth="1"/>
    <col min="4655" max="4655" width="9.88671875" style="2" bestFit="1" customWidth="1"/>
    <col min="4656" max="4656" width="10.5546875" style="2" bestFit="1" customWidth="1"/>
    <col min="4657" max="4657" width="10.88671875" style="2" bestFit="1" customWidth="1"/>
    <col min="4658" max="4658" width="9.6640625" style="2" customWidth="1"/>
    <col min="4659" max="4659" width="9.88671875" style="2" bestFit="1" customWidth="1"/>
    <col min="4660" max="4664" width="9.6640625" style="2" customWidth="1"/>
    <col min="4665" max="4665" width="10.88671875" style="2" bestFit="1" customWidth="1"/>
    <col min="4666" max="4673" width="9.6640625" style="2" customWidth="1"/>
    <col min="4674" max="4675" width="9.88671875" style="2" bestFit="1" customWidth="1"/>
    <col min="4676" max="4676" width="10.88671875" style="2" bestFit="1" customWidth="1"/>
    <col min="4677" max="4677" width="9.88671875" style="2" bestFit="1" customWidth="1"/>
    <col min="4678" max="4678" width="10.88671875" style="2" bestFit="1" customWidth="1"/>
    <col min="4679" max="4680" width="9.88671875" style="2" bestFit="1" customWidth="1"/>
    <col min="4681" max="4684" width="8.6640625" style="2"/>
    <col min="4685" max="4685" width="10.88671875" style="2" bestFit="1" customWidth="1"/>
    <col min="4686" max="4686" width="8.6640625" style="2"/>
    <col min="4687" max="4687" width="13.109375" style="2" bestFit="1" customWidth="1"/>
    <col min="4688" max="4688" width="9.88671875" style="2" bestFit="1" customWidth="1"/>
    <col min="4689" max="4690" width="10.88671875" style="2" bestFit="1" customWidth="1"/>
    <col min="4691" max="4691" width="9.88671875" style="2" bestFit="1" customWidth="1"/>
    <col min="4692" max="4692" width="10.33203125" style="2" bestFit="1" customWidth="1"/>
    <col min="4693" max="4693" width="8.6640625" style="2"/>
    <col min="4694" max="4694" width="10.88671875" style="2" bestFit="1" customWidth="1"/>
    <col min="4695" max="4696" width="11.5546875" style="2" bestFit="1" customWidth="1"/>
    <col min="4697" max="4700" width="10.88671875" style="2" bestFit="1" customWidth="1"/>
    <col min="4701" max="4701" width="12.6640625" style="2" bestFit="1" customWidth="1"/>
    <col min="4702" max="4702" width="10.5546875" style="2" bestFit="1" customWidth="1"/>
    <col min="4703" max="4703" width="9.88671875" style="2" bestFit="1" customWidth="1"/>
    <col min="4704" max="4704" width="10.88671875" style="2" customWidth="1"/>
    <col min="4705" max="4706" width="9.88671875" style="2" bestFit="1" customWidth="1"/>
    <col min="4707" max="4707" width="10.88671875" style="2" bestFit="1" customWidth="1"/>
    <col min="4708" max="4709" width="8.6640625" style="2"/>
    <col min="4710" max="4710" width="10.88671875" style="2" bestFit="1" customWidth="1"/>
    <col min="4711" max="4711" width="11.88671875" style="2" bestFit="1" customWidth="1"/>
    <col min="4712" max="4714" width="8.6640625" style="2"/>
    <col min="4715" max="4716" width="10.88671875" style="2" bestFit="1" customWidth="1"/>
    <col min="4717" max="4717" width="8.6640625" style="2"/>
    <col min="4718" max="4718" width="10.88671875" style="2" bestFit="1" customWidth="1"/>
    <col min="4719" max="4720" width="8.6640625" style="2"/>
    <col min="4721" max="4721" width="10.88671875" style="2" bestFit="1" customWidth="1"/>
    <col min="4722" max="4864" width="8.6640625" style="2"/>
    <col min="4865" max="4865" width="21.5546875" style="2" customWidth="1"/>
    <col min="4866" max="4866" width="35" style="2" customWidth="1"/>
    <col min="4867" max="4868" width="8.44140625" style="2" customWidth="1"/>
    <col min="4869" max="4876" width="9.88671875" style="2" bestFit="1" customWidth="1"/>
    <col min="4877" max="4877" width="10.88671875" style="2" bestFit="1" customWidth="1"/>
    <col min="4878" max="4878" width="8.44140625" style="2" customWidth="1"/>
    <col min="4879" max="4879" width="8.6640625" style="2"/>
    <col min="4880" max="4881" width="10.88671875" style="2" bestFit="1" customWidth="1"/>
    <col min="4882" max="4882" width="9" style="2" customWidth="1"/>
    <col min="4883" max="4883" width="8.6640625" style="2"/>
    <col min="4884" max="4884" width="8.44140625" style="2" customWidth="1"/>
    <col min="4885" max="4885" width="9.109375" style="2" customWidth="1"/>
    <col min="4886" max="4886" width="9" style="2" customWidth="1"/>
    <col min="4887" max="4887" width="7.5546875" style="2" customWidth="1"/>
    <col min="4888" max="4888" width="8" style="2" customWidth="1"/>
    <col min="4889" max="4889" width="7.88671875" style="2" customWidth="1"/>
    <col min="4890" max="4890" width="7.5546875" style="2" customWidth="1"/>
    <col min="4891" max="4891" width="8.5546875" style="2" customWidth="1"/>
    <col min="4892" max="4892" width="8.44140625" style="2" customWidth="1"/>
    <col min="4893" max="4894" width="7.88671875" style="2" customWidth="1"/>
    <col min="4895" max="4895" width="8.109375" style="2" customWidth="1"/>
    <col min="4896" max="4896" width="9" style="2" customWidth="1"/>
    <col min="4897" max="4899" width="9.88671875" style="2" bestFit="1" customWidth="1"/>
    <col min="4900" max="4900" width="9.88671875" style="2" customWidth="1"/>
    <col min="4901" max="4901" width="9.44140625" style="2" customWidth="1"/>
    <col min="4902" max="4902" width="9.5546875" style="2" customWidth="1"/>
    <col min="4903" max="4904" width="11.5546875" style="2" bestFit="1" customWidth="1"/>
    <col min="4905" max="4906" width="9.88671875" style="2" bestFit="1" customWidth="1"/>
    <col min="4907" max="4908" width="10.5546875" style="2" bestFit="1" customWidth="1"/>
    <col min="4909" max="4909" width="10.5546875" style="2" customWidth="1"/>
    <col min="4910" max="4910" width="10.5546875" style="2" bestFit="1" customWidth="1"/>
    <col min="4911" max="4911" width="9.88671875" style="2" bestFit="1" customWidth="1"/>
    <col min="4912" max="4912" width="10.5546875" style="2" bestFit="1" customWidth="1"/>
    <col min="4913" max="4913" width="10.88671875" style="2" bestFit="1" customWidth="1"/>
    <col min="4914" max="4914" width="9.6640625" style="2" customWidth="1"/>
    <col min="4915" max="4915" width="9.88671875" style="2" bestFit="1" customWidth="1"/>
    <col min="4916" max="4920" width="9.6640625" style="2" customWidth="1"/>
    <col min="4921" max="4921" width="10.88671875" style="2" bestFit="1" customWidth="1"/>
    <col min="4922" max="4929" width="9.6640625" style="2" customWidth="1"/>
    <col min="4930" max="4931" width="9.88671875" style="2" bestFit="1" customWidth="1"/>
    <col min="4932" max="4932" width="10.88671875" style="2" bestFit="1" customWidth="1"/>
    <col min="4933" max="4933" width="9.88671875" style="2" bestFit="1" customWidth="1"/>
    <col min="4934" max="4934" width="10.88671875" style="2" bestFit="1" customWidth="1"/>
    <col min="4935" max="4936" width="9.88671875" style="2" bestFit="1" customWidth="1"/>
    <col min="4937" max="4940" width="8.6640625" style="2"/>
    <col min="4941" max="4941" width="10.88671875" style="2" bestFit="1" customWidth="1"/>
    <col min="4942" max="4942" width="8.6640625" style="2"/>
    <col min="4943" max="4943" width="13.109375" style="2" bestFit="1" customWidth="1"/>
    <col min="4944" max="4944" width="9.88671875" style="2" bestFit="1" customWidth="1"/>
    <col min="4945" max="4946" width="10.88671875" style="2" bestFit="1" customWidth="1"/>
    <col min="4947" max="4947" width="9.88671875" style="2" bestFit="1" customWidth="1"/>
    <col min="4948" max="4948" width="10.33203125" style="2" bestFit="1" customWidth="1"/>
    <col min="4949" max="4949" width="8.6640625" style="2"/>
    <col min="4950" max="4950" width="10.88671875" style="2" bestFit="1" customWidth="1"/>
    <col min="4951" max="4952" width="11.5546875" style="2" bestFit="1" customWidth="1"/>
    <col min="4953" max="4956" width="10.88671875" style="2" bestFit="1" customWidth="1"/>
    <col min="4957" max="4957" width="12.6640625" style="2" bestFit="1" customWidth="1"/>
    <col min="4958" max="4958" width="10.5546875" style="2" bestFit="1" customWidth="1"/>
    <col min="4959" max="4959" width="9.88671875" style="2" bestFit="1" customWidth="1"/>
    <col min="4960" max="4960" width="10.88671875" style="2" customWidth="1"/>
    <col min="4961" max="4962" width="9.88671875" style="2" bestFit="1" customWidth="1"/>
    <col min="4963" max="4963" width="10.88671875" style="2" bestFit="1" customWidth="1"/>
    <col min="4964" max="4965" width="8.6640625" style="2"/>
    <col min="4966" max="4966" width="10.88671875" style="2" bestFit="1" customWidth="1"/>
    <col min="4967" max="4967" width="11.88671875" style="2" bestFit="1" customWidth="1"/>
    <col min="4968" max="4970" width="8.6640625" style="2"/>
    <col min="4971" max="4972" width="10.88671875" style="2" bestFit="1" customWidth="1"/>
    <col min="4973" max="4973" width="8.6640625" style="2"/>
    <col min="4974" max="4974" width="10.88671875" style="2" bestFit="1" customWidth="1"/>
    <col min="4975" max="4976" width="8.6640625" style="2"/>
    <col min="4977" max="4977" width="10.88671875" style="2" bestFit="1" customWidth="1"/>
    <col min="4978" max="5120" width="8.6640625" style="2"/>
    <col min="5121" max="5121" width="21.5546875" style="2" customWidth="1"/>
    <col min="5122" max="5122" width="35" style="2" customWidth="1"/>
    <col min="5123" max="5124" width="8.44140625" style="2" customWidth="1"/>
    <col min="5125" max="5132" width="9.88671875" style="2" bestFit="1" customWidth="1"/>
    <col min="5133" max="5133" width="10.88671875" style="2" bestFit="1" customWidth="1"/>
    <col min="5134" max="5134" width="8.44140625" style="2" customWidth="1"/>
    <col min="5135" max="5135" width="8.6640625" style="2"/>
    <col min="5136" max="5137" width="10.88671875" style="2" bestFit="1" customWidth="1"/>
    <col min="5138" max="5138" width="9" style="2" customWidth="1"/>
    <col min="5139" max="5139" width="8.6640625" style="2"/>
    <col min="5140" max="5140" width="8.44140625" style="2" customWidth="1"/>
    <col min="5141" max="5141" width="9.109375" style="2" customWidth="1"/>
    <col min="5142" max="5142" width="9" style="2" customWidth="1"/>
    <col min="5143" max="5143" width="7.5546875" style="2" customWidth="1"/>
    <col min="5144" max="5144" width="8" style="2" customWidth="1"/>
    <col min="5145" max="5145" width="7.88671875" style="2" customWidth="1"/>
    <col min="5146" max="5146" width="7.5546875" style="2" customWidth="1"/>
    <col min="5147" max="5147" width="8.5546875" style="2" customWidth="1"/>
    <col min="5148" max="5148" width="8.44140625" style="2" customWidth="1"/>
    <col min="5149" max="5150" width="7.88671875" style="2" customWidth="1"/>
    <col min="5151" max="5151" width="8.109375" style="2" customWidth="1"/>
    <col min="5152" max="5152" width="9" style="2" customWidth="1"/>
    <col min="5153" max="5155" width="9.88671875" style="2" bestFit="1" customWidth="1"/>
    <col min="5156" max="5156" width="9.88671875" style="2" customWidth="1"/>
    <col min="5157" max="5157" width="9.44140625" style="2" customWidth="1"/>
    <col min="5158" max="5158" width="9.5546875" style="2" customWidth="1"/>
    <col min="5159" max="5160" width="11.5546875" style="2" bestFit="1" customWidth="1"/>
    <col min="5161" max="5162" width="9.88671875" style="2" bestFit="1" customWidth="1"/>
    <col min="5163" max="5164" width="10.5546875" style="2" bestFit="1" customWidth="1"/>
    <col min="5165" max="5165" width="10.5546875" style="2" customWidth="1"/>
    <col min="5166" max="5166" width="10.5546875" style="2" bestFit="1" customWidth="1"/>
    <col min="5167" max="5167" width="9.88671875" style="2" bestFit="1" customWidth="1"/>
    <col min="5168" max="5168" width="10.5546875" style="2" bestFit="1" customWidth="1"/>
    <col min="5169" max="5169" width="10.88671875" style="2" bestFit="1" customWidth="1"/>
    <col min="5170" max="5170" width="9.6640625" style="2" customWidth="1"/>
    <col min="5171" max="5171" width="9.88671875" style="2" bestFit="1" customWidth="1"/>
    <col min="5172" max="5176" width="9.6640625" style="2" customWidth="1"/>
    <col min="5177" max="5177" width="10.88671875" style="2" bestFit="1" customWidth="1"/>
    <col min="5178" max="5185" width="9.6640625" style="2" customWidth="1"/>
    <col min="5186" max="5187" width="9.88671875" style="2" bestFit="1" customWidth="1"/>
    <col min="5188" max="5188" width="10.88671875" style="2" bestFit="1" customWidth="1"/>
    <col min="5189" max="5189" width="9.88671875" style="2" bestFit="1" customWidth="1"/>
    <col min="5190" max="5190" width="10.88671875" style="2" bestFit="1" customWidth="1"/>
    <col min="5191" max="5192" width="9.88671875" style="2" bestFit="1" customWidth="1"/>
    <col min="5193" max="5196" width="8.6640625" style="2"/>
    <col min="5197" max="5197" width="10.88671875" style="2" bestFit="1" customWidth="1"/>
    <col min="5198" max="5198" width="8.6640625" style="2"/>
    <col min="5199" max="5199" width="13.109375" style="2" bestFit="1" customWidth="1"/>
    <col min="5200" max="5200" width="9.88671875" style="2" bestFit="1" customWidth="1"/>
    <col min="5201" max="5202" width="10.88671875" style="2" bestFit="1" customWidth="1"/>
    <col min="5203" max="5203" width="9.88671875" style="2" bestFit="1" customWidth="1"/>
    <col min="5204" max="5204" width="10.33203125" style="2" bestFit="1" customWidth="1"/>
    <col min="5205" max="5205" width="8.6640625" style="2"/>
    <col min="5206" max="5206" width="10.88671875" style="2" bestFit="1" customWidth="1"/>
    <col min="5207" max="5208" width="11.5546875" style="2" bestFit="1" customWidth="1"/>
    <col min="5209" max="5212" width="10.88671875" style="2" bestFit="1" customWidth="1"/>
    <col min="5213" max="5213" width="12.6640625" style="2" bestFit="1" customWidth="1"/>
    <col min="5214" max="5214" width="10.5546875" style="2" bestFit="1" customWidth="1"/>
    <col min="5215" max="5215" width="9.88671875" style="2" bestFit="1" customWidth="1"/>
    <col min="5216" max="5216" width="10.88671875" style="2" customWidth="1"/>
    <col min="5217" max="5218" width="9.88671875" style="2" bestFit="1" customWidth="1"/>
    <col min="5219" max="5219" width="10.88671875" style="2" bestFit="1" customWidth="1"/>
    <col min="5220" max="5221" width="8.6640625" style="2"/>
    <col min="5222" max="5222" width="10.88671875" style="2" bestFit="1" customWidth="1"/>
    <col min="5223" max="5223" width="11.88671875" style="2" bestFit="1" customWidth="1"/>
    <col min="5224" max="5226" width="8.6640625" style="2"/>
    <col min="5227" max="5228" width="10.88671875" style="2" bestFit="1" customWidth="1"/>
    <col min="5229" max="5229" width="8.6640625" style="2"/>
    <col min="5230" max="5230" width="10.88671875" style="2" bestFit="1" customWidth="1"/>
    <col min="5231" max="5232" width="8.6640625" style="2"/>
    <col min="5233" max="5233" width="10.88671875" style="2" bestFit="1" customWidth="1"/>
    <col min="5234" max="5376" width="8.6640625" style="2"/>
    <col min="5377" max="5377" width="21.5546875" style="2" customWidth="1"/>
    <col min="5378" max="5378" width="35" style="2" customWidth="1"/>
    <col min="5379" max="5380" width="8.44140625" style="2" customWidth="1"/>
    <col min="5381" max="5388" width="9.88671875" style="2" bestFit="1" customWidth="1"/>
    <col min="5389" max="5389" width="10.88671875" style="2" bestFit="1" customWidth="1"/>
    <col min="5390" max="5390" width="8.44140625" style="2" customWidth="1"/>
    <col min="5391" max="5391" width="8.6640625" style="2"/>
    <col min="5392" max="5393" width="10.88671875" style="2" bestFit="1" customWidth="1"/>
    <col min="5394" max="5394" width="9" style="2" customWidth="1"/>
    <col min="5395" max="5395" width="8.6640625" style="2"/>
    <col min="5396" max="5396" width="8.44140625" style="2" customWidth="1"/>
    <col min="5397" max="5397" width="9.109375" style="2" customWidth="1"/>
    <col min="5398" max="5398" width="9" style="2" customWidth="1"/>
    <col min="5399" max="5399" width="7.5546875" style="2" customWidth="1"/>
    <col min="5400" max="5400" width="8" style="2" customWidth="1"/>
    <col min="5401" max="5401" width="7.88671875" style="2" customWidth="1"/>
    <col min="5402" max="5402" width="7.5546875" style="2" customWidth="1"/>
    <col min="5403" max="5403" width="8.5546875" style="2" customWidth="1"/>
    <col min="5404" max="5404" width="8.44140625" style="2" customWidth="1"/>
    <col min="5405" max="5406" width="7.88671875" style="2" customWidth="1"/>
    <col min="5407" max="5407" width="8.109375" style="2" customWidth="1"/>
    <col min="5408" max="5408" width="9" style="2" customWidth="1"/>
    <col min="5409" max="5411" width="9.88671875" style="2" bestFit="1" customWidth="1"/>
    <col min="5412" max="5412" width="9.88671875" style="2" customWidth="1"/>
    <col min="5413" max="5413" width="9.44140625" style="2" customWidth="1"/>
    <col min="5414" max="5414" width="9.5546875" style="2" customWidth="1"/>
    <col min="5415" max="5416" width="11.5546875" style="2" bestFit="1" customWidth="1"/>
    <col min="5417" max="5418" width="9.88671875" style="2" bestFit="1" customWidth="1"/>
    <col min="5419" max="5420" width="10.5546875" style="2" bestFit="1" customWidth="1"/>
    <col min="5421" max="5421" width="10.5546875" style="2" customWidth="1"/>
    <col min="5422" max="5422" width="10.5546875" style="2" bestFit="1" customWidth="1"/>
    <col min="5423" max="5423" width="9.88671875" style="2" bestFit="1" customWidth="1"/>
    <col min="5424" max="5424" width="10.5546875" style="2" bestFit="1" customWidth="1"/>
    <col min="5425" max="5425" width="10.88671875" style="2" bestFit="1" customWidth="1"/>
    <col min="5426" max="5426" width="9.6640625" style="2" customWidth="1"/>
    <col min="5427" max="5427" width="9.88671875" style="2" bestFit="1" customWidth="1"/>
    <col min="5428" max="5432" width="9.6640625" style="2" customWidth="1"/>
    <col min="5433" max="5433" width="10.88671875" style="2" bestFit="1" customWidth="1"/>
    <col min="5434" max="5441" width="9.6640625" style="2" customWidth="1"/>
    <col min="5442" max="5443" width="9.88671875" style="2" bestFit="1" customWidth="1"/>
    <col min="5444" max="5444" width="10.88671875" style="2" bestFit="1" customWidth="1"/>
    <col min="5445" max="5445" width="9.88671875" style="2" bestFit="1" customWidth="1"/>
    <col min="5446" max="5446" width="10.88671875" style="2" bestFit="1" customWidth="1"/>
    <col min="5447" max="5448" width="9.88671875" style="2" bestFit="1" customWidth="1"/>
    <col min="5449" max="5452" width="8.6640625" style="2"/>
    <col min="5453" max="5453" width="10.88671875" style="2" bestFit="1" customWidth="1"/>
    <col min="5454" max="5454" width="8.6640625" style="2"/>
    <col min="5455" max="5455" width="13.109375" style="2" bestFit="1" customWidth="1"/>
    <col min="5456" max="5456" width="9.88671875" style="2" bestFit="1" customWidth="1"/>
    <col min="5457" max="5458" width="10.88671875" style="2" bestFit="1" customWidth="1"/>
    <col min="5459" max="5459" width="9.88671875" style="2" bestFit="1" customWidth="1"/>
    <col min="5460" max="5460" width="10.33203125" style="2" bestFit="1" customWidth="1"/>
    <col min="5461" max="5461" width="8.6640625" style="2"/>
    <col min="5462" max="5462" width="10.88671875" style="2" bestFit="1" customWidth="1"/>
    <col min="5463" max="5464" width="11.5546875" style="2" bestFit="1" customWidth="1"/>
    <col min="5465" max="5468" width="10.88671875" style="2" bestFit="1" customWidth="1"/>
    <col min="5469" max="5469" width="12.6640625" style="2" bestFit="1" customWidth="1"/>
    <col min="5470" max="5470" width="10.5546875" style="2" bestFit="1" customWidth="1"/>
    <col min="5471" max="5471" width="9.88671875" style="2" bestFit="1" customWidth="1"/>
    <col min="5472" max="5472" width="10.88671875" style="2" customWidth="1"/>
    <col min="5473" max="5474" width="9.88671875" style="2" bestFit="1" customWidth="1"/>
    <col min="5475" max="5475" width="10.88671875" style="2" bestFit="1" customWidth="1"/>
    <col min="5476" max="5477" width="8.6640625" style="2"/>
    <col min="5478" max="5478" width="10.88671875" style="2" bestFit="1" customWidth="1"/>
    <col min="5479" max="5479" width="11.88671875" style="2" bestFit="1" customWidth="1"/>
    <col min="5480" max="5482" width="8.6640625" style="2"/>
    <col min="5483" max="5484" width="10.88671875" style="2" bestFit="1" customWidth="1"/>
    <col min="5485" max="5485" width="8.6640625" style="2"/>
    <col min="5486" max="5486" width="10.88671875" style="2" bestFit="1" customWidth="1"/>
    <col min="5487" max="5488" width="8.6640625" style="2"/>
    <col min="5489" max="5489" width="10.88671875" style="2" bestFit="1" customWidth="1"/>
    <col min="5490" max="5632" width="8.6640625" style="2"/>
    <col min="5633" max="5633" width="21.5546875" style="2" customWidth="1"/>
    <col min="5634" max="5634" width="35" style="2" customWidth="1"/>
    <col min="5635" max="5636" width="8.44140625" style="2" customWidth="1"/>
    <col min="5637" max="5644" width="9.88671875" style="2" bestFit="1" customWidth="1"/>
    <col min="5645" max="5645" width="10.88671875" style="2" bestFit="1" customWidth="1"/>
    <col min="5646" max="5646" width="8.44140625" style="2" customWidth="1"/>
    <col min="5647" max="5647" width="8.6640625" style="2"/>
    <col min="5648" max="5649" width="10.88671875" style="2" bestFit="1" customWidth="1"/>
    <col min="5650" max="5650" width="9" style="2" customWidth="1"/>
    <col min="5651" max="5651" width="8.6640625" style="2"/>
    <col min="5652" max="5652" width="8.44140625" style="2" customWidth="1"/>
    <col min="5653" max="5653" width="9.109375" style="2" customWidth="1"/>
    <col min="5654" max="5654" width="9" style="2" customWidth="1"/>
    <col min="5655" max="5655" width="7.5546875" style="2" customWidth="1"/>
    <col min="5656" max="5656" width="8" style="2" customWidth="1"/>
    <col min="5657" max="5657" width="7.88671875" style="2" customWidth="1"/>
    <col min="5658" max="5658" width="7.5546875" style="2" customWidth="1"/>
    <col min="5659" max="5659" width="8.5546875" style="2" customWidth="1"/>
    <col min="5660" max="5660" width="8.44140625" style="2" customWidth="1"/>
    <col min="5661" max="5662" width="7.88671875" style="2" customWidth="1"/>
    <col min="5663" max="5663" width="8.109375" style="2" customWidth="1"/>
    <col min="5664" max="5664" width="9" style="2" customWidth="1"/>
    <col min="5665" max="5667" width="9.88671875" style="2" bestFit="1" customWidth="1"/>
    <col min="5668" max="5668" width="9.88671875" style="2" customWidth="1"/>
    <col min="5669" max="5669" width="9.44140625" style="2" customWidth="1"/>
    <col min="5670" max="5670" width="9.5546875" style="2" customWidth="1"/>
    <col min="5671" max="5672" width="11.5546875" style="2" bestFit="1" customWidth="1"/>
    <col min="5673" max="5674" width="9.88671875" style="2" bestFit="1" customWidth="1"/>
    <col min="5675" max="5676" width="10.5546875" style="2" bestFit="1" customWidth="1"/>
    <col min="5677" max="5677" width="10.5546875" style="2" customWidth="1"/>
    <col min="5678" max="5678" width="10.5546875" style="2" bestFit="1" customWidth="1"/>
    <col min="5679" max="5679" width="9.88671875" style="2" bestFit="1" customWidth="1"/>
    <col min="5680" max="5680" width="10.5546875" style="2" bestFit="1" customWidth="1"/>
    <col min="5681" max="5681" width="10.88671875" style="2" bestFit="1" customWidth="1"/>
    <col min="5682" max="5682" width="9.6640625" style="2" customWidth="1"/>
    <col min="5683" max="5683" width="9.88671875" style="2" bestFit="1" customWidth="1"/>
    <col min="5684" max="5688" width="9.6640625" style="2" customWidth="1"/>
    <col min="5689" max="5689" width="10.88671875" style="2" bestFit="1" customWidth="1"/>
    <col min="5690" max="5697" width="9.6640625" style="2" customWidth="1"/>
    <col min="5698" max="5699" width="9.88671875" style="2" bestFit="1" customWidth="1"/>
    <col min="5700" max="5700" width="10.88671875" style="2" bestFit="1" customWidth="1"/>
    <col min="5701" max="5701" width="9.88671875" style="2" bestFit="1" customWidth="1"/>
    <col min="5702" max="5702" width="10.88671875" style="2" bestFit="1" customWidth="1"/>
    <col min="5703" max="5704" width="9.88671875" style="2" bestFit="1" customWidth="1"/>
    <col min="5705" max="5708" width="8.6640625" style="2"/>
    <col min="5709" max="5709" width="10.88671875" style="2" bestFit="1" customWidth="1"/>
    <col min="5710" max="5710" width="8.6640625" style="2"/>
    <col min="5711" max="5711" width="13.109375" style="2" bestFit="1" customWidth="1"/>
    <col min="5712" max="5712" width="9.88671875" style="2" bestFit="1" customWidth="1"/>
    <col min="5713" max="5714" width="10.88671875" style="2" bestFit="1" customWidth="1"/>
    <col min="5715" max="5715" width="9.88671875" style="2" bestFit="1" customWidth="1"/>
    <col min="5716" max="5716" width="10.33203125" style="2" bestFit="1" customWidth="1"/>
    <col min="5717" max="5717" width="8.6640625" style="2"/>
    <col min="5718" max="5718" width="10.88671875" style="2" bestFit="1" customWidth="1"/>
    <col min="5719" max="5720" width="11.5546875" style="2" bestFit="1" customWidth="1"/>
    <col min="5721" max="5724" width="10.88671875" style="2" bestFit="1" customWidth="1"/>
    <col min="5725" max="5725" width="12.6640625" style="2" bestFit="1" customWidth="1"/>
    <col min="5726" max="5726" width="10.5546875" style="2" bestFit="1" customWidth="1"/>
    <col min="5727" max="5727" width="9.88671875" style="2" bestFit="1" customWidth="1"/>
    <col min="5728" max="5728" width="10.88671875" style="2" customWidth="1"/>
    <col min="5729" max="5730" width="9.88671875" style="2" bestFit="1" customWidth="1"/>
    <col min="5731" max="5731" width="10.88671875" style="2" bestFit="1" customWidth="1"/>
    <col min="5732" max="5733" width="8.6640625" style="2"/>
    <col min="5734" max="5734" width="10.88671875" style="2" bestFit="1" customWidth="1"/>
    <col min="5735" max="5735" width="11.88671875" style="2" bestFit="1" customWidth="1"/>
    <col min="5736" max="5738" width="8.6640625" style="2"/>
    <col min="5739" max="5740" width="10.88671875" style="2" bestFit="1" customWidth="1"/>
    <col min="5741" max="5741" width="8.6640625" style="2"/>
    <col min="5742" max="5742" width="10.88671875" style="2" bestFit="1" customWidth="1"/>
    <col min="5743" max="5744" width="8.6640625" style="2"/>
    <col min="5745" max="5745" width="10.88671875" style="2" bestFit="1" customWidth="1"/>
    <col min="5746" max="5888" width="8.6640625" style="2"/>
    <col min="5889" max="5889" width="21.5546875" style="2" customWidth="1"/>
    <col min="5890" max="5890" width="35" style="2" customWidth="1"/>
    <col min="5891" max="5892" width="8.44140625" style="2" customWidth="1"/>
    <col min="5893" max="5900" width="9.88671875" style="2" bestFit="1" customWidth="1"/>
    <col min="5901" max="5901" width="10.88671875" style="2" bestFit="1" customWidth="1"/>
    <col min="5902" max="5902" width="8.44140625" style="2" customWidth="1"/>
    <col min="5903" max="5903" width="8.6640625" style="2"/>
    <col min="5904" max="5905" width="10.88671875" style="2" bestFit="1" customWidth="1"/>
    <col min="5906" max="5906" width="9" style="2" customWidth="1"/>
    <col min="5907" max="5907" width="8.6640625" style="2"/>
    <col min="5908" max="5908" width="8.44140625" style="2" customWidth="1"/>
    <col min="5909" max="5909" width="9.109375" style="2" customWidth="1"/>
    <col min="5910" max="5910" width="9" style="2" customWidth="1"/>
    <col min="5911" max="5911" width="7.5546875" style="2" customWidth="1"/>
    <col min="5912" max="5912" width="8" style="2" customWidth="1"/>
    <col min="5913" max="5913" width="7.88671875" style="2" customWidth="1"/>
    <col min="5914" max="5914" width="7.5546875" style="2" customWidth="1"/>
    <col min="5915" max="5915" width="8.5546875" style="2" customWidth="1"/>
    <col min="5916" max="5916" width="8.44140625" style="2" customWidth="1"/>
    <col min="5917" max="5918" width="7.88671875" style="2" customWidth="1"/>
    <col min="5919" max="5919" width="8.109375" style="2" customWidth="1"/>
    <col min="5920" max="5920" width="9" style="2" customWidth="1"/>
    <col min="5921" max="5923" width="9.88671875" style="2" bestFit="1" customWidth="1"/>
    <col min="5924" max="5924" width="9.88671875" style="2" customWidth="1"/>
    <col min="5925" max="5925" width="9.44140625" style="2" customWidth="1"/>
    <col min="5926" max="5926" width="9.5546875" style="2" customWidth="1"/>
    <col min="5927" max="5928" width="11.5546875" style="2" bestFit="1" customWidth="1"/>
    <col min="5929" max="5930" width="9.88671875" style="2" bestFit="1" customWidth="1"/>
    <col min="5931" max="5932" width="10.5546875" style="2" bestFit="1" customWidth="1"/>
    <col min="5933" max="5933" width="10.5546875" style="2" customWidth="1"/>
    <col min="5934" max="5934" width="10.5546875" style="2" bestFit="1" customWidth="1"/>
    <col min="5935" max="5935" width="9.88671875" style="2" bestFit="1" customWidth="1"/>
    <col min="5936" max="5936" width="10.5546875" style="2" bestFit="1" customWidth="1"/>
    <col min="5937" max="5937" width="10.88671875" style="2" bestFit="1" customWidth="1"/>
    <col min="5938" max="5938" width="9.6640625" style="2" customWidth="1"/>
    <col min="5939" max="5939" width="9.88671875" style="2" bestFit="1" customWidth="1"/>
    <col min="5940" max="5944" width="9.6640625" style="2" customWidth="1"/>
    <col min="5945" max="5945" width="10.88671875" style="2" bestFit="1" customWidth="1"/>
    <col min="5946" max="5953" width="9.6640625" style="2" customWidth="1"/>
    <col min="5954" max="5955" width="9.88671875" style="2" bestFit="1" customWidth="1"/>
    <col min="5956" max="5956" width="10.88671875" style="2" bestFit="1" customWidth="1"/>
    <col min="5957" max="5957" width="9.88671875" style="2" bestFit="1" customWidth="1"/>
    <col min="5958" max="5958" width="10.88671875" style="2" bestFit="1" customWidth="1"/>
    <col min="5959" max="5960" width="9.88671875" style="2" bestFit="1" customWidth="1"/>
    <col min="5961" max="5964" width="8.6640625" style="2"/>
    <col min="5965" max="5965" width="10.88671875" style="2" bestFit="1" customWidth="1"/>
    <col min="5966" max="5966" width="8.6640625" style="2"/>
    <col min="5967" max="5967" width="13.109375" style="2" bestFit="1" customWidth="1"/>
    <col min="5968" max="5968" width="9.88671875" style="2" bestFit="1" customWidth="1"/>
    <col min="5969" max="5970" width="10.88671875" style="2" bestFit="1" customWidth="1"/>
    <col min="5971" max="5971" width="9.88671875" style="2" bestFit="1" customWidth="1"/>
    <col min="5972" max="5972" width="10.33203125" style="2" bestFit="1" customWidth="1"/>
    <col min="5973" max="5973" width="8.6640625" style="2"/>
    <col min="5974" max="5974" width="10.88671875" style="2" bestFit="1" customWidth="1"/>
    <col min="5975" max="5976" width="11.5546875" style="2" bestFit="1" customWidth="1"/>
    <col min="5977" max="5980" width="10.88671875" style="2" bestFit="1" customWidth="1"/>
    <col min="5981" max="5981" width="12.6640625" style="2" bestFit="1" customWidth="1"/>
    <col min="5982" max="5982" width="10.5546875" style="2" bestFit="1" customWidth="1"/>
    <col min="5983" max="5983" width="9.88671875" style="2" bestFit="1" customWidth="1"/>
    <col min="5984" max="5984" width="10.88671875" style="2" customWidth="1"/>
    <col min="5985" max="5986" width="9.88671875" style="2" bestFit="1" customWidth="1"/>
    <col min="5987" max="5987" width="10.88671875" style="2" bestFit="1" customWidth="1"/>
    <col min="5988" max="5989" width="8.6640625" style="2"/>
    <col min="5990" max="5990" width="10.88671875" style="2" bestFit="1" customWidth="1"/>
    <col min="5991" max="5991" width="11.88671875" style="2" bestFit="1" customWidth="1"/>
    <col min="5992" max="5994" width="8.6640625" style="2"/>
    <col min="5995" max="5996" width="10.88671875" style="2" bestFit="1" customWidth="1"/>
    <col min="5997" max="5997" width="8.6640625" style="2"/>
    <col min="5998" max="5998" width="10.88671875" style="2" bestFit="1" customWidth="1"/>
    <col min="5999" max="6000" width="8.6640625" style="2"/>
    <col min="6001" max="6001" width="10.88671875" style="2" bestFit="1" customWidth="1"/>
    <col min="6002" max="6144" width="8.6640625" style="2"/>
    <col min="6145" max="6145" width="21.5546875" style="2" customWidth="1"/>
    <col min="6146" max="6146" width="35" style="2" customWidth="1"/>
    <col min="6147" max="6148" width="8.44140625" style="2" customWidth="1"/>
    <col min="6149" max="6156" width="9.88671875" style="2" bestFit="1" customWidth="1"/>
    <col min="6157" max="6157" width="10.88671875" style="2" bestFit="1" customWidth="1"/>
    <col min="6158" max="6158" width="8.44140625" style="2" customWidth="1"/>
    <col min="6159" max="6159" width="8.6640625" style="2"/>
    <col min="6160" max="6161" width="10.88671875" style="2" bestFit="1" customWidth="1"/>
    <col min="6162" max="6162" width="9" style="2" customWidth="1"/>
    <col min="6163" max="6163" width="8.6640625" style="2"/>
    <col min="6164" max="6164" width="8.44140625" style="2" customWidth="1"/>
    <col min="6165" max="6165" width="9.109375" style="2" customWidth="1"/>
    <col min="6166" max="6166" width="9" style="2" customWidth="1"/>
    <col min="6167" max="6167" width="7.5546875" style="2" customWidth="1"/>
    <col min="6168" max="6168" width="8" style="2" customWidth="1"/>
    <col min="6169" max="6169" width="7.88671875" style="2" customWidth="1"/>
    <col min="6170" max="6170" width="7.5546875" style="2" customWidth="1"/>
    <col min="6171" max="6171" width="8.5546875" style="2" customWidth="1"/>
    <col min="6172" max="6172" width="8.44140625" style="2" customWidth="1"/>
    <col min="6173" max="6174" width="7.88671875" style="2" customWidth="1"/>
    <col min="6175" max="6175" width="8.109375" style="2" customWidth="1"/>
    <col min="6176" max="6176" width="9" style="2" customWidth="1"/>
    <col min="6177" max="6179" width="9.88671875" style="2" bestFit="1" customWidth="1"/>
    <col min="6180" max="6180" width="9.88671875" style="2" customWidth="1"/>
    <col min="6181" max="6181" width="9.44140625" style="2" customWidth="1"/>
    <col min="6182" max="6182" width="9.5546875" style="2" customWidth="1"/>
    <col min="6183" max="6184" width="11.5546875" style="2" bestFit="1" customWidth="1"/>
    <col min="6185" max="6186" width="9.88671875" style="2" bestFit="1" customWidth="1"/>
    <col min="6187" max="6188" width="10.5546875" style="2" bestFit="1" customWidth="1"/>
    <col min="6189" max="6189" width="10.5546875" style="2" customWidth="1"/>
    <col min="6190" max="6190" width="10.5546875" style="2" bestFit="1" customWidth="1"/>
    <col min="6191" max="6191" width="9.88671875" style="2" bestFit="1" customWidth="1"/>
    <col min="6192" max="6192" width="10.5546875" style="2" bestFit="1" customWidth="1"/>
    <col min="6193" max="6193" width="10.88671875" style="2" bestFit="1" customWidth="1"/>
    <col min="6194" max="6194" width="9.6640625" style="2" customWidth="1"/>
    <col min="6195" max="6195" width="9.88671875" style="2" bestFit="1" customWidth="1"/>
    <col min="6196" max="6200" width="9.6640625" style="2" customWidth="1"/>
    <col min="6201" max="6201" width="10.88671875" style="2" bestFit="1" customWidth="1"/>
    <col min="6202" max="6209" width="9.6640625" style="2" customWidth="1"/>
    <col min="6210" max="6211" width="9.88671875" style="2" bestFit="1" customWidth="1"/>
    <col min="6212" max="6212" width="10.88671875" style="2" bestFit="1" customWidth="1"/>
    <col min="6213" max="6213" width="9.88671875" style="2" bestFit="1" customWidth="1"/>
    <col min="6214" max="6214" width="10.88671875" style="2" bestFit="1" customWidth="1"/>
    <col min="6215" max="6216" width="9.88671875" style="2" bestFit="1" customWidth="1"/>
    <col min="6217" max="6220" width="8.6640625" style="2"/>
    <col min="6221" max="6221" width="10.88671875" style="2" bestFit="1" customWidth="1"/>
    <col min="6222" max="6222" width="8.6640625" style="2"/>
    <col min="6223" max="6223" width="13.109375" style="2" bestFit="1" customWidth="1"/>
    <col min="6224" max="6224" width="9.88671875" style="2" bestFit="1" customWidth="1"/>
    <col min="6225" max="6226" width="10.88671875" style="2" bestFit="1" customWidth="1"/>
    <col min="6227" max="6227" width="9.88671875" style="2" bestFit="1" customWidth="1"/>
    <col min="6228" max="6228" width="10.33203125" style="2" bestFit="1" customWidth="1"/>
    <col min="6229" max="6229" width="8.6640625" style="2"/>
    <col min="6230" max="6230" width="10.88671875" style="2" bestFit="1" customWidth="1"/>
    <col min="6231" max="6232" width="11.5546875" style="2" bestFit="1" customWidth="1"/>
    <col min="6233" max="6236" width="10.88671875" style="2" bestFit="1" customWidth="1"/>
    <col min="6237" max="6237" width="12.6640625" style="2" bestFit="1" customWidth="1"/>
    <col min="6238" max="6238" width="10.5546875" style="2" bestFit="1" customWidth="1"/>
    <col min="6239" max="6239" width="9.88671875" style="2" bestFit="1" customWidth="1"/>
    <col min="6240" max="6240" width="10.88671875" style="2" customWidth="1"/>
    <col min="6241" max="6242" width="9.88671875" style="2" bestFit="1" customWidth="1"/>
    <col min="6243" max="6243" width="10.88671875" style="2" bestFit="1" customWidth="1"/>
    <col min="6244" max="6245" width="8.6640625" style="2"/>
    <col min="6246" max="6246" width="10.88671875" style="2" bestFit="1" customWidth="1"/>
    <col min="6247" max="6247" width="11.88671875" style="2" bestFit="1" customWidth="1"/>
    <col min="6248" max="6250" width="8.6640625" style="2"/>
    <col min="6251" max="6252" width="10.88671875" style="2" bestFit="1" customWidth="1"/>
    <col min="6253" max="6253" width="8.6640625" style="2"/>
    <col min="6254" max="6254" width="10.88671875" style="2" bestFit="1" customWidth="1"/>
    <col min="6255" max="6256" width="8.6640625" style="2"/>
    <col min="6257" max="6257" width="10.88671875" style="2" bestFit="1" customWidth="1"/>
    <col min="6258" max="6400" width="8.6640625" style="2"/>
    <col min="6401" max="6401" width="21.5546875" style="2" customWidth="1"/>
    <col min="6402" max="6402" width="35" style="2" customWidth="1"/>
    <col min="6403" max="6404" width="8.44140625" style="2" customWidth="1"/>
    <col min="6405" max="6412" width="9.88671875" style="2" bestFit="1" customWidth="1"/>
    <col min="6413" max="6413" width="10.88671875" style="2" bestFit="1" customWidth="1"/>
    <col min="6414" max="6414" width="8.44140625" style="2" customWidth="1"/>
    <col min="6415" max="6415" width="8.6640625" style="2"/>
    <col min="6416" max="6417" width="10.88671875" style="2" bestFit="1" customWidth="1"/>
    <col min="6418" max="6418" width="9" style="2" customWidth="1"/>
    <col min="6419" max="6419" width="8.6640625" style="2"/>
    <col min="6420" max="6420" width="8.44140625" style="2" customWidth="1"/>
    <col min="6421" max="6421" width="9.109375" style="2" customWidth="1"/>
    <col min="6422" max="6422" width="9" style="2" customWidth="1"/>
    <col min="6423" max="6423" width="7.5546875" style="2" customWidth="1"/>
    <col min="6424" max="6424" width="8" style="2" customWidth="1"/>
    <col min="6425" max="6425" width="7.88671875" style="2" customWidth="1"/>
    <col min="6426" max="6426" width="7.5546875" style="2" customWidth="1"/>
    <col min="6427" max="6427" width="8.5546875" style="2" customWidth="1"/>
    <col min="6428" max="6428" width="8.44140625" style="2" customWidth="1"/>
    <col min="6429" max="6430" width="7.88671875" style="2" customWidth="1"/>
    <col min="6431" max="6431" width="8.109375" style="2" customWidth="1"/>
    <col min="6432" max="6432" width="9" style="2" customWidth="1"/>
    <col min="6433" max="6435" width="9.88671875" style="2" bestFit="1" customWidth="1"/>
    <col min="6436" max="6436" width="9.88671875" style="2" customWidth="1"/>
    <col min="6437" max="6437" width="9.44140625" style="2" customWidth="1"/>
    <col min="6438" max="6438" width="9.5546875" style="2" customWidth="1"/>
    <col min="6439" max="6440" width="11.5546875" style="2" bestFit="1" customWidth="1"/>
    <col min="6441" max="6442" width="9.88671875" style="2" bestFit="1" customWidth="1"/>
    <col min="6443" max="6444" width="10.5546875" style="2" bestFit="1" customWidth="1"/>
    <col min="6445" max="6445" width="10.5546875" style="2" customWidth="1"/>
    <col min="6446" max="6446" width="10.5546875" style="2" bestFit="1" customWidth="1"/>
    <col min="6447" max="6447" width="9.88671875" style="2" bestFit="1" customWidth="1"/>
    <col min="6448" max="6448" width="10.5546875" style="2" bestFit="1" customWidth="1"/>
    <col min="6449" max="6449" width="10.88671875" style="2" bestFit="1" customWidth="1"/>
    <col min="6450" max="6450" width="9.6640625" style="2" customWidth="1"/>
    <col min="6451" max="6451" width="9.88671875" style="2" bestFit="1" customWidth="1"/>
    <col min="6452" max="6456" width="9.6640625" style="2" customWidth="1"/>
    <col min="6457" max="6457" width="10.88671875" style="2" bestFit="1" customWidth="1"/>
    <col min="6458" max="6465" width="9.6640625" style="2" customWidth="1"/>
    <col min="6466" max="6467" width="9.88671875" style="2" bestFit="1" customWidth="1"/>
    <col min="6468" max="6468" width="10.88671875" style="2" bestFit="1" customWidth="1"/>
    <col min="6469" max="6469" width="9.88671875" style="2" bestFit="1" customWidth="1"/>
    <col min="6470" max="6470" width="10.88671875" style="2" bestFit="1" customWidth="1"/>
    <col min="6471" max="6472" width="9.88671875" style="2" bestFit="1" customWidth="1"/>
    <col min="6473" max="6476" width="8.6640625" style="2"/>
    <col min="6477" max="6477" width="10.88671875" style="2" bestFit="1" customWidth="1"/>
    <col min="6478" max="6478" width="8.6640625" style="2"/>
    <col min="6479" max="6479" width="13.109375" style="2" bestFit="1" customWidth="1"/>
    <col min="6480" max="6480" width="9.88671875" style="2" bestFit="1" customWidth="1"/>
    <col min="6481" max="6482" width="10.88671875" style="2" bestFit="1" customWidth="1"/>
    <col min="6483" max="6483" width="9.88671875" style="2" bestFit="1" customWidth="1"/>
    <col min="6484" max="6484" width="10.33203125" style="2" bestFit="1" customWidth="1"/>
    <col min="6485" max="6485" width="8.6640625" style="2"/>
    <col min="6486" max="6486" width="10.88671875" style="2" bestFit="1" customWidth="1"/>
    <col min="6487" max="6488" width="11.5546875" style="2" bestFit="1" customWidth="1"/>
    <col min="6489" max="6492" width="10.88671875" style="2" bestFit="1" customWidth="1"/>
    <col min="6493" max="6493" width="12.6640625" style="2" bestFit="1" customWidth="1"/>
    <col min="6494" max="6494" width="10.5546875" style="2" bestFit="1" customWidth="1"/>
    <col min="6495" max="6495" width="9.88671875" style="2" bestFit="1" customWidth="1"/>
    <col min="6496" max="6496" width="10.88671875" style="2" customWidth="1"/>
    <col min="6497" max="6498" width="9.88671875" style="2" bestFit="1" customWidth="1"/>
    <col min="6499" max="6499" width="10.88671875" style="2" bestFit="1" customWidth="1"/>
    <col min="6500" max="6501" width="8.6640625" style="2"/>
    <col min="6502" max="6502" width="10.88671875" style="2" bestFit="1" customWidth="1"/>
    <col min="6503" max="6503" width="11.88671875" style="2" bestFit="1" customWidth="1"/>
    <col min="6504" max="6506" width="8.6640625" style="2"/>
    <col min="6507" max="6508" width="10.88671875" style="2" bestFit="1" customWidth="1"/>
    <col min="6509" max="6509" width="8.6640625" style="2"/>
    <col min="6510" max="6510" width="10.88671875" style="2" bestFit="1" customWidth="1"/>
    <col min="6511" max="6512" width="8.6640625" style="2"/>
    <col min="6513" max="6513" width="10.88671875" style="2" bestFit="1" customWidth="1"/>
    <col min="6514" max="6656" width="8.6640625" style="2"/>
    <col min="6657" max="6657" width="21.5546875" style="2" customWidth="1"/>
    <col min="6658" max="6658" width="35" style="2" customWidth="1"/>
    <col min="6659" max="6660" width="8.44140625" style="2" customWidth="1"/>
    <col min="6661" max="6668" width="9.88671875" style="2" bestFit="1" customWidth="1"/>
    <col min="6669" max="6669" width="10.88671875" style="2" bestFit="1" customWidth="1"/>
    <col min="6670" max="6670" width="8.44140625" style="2" customWidth="1"/>
    <col min="6671" max="6671" width="8.6640625" style="2"/>
    <col min="6672" max="6673" width="10.88671875" style="2" bestFit="1" customWidth="1"/>
    <col min="6674" max="6674" width="9" style="2" customWidth="1"/>
    <col min="6675" max="6675" width="8.6640625" style="2"/>
    <col min="6676" max="6676" width="8.44140625" style="2" customWidth="1"/>
    <col min="6677" max="6677" width="9.109375" style="2" customWidth="1"/>
    <col min="6678" max="6678" width="9" style="2" customWidth="1"/>
    <col min="6679" max="6679" width="7.5546875" style="2" customWidth="1"/>
    <col min="6680" max="6680" width="8" style="2" customWidth="1"/>
    <col min="6681" max="6681" width="7.88671875" style="2" customWidth="1"/>
    <col min="6682" max="6682" width="7.5546875" style="2" customWidth="1"/>
    <col min="6683" max="6683" width="8.5546875" style="2" customWidth="1"/>
    <col min="6684" max="6684" width="8.44140625" style="2" customWidth="1"/>
    <col min="6685" max="6686" width="7.88671875" style="2" customWidth="1"/>
    <col min="6687" max="6687" width="8.109375" style="2" customWidth="1"/>
    <col min="6688" max="6688" width="9" style="2" customWidth="1"/>
    <col min="6689" max="6691" width="9.88671875" style="2" bestFit="1" customWidth="1"/>
    <col min="6692" max="6692" width="9.88671875" style="2" customWidth="1"/>
    <col min="6693" max="6693" width="9.44140625" style="2" customWidth="1"/>
    <col min="6694" max="6694" width="9.5546875" style="2" customWidth="1"/>
    <col min="6695" max="6696" width="11.5546875" style="2" bestFit="1" customWidth="1"/>
    <col min="6697" max="6698" width="9.88671875" style="2" bestFit="1" customWidth="1"/>
    <col min="6699" max="6700" width="10.5546875" style="2" bestFit="1" customWidth="1"/>
    <col min="6701" max="6701" width="10.5546875" style="2" customWidth="1"/>
    <col min="6702" max="6702" width="10.5546875" style="2" bestFit="1" customWidth="1"/>
    <col min="6703" max="6703" width="9.88671875" style="2" bestFit="1" customWidth="1"/>
    <col min="6704" max="6704" width="10.5546875" style="2" bestFit="1" customWidth="1"/>
    <col min="6705" max="6705" width="10.88671875" style="2" bestFit="1" customWidth="1"/>
    <col min="6706" max="6706" width="9.6640625" style="2" customWidth="1"/>
    <col min="6707" max="6707" width="9.88671875" style="2" bestFit="1" customWidth="1"/>
    <col min="6708" max="6712" width="9.6640625" style="2" customWidth="1"/>
    <col min="6713" max="6713" width="10.88671875" style="2" bestFit="1" customWidth="1"/>
    <col min="6714" max="6721" width="9.6640625" style="2" customWidth="1"/>
    <col min="6722" max="6723" width="9.88671875" style="2" bestFit="1" customWidth="1"/>
    <col min="6724" max="6724" width="10.88671875" style="2" bestFit="1" customWidth="1"/>
    <col min="6725" max="6725" width="9.88671875" style="2" bestFit="1" customWidth="1"/>
    <col min="6726" max="6726" width="10.88671875" style="2" bestFit="1" customWidth="1"/>
    <col min="6727" max="6728" width="9.88671875" style="2" bestFit="1" customWidth="1"/>
    <col min="6729" max="6732" width="8.6640625" style="2"/>
    <col min="6733" max="6733" width="10.88671875" style="2" bestFit="1" customWidth="1"/>
    <col min="6734" max="6734" width="8.6640625" style="2"/>
    <col min="6735" max="6735" width="13.109375" style="2" bestFit="1" customWidth="1"/>
    <col min="6736" max="6736" width="9.88671875" style="2" bestFit="1" customWidth="1"/>
    <col min="6737" max="6738" width="10.88671875" style="2" bestFit="1" customWidth="1"/>
    <col min="6739" max="6739" width="9.88671875" style="2" bestFit="1" customWidth="1"/>
    <col min="6740" max="6740" width="10.33203125" style="2" bestFit="1" customWidth="1"/>
    <col min="6741" max="6741" width="8.6640625" style="2"/>
    <col min="6742" max="6742" width="10.88671875" style="2" bestFit="1" customWidth="1"/>
    <col min="6743" max="6744" width="11.5546875" style="2" bestFit="1" customWidth="1"/>
    <col min="6745" max="6748" width="10.88671875" style="2" bestFit="1" customWidth="1"/>
    <col min="6749" max="6749" width="12.6640625" style="2" bestFit="1" customWidth="1"/>
    <col min="6750" max="6750" width="10.5546875" style="2" bestFit="1" customWidth="1"/>
    <col min="6751" max="6751" width="9.88671875" style="2" bestFit="1" customWidth="1"/>
    <col min="6752" max="6752" width="10.88671875" style="2" customWidth="1"/>
    <col min="6753" max="6754" width="9.88671875" style="2" bestFit="1" customWidth="1"/>
    <col min="6755" max="6755" width="10.88671875" style="2" bestFit="1" customWidth="1"/>
    <col min="6756" max="6757" width="8.6640625" style="2"/>
    <col min="6758" max="6758" width="10.88671875" style="2" bestFit="1" customWidth="1"/>
    <col min="6759" max="6759" width="11.88671875" style="2" bestFit="1" customWidth="1"/>
    <col min="6760" max="6762" width="8.6640625" style="2"/>
    <col min="6763" max="6764" width="10.88671875" style="2" bestFit="1" customWidth="1"/>
    <col min="6765" max="6765" width="8.6640625" style="2"/>
    <col min="6766" max="6766" width="10.88671875" style="2" bestFit="1" customWidth="1"/>
    <col min="6767" max="6768" width="8.6640625" style="2"/>
    <col min="6769" max="6769" width="10.88671875" style="2" bestFit="1" customWidth="1"/>
    <col min="6770" max="6912" width="8.6640625" style="2"/>
    <col min="6913" max="6913" width="21.5546875" style="2" customWidth="1"/>
    <col min="6914" max="6914" width="35" style="2" customWidth="1"/>
    <col min="6915" max="6916" width="8.44140625" style="2" customWidth="1"/>
    <col min="6917" max="6924" width="9.88671875" style="2" bestFit="1" customWidth="1"/>
    <col min="6925" max="6925" width="10.88671875" style="2" bestFit="1" customWidth="1"/>
    <col min="6926" max="6926" width="8.44140625" style="2" customWidth="1"/>
    <col min="6927" max="6927" width="8.6640625" style="2"/>
    <col min="6928" max="6929" width="10.88671875" style="2" bestFit="1" customWidth="1"/>
    <col min="6930" max="6930" width="9" style="2" customWidth="1"/>
    <col min="6931" max="6931" width="8.6640625" style="2"/>
    <col min="6932" max="6932" width="8.44140625" style="2" customWidth="1"/>
    <col min="6933" max="6933" width="9.109375" style="2" customWidth="1"/>
    <col min="6934" max="6934" width="9" style="2" customWidth="1"/>
    <col min="6935" max="6935" width="7.5546875" style="2" customWidth="1"/>
    <col min="6936" max="6936" width="8" style="2" customWidth="1"/>
    <col min="6937" max="6937" width="7.88671875" style="2" customWidth="1"/>
    <col min="6938" max="6938" width="7.5546875" style="2" customWidth="1"/>
    <col min="6939" max="6939" width="8.5546875" style="2" customWidth="1"/>
    <col min="6940" max="6940" width="8.44140625" style="2" customWidth="1"/>
    <col min="6941" max="6942" width="7.88671875" style="2" customWidth="1"/>
    <col min="6943" max="6943" width="8.109375" style="2" customWidth="1"/>
    <col min="6944" max="6944" width="9" style="2" customWidth="1"/>
    <col min="6945" max="6947" width="9.88671875" style="2" bestFit="1" customWidth="1"/>
    <col min="6948" max="6948" width="9.88671875" style="2" customWidth="1"/>
    <col min="6949" max="6949" width="9.44140625" style="2" customWidth="1"/>
    <col min="6950" max="6950" width="9.5546875" style="2" customWidth="1"/>
    <col min="6951" max="6952" width="11.5546875" style="2" bestFit="1" customWidth="1"/>
    <col min="6953" max="6954" width="9.88671875" style="2" bestFit="1" customWidth="1"/>
    <col min="6955" max="6956" width="10.5546875" style="2" bestFit="1" customWidth="1"/>
    <col min="6957" max="6957" width="10.5546875" style="2" customWidth="1"/>
    <col min="6958" max="6958" width="10.5546875" style="2" bestFit="1" customWidth="1"/>
    <col min="6959" max="6959" width="9.88671875" style="2" bestFit="1" customWidth="1"/>
    <col min="6960" max="6960" width="10.5546875" style="2" bestFit="1" customWidth="1"/>
    <col min="6961" max="6961" width="10.88671875" style="2" bestFit="1" customWidth="1"/>
    <col min="6962" max="6962" width="9.6640625" style="2" customWidth="1"/>
    <col min="6963" max="6963" width="9.88671875" style="2" bestFit="1" customWidth="1"/>
    <col min="6964" max="6968" width="9.6640625" style="2" customWidth="1"/>
    <col min="6969" max="6969" width="10.88671875" style="2" bestFit="1" customWidth="1"/>
    <col min="6970" max="6977" width="9.6640625" style="2" customWidth="1"/>
    <col min="6978" max="6979" width="9.88671875" style="2" bestFit="1" customWidth="1"/>
    <col min="6980" max="6980" width="10.88671875" style="2" bestFit="1" customWidth="1"/>
    <col min="6981" max="6981" width="9.88671875" style="2" bestFit="1" customWidth="1"/>
    <col min="6982" max="6982" width="10.88671875" style="2" bestFit="1" customWidth="1"/>
    <col min="6983" max="6984" width="9.88671875" style="2" bestFit="1" customWidth="1"/>
    <col min="6985" max="6988" width="8.6640625" style="2"/>
    <col min="6989" max="6989" width="10.88671875" style="2" bestFit="1" customWidth="1"/>
    <col min="6990" max="6990" width="8.6640625" style="2"/>
    <col min="6991" max="6991" width="13.109375" style="2" bestFit="1" customWidth="1"/>
    <col min="6992" max="6992" width="9.88671875" style="2" bestFit="1" customWidth="1"/>
    <col min="6993" max="6994" width="10.88671875" style="2" bestFit="1" customWidth="1"/>
    <col min="6995" max="6995" width="9.88671875" style="2" bestFit="1" customWidth="1"/>
    <col min="6996" max="6996" width="10.33203125" style="2" bestFit="1" customWidth="1"/>
    <col min="6997" max="6997" width="8.6640625" style="2"/>
    <col min="6998" max="6998" width="10.88671875" style="2" bestFit="1" customWidth="1"/>
    <col min="6999" max="7000" width="11.5546875" style="2" bestFit="1" customWidth="1"/>
    <col min="7001" max="7004" width="10.88671875" style="2" bestFit="1" customWidth="1"/>
    <col min="7005" max="7005" width="12.6640625" style="2" bestFit="1" customWidth="1"/>
    <col min="7006" max="7006" width="10.5546875" style="2" bestFit="1" customWidth="1"/>
    <col min="7007" max="7007" width="9.88671875" style="2" bestFit="1" customWidth="1"/>
    <col min="7008" max="7008" width="10.88671875" style="2" customWidth="1"/>
    <col min="7009" max="7010" width="9.88671875" style="2" bestFit="1" customWidth="1"/>
    <col min="7011" max="7011" width="10.88671875" style="2" bestFit="1" customWidth="1"/>
    <col min="7012" max="7013" width="8.6640625" style="2"/>
    <col min="7014" max="7014" width="10.88671875" style="2" bestFit="1" customWidth="1"/>
    <col min="7015" max="7015" width="11.88671875" style="2" bestFit="1" customWidth="1"/>
    <col min="7016" max="7018" width="8.6640625" style="2"/>
    <col min="7019" max="7020" width="10.88671875" style="2" bestFit="1" customWidth="1"/>
    <col min="7021" max="7021" width="8.6640625" style="2"/>
    <col min="7022" max="7022" width="10.88671875" style="2" bestFit="1" customWidth="1"/>
    <col min="7023" max="7024" width="8.6640625" style="2"/>
    <col min="7025" max="7025" width="10.88671875" style="2" bestFit="1" customWidth="1"/>
    <col min="7026" max="7168" width="8.6640625" style="2"/>
    <col min="7169" max="7169" width="21.5546875" style="2" customWidth="1"/>
    <col min="7170" max="7170" width="35" style="2" customWidth="1"/>
    <col min="7171" max="7172" width="8.44140625" style="2" customWidth="1"/>
    <col min="7173" max="7180" width="9.88671875" style="2" bestFit="1" customWidth="1"/>
    <col min="7181" max="7181" width="10.88671875" style="2" bestFit="1" customWidth="1"/>
    <col min="7182" max="7182" width="8.44140625" style="2" customWidth="1"/>
    <col min="7183" max="7183" width="8.6640625" style="2"/>
    <col min="7184" max="7185" width="10.88671875" style="2" bestFit="1" customWidth="1"/>
    <col min="7186" max="7186" width="9" style="2" customWidth="1"/>
    <col min="7187" max="7187" width="8.6640625" style="2"/>
    <col min="7188" max="7188" width="8.44140625" style="2" customWidth="1"/>
    <col min="7189" max="7189" width="9.109375" style="2" customWidth="1"/>
    <col min="7190" max="7190" width="9" style="2" customWidth="1"/>
    <col min="7191" max="7191" width="7.5546875" style="2" customWidth="1"/>
    <col min="7192" max="7192" width="8" style="2" customWidth="1"/>
    <col min="7193" max="7193" width="7.88671875" style="2" customWidth="1"/>
    <col min="7194" max="7194" width="7.5546875" style="2" customWidth="1"/>
    <col min="7195" max="7195" width="8.5546875" style="2" customWidth="1"/>
    <col min="7196" max="7196" width="8.44140625" style="2" customWidth="1"/>
    <col min="7197" max="7198" width="7.88671875" style="2" customWidth="1"/>
    <col min="7199" max="7199" width="8.109375" style="2" customWidth="1"/>
    <col min="7200" max="7200" width="9" style="2" customWidth="1"/>
    <col min="7201" max="7203" width="9.88671875" style="2" bestFit="1" customWidth="1"/>
    <col min="7204" max="7204" width="9.88671875" style="2" customWidth="1"/>
    <col min="7205" max="7205" width="9.44140625" style="2" customWidth="1"/>
    <col min="7206" max="7206" width="9.5546875" style="2" customWidth="1"/>
    <col min="7207" max="7208" width="11.5546875" style="2" bestFit="1" customWidth="1"/>
    <col min="7209" max="7210" width="9.88671875" style="2" bestFit="1" customWidth="1"/>
    <col min="7211" max="7212" width="10.5546875" style="2" bestFit="1" customWidth="1"/>
    <col min="7213" max="7213" width="10.5546875" style="2" customWidth="1"/>
    <col min="7214" max="7214" width="10.5546875" style="2" bestFit="1" customWidth="1"/>
    <col min="7215" max="7215" width="9.88671875" style="2" bestFit="1" customWidth="1"/>
    <col min="7216" max="7216" width="10.5546875" style="2" bestFit="1" customWidth="1"/>
    <col min="7217" max="7217" width="10.88671875" style="2" bestFit="1" customWidth="1"/>
    <col min="7218" max="7218" width="9.6640625" style="2" customWidth="1"/>
    <col min="7219" max="7219" width="9.88671875" style="2" bestFit="1" customWidth="1"/>
    <col min="7220" max="7224" width="9.6640625" style="2" customWidth="1"/>
    <col min="7225" max="7225" width="10.88671875" style="2" bestFit="1" customWidth="1"/>
    <col min="7226" max="7233" width="9.6640625" style="2" customWidth="1"/>
    <col min="7234" max="7235" width="9.88671875" style="2" bestFit="1" customWidth="1"/>
    <col min="7236" max="7236" width="10.88671875" style="2" bestFit="1" customWidth="1"/>
    <col min="7237" max="7237" width="9.88671875" style="2" bestFit="1" customWidth="1"/>
    <col min="7238" max="7238" width="10.88671875" style="2" bestFit="1" customWidth="1"/>
    <col min="7239" max="7240" width="9.88671875" style="2" bestFit="1" customWidth="1"/>
    <col min="7241" max="7244" width="8.6640625" style="2"/>
    <col min="7245" max="7245" width="10.88671875" style="2" bestFit="1" customWidth="1"/>
    <col min="7246" max="7246" width="8.6640625" style="2"/>
    <col min="7247" max="7247" width="13.109375" style="2" bestFit="1" customWidth="1"/>
    <col min="7248" max="7248" width="9.88671875" style="2" bestFit="1" customWidth="1"/>
    <col min="7249" max="7250" width="10.88671875" style="2" bestFit="1" customWidth="1"/>
    <col min="7251" max="7251" width="9.88671875" style="2" bestFit="1" customWidth="1"/>
    <col min="7252" max="7252" width="10.33203125" style="2" bestFit="1" customWidth="1"/>
    <col min="7253" max="7253" width="8.6640625" style="2"/>
    <col min="7254" max="7254" width="10.88671875" style="2" bestFit="1" customWidth="1"/>
    <col min="7255" max="7256" width="11.5546875" style="2" bestFit="1" customWidth="1"/>
    <col min="7257" max="7260" width="10.88671875" style="2" bestFit="1" customWidth="1"/>
    <col min="7261" max="7261" width="12.6640625" style="2" bestFit="1" customWidth="1"/>
    <col min="7262" max="7262" width="10.5546875" style="2" bestFit="1" customWidth="1"/>
    <col min="7263" max="7263" width="9.88671875" style="2" bestFit="1" customWidth="1"/>
    <col min="7264" max="7264" width="10.88671875" style="2" customWidth="1"/>
    <col min="7265" max="7266" width="9.88671875" style="2" bestFit="1" customWidth="1"/>
    <col min="7267" max="7267" width="10.88671875" style="2" bestFit="1" customWidth="1"/>
    <col min="7268" max="7269" width="8.6640625" style="2"/>
    <col min="7270" max="7270" width="10.88671875" style="2" bestFit="1" customWidth="1"/>
    <col min="7271" max="7271" width="11.88671875" style="2" bestFit="1" customWidth="1"/>
    <col min="7272" max="7274" width="8.6640625" style="2"/>
    <col min="7275" max="7276" width="10.88671875" style="2" bestFit="1" customWidth="1"/>
    <col min="7277" max="7277" width="8.6640625" style="2"/>
    <col min="7278" max="7278" width="10.88671875" style="2" bestFit="1" customWidth="1"/>
    <col min="7279" max="7280" width="8.6640625" style="2"/>
    <col min="7281" max="7281" width="10.88671875" style="2" bestFit="1" customWidth="1"/>
    <col min="7282" max="7424" width="8.6640625" style="2"/>
    <col min="7425" max="7425" width="21.5546875" style="2" customWidth="1"/>
    <col min="7426" max="7426" width="35" style="2" customWidth="1"/>
    <col min="7427" max="7428" width="8.44140625" style="2" customWidth="1"/>
    <col min="7429" max="7436" width="9.88671875" style="2" bestFit="1" customWidth="1"/>
    <col min="7437" max="7437" width="10.88671875" style="2" bestFit="1" customWidth="1"/>
    <col min="7438" max="7438" width="8.44140625" style="2" customWidth="1"/>
    <col min="7439" max="7439" width="8.6640625" style="2"/>
    <col min="7440" max="7441" width="10.88671875" style="2" bestFit="1" customWidth="1"/>
    <col min="7442" max="7442" width="9" style="2" customWidth="1"/>
    <col min="7443" max="7443" width="8.6640625" style="2"/>
    <col min="7444" max="7444" width="8.44140625" style="2" customWidth="1"/>
    <col min="7445" max="7445" width="9.109375" style="2" customWidth="1"/>
    <col min="7446" max="7446" width="9" style="2" customWidth="1"/>
    <col min="7447" max="7447" width="7.5546875" style="2" customWidth="1"/>
    <col min="7448" max="7448" width="8" style="2" customWidth="1"/>
    <col min="7449" max="7449" width="7.88671875" style="2" customWidth="1"/>
    <col min="7450" max="7450" width="7.5546875" style="2" customWidth="1"/>
    <col min="7451" max="7451" width="8.5546875" style="2" customWidth="1"/>
    <col min="7452" max="7452" width="8.44140625" style="2" customWidth="1"/>
    <col min="7453" max="7454" width="7.88671875" style="2" customWidth="1"/>
    <col min="7455" max="7455" width="8.109375" style="2" customWidth="1"/>
    <col min="7456" max="7456" width="9" style="2" customWidth="1"/>
    <col min="7457" max="7459" width="9.88671875" style="2" bestFit="1" customWidth="1"/>
    <col min="7460" max="7460" width="9.88671875" style="2" customWidth="1"/>
    <col min="7461" max="7461" width="9.44140625" style="2" customWidth="1"/>
    <col min="7462" max="7462" width="9.5546875" style="2" customWidth="1"/>
    <col min="7463" max="7464" width="11.5546875" style="2" bestFit="1" customWidth="1"/>
    <col min="7465" max="7466" width="9.88671875" style="2" bestFit="1" customWidth="1"/>
    <col min="7467" max="7468" width="10.5546875" style="2" bestFit="1" customWidth="1"/>
    <col min="7469" max="7469" width="10.5546875" style="2" customWidth="1"/>
    <col min="7470" max="7470" width="10.5546875" style="2" bestFit="1" customWidth="1"/>
    <col min="7471" max="7471" width="9.88671875" style="2" bestFit="1" customWidth="1"/>
    <col min="7472" max="7472" width="10.5546875" style="2" bestFit="1" customWidth="1"/>
    <col min="7473" max="7473" width="10.88671875" style="2" bestFit="1" customWidth="1"/>
    <col min="7474" max="7474" width="9.6640625" style="2" customWidth="1"/>
    <col min="7475" max="7475" width="9.88671875" style="2" bestFit="1" customWidth="1"/>
    <col min="7476" max="7480" width="9.6640625" style="2" customWidth="1"/>
    <col min="7481" max="7481" width="10.88671875" style="2" bestFit="1" customWidth="1"/>
    <col min="7482" max="7489" width="9.6640625" style="2" customWidth="1"/>
    <col min="7490" max="7491" width="9.88671875" style="2" bestFit="1" customWidth="1"/>
    <col min="7492" max="7492" width="10.88671875" style="2" bestFit="1" customWidth="1"/>
    <col min="7493" max="7493" width="9.88671875" style="2" bestFit="1" customWidth="1"/>
    <col min="7494" max="7494" width="10.88671875" style="2" bestFit="1" customWidth="1"/>
    <col min="7495" max="7496" width="9.88671875" style="2" bestFit="1" customWidth="1"/>
    <col min="7497" max="7500" width="8.6640625" style="2"/>
    <col min="7501" max="7501" width="10.88671875" style="2" bestFit="1" customWidth="1"/>
    <col min="7502" max="7502" width="8.6640625" style="2"/>
    <col min="7503" max="7503" width="13.109375" style="2" bestFit="1" customWidth="1"/>
    <col min="7504" max="7504" width="9.88671875" style="2" bestFit="1" customWidth="1"/>
    <col min="7505" max="7506" width="10.88671875" style="2" bestFit="1" customWidth="1"/>
    <col min="7507" max="7507" width="9.88671875" style="2" bestFit="1" customWidth="1"/>
    <col min="7508" max="7508" width="10.33203125" style="2" bestFit="1" customWidth="1"/>
    <col min="7509" max="7509" width="8.6640625" style="2"/>
    <col min="7510" max="7510" width="10.88671875" style="2" bestFit="1" customWidth="1"/>
    <col min="7511" max="7512" width="11.5546875" style="2" bestFit="1" customWidth="1"/>
    <col min="7513" max="7516" width="10.88671875" style="2" bestFit="1" customWidth="1"/>
    <col min="7517" max="7517" width="12.6640625" style="2" bestFit="1" customWidth="1"/>
    <col min="7518" max="7518" width="10.5546875" style="2" bestFit="1" customWidth="1"/>
    <col min="7519" max="7519" width="9.88671875" style="2" bestFit="1" customWidth="1"/>
    <col min="7520" max="7520" width="10.88671875" style="2" customWidth="1"/>
    <col min="7521" max="7522" width="9.88671875" style="2" bestFit="1" customWidth="1"/>
    <col min="7523" max="7523" width="10.88671875" style="2" bestFit="1" customWidth="1"/>
    <col min="7524" max="7525" width="8.6640625" style="2"/>
    <col min="7526" max="7526" width="10.88671875" style="2" bestFit="1" customWidth="1"/>
    <col min="7527" max="7527" width="11.88671875" style="2" bestFit="1" customWidth="1"/>
    <col min="7528" max="7530" width="8.6640625" style="2"/>
    <col min="7531" max="7532" width="10.88671875" style="2" bestFit="1" customWidth="1"/>
    <col min="7533" max="7533" width="8.6640625" style="2"/>
    <col min="7534" max="7534" width="10.88671875" style="2" bestFit="1" customWidth="1"/>
    <col min="7535" max="7536" width="8.6640625" style="2"/>
    <col min="7537" max="7537" width="10.88671875" style="2" bestFit="1" customWidth="1"/>
    <col min="7538" max="7680" width="8.6640625" style="2"/>
    <col min="7681" max="7681" width="21.5546875" style="2" customWidth="1"/>
    <col min="7682" max="7682" width="35" style="2" customWidth="1"/>
    <col min="7683" max="7684" width="8.44140625" style="2" customWidth="1"/>
    <col min="7685" max="7692" width="9.88671875" style="2" bestFit="1" customWidth="1"/>
    <col min="7693" max="7693" width="10.88671875" style="2" bestFit="1" customWidth="1"/>
    <col min="7694" max="7694" width="8.44140625" style="2" customWidth="1"/>
    <col min="7695" max="7695" width="8.6640625" style="2"/>
    <col min="7696" max="7697" width="10.88671875" style="2" bestFit="1" customWidth="1"/>
    <col min="7698" max="7698" width="9" style="2" customWidth="1"/>
    <col min="7699" max="7699" width="8.6640625" style="2"/>
    <col min="7700" max="7700" width="8.44140625" style="2" customWidth="1"/>
    <col min="7701" max="7701" width="9.109375" style="2" customWidth="1"/>
    <col min="7702" max="7702" width="9" style="2" customWidth="1"/>
    <col min="7703" max="7703" width="7.5546875" style="2" customWidth="1"/>
    <col min="7704" max="7704" width="8" style="2" customWidth="1"/>
    <col min="7705" max="7705" width="7.88671875" style="2" customWidth="1"/>
    <col min="7706" max="7706" width="7.5546875" style="2" customWidth="1"/>
    <col min="7707" max="7707" width="8.5546875" style="2" customWidth="1"/>
    <col min="7708" max="7708" width="8.44140625" style="2" customWidth="1"/>
    <col min="7709" max="7710" width="7.88671875" style="2" customWidth="1"/>
    <col min="7711" max="7711" width="8.109375" style="2" customWidth="1"/>
    <col min="7712" max="7712" width="9" style="2" customWidth="1"/>
    <col min="7713" max="7715" width="9.88671875" style="2" bestFit="1" customWidth="1"/>
    <col min="7716" max="7716" width="9.88671875" style="2" customWidth="1"/>
    <col min="7717" max="7717" width="9.44140625" style="2" customWidth="1"/>
    <col min="7718" max="7718" width="9.5546875" style="2" customWidth="1"/>
    <col min="7719" max="7720" width="11.5546875" style="2" bestFit="1" customWidth="1"/>
    <col min="7721" max="7722" width="9.88671875" style="2" bestFit="1" customWidth="1"/>
    <col min="7723" max="7724" width="10.5546875" style="2" bestFit="1" customWidth="1"/>
    <col min="7725" max="7725" width="10.5546875" style="2" customWidth="1"/>
    <col min="7726" max="7726" width="10.5546875" style="2" bestFit="1" customWidth="1"/>
    <col min="7727" max="7727" width="9.88671875" style="2" bestFit="1" customWidth="1"/>
    <col min="7728" max="7728" width="10.5546875" style="2" bestFit="1" customWidth="1"/>
    <col min="7729" max="7729" width="10.88671875" style="2" bestFit="1" customWidth="1"/>
    <col min="7730" max="7730" width="9.6640625" style="2" customWidth="1"/>
    <col min="7731" max="7731" width="9.88671875" style="2" bestFit="1" customWidth="1"/>
    <col min="7732" max="7736" width="9.6640625" style="2" customWidth="1"/>
    <col min="7737" max="7737" width="10.88671875" style="2" bestFit="1" customWidth="1"/>
    <col min="7738" max="7745" width="9.6640625" style="2" customWidth="1"/>
    <col min="7746" max="7747" width="9.88671875" style="2" bestFit="1" customWidth="1"/>
    <col min="7748" max="7748" width="10.88671875" style="2" bestFit="1" customWidth="1"/>
    <col min="7749" max="7749" width="9.88671875" style="2" bestFit="1" customWidth="1"/>
    <col min="7750" max="7750" width="10.88671875" style="2" bestFit="1" customWidth="1"/>
    <col min="7751" max="7752" width="9.88671875" style="2" bestFit="1" customWidth="1"/>
    <col min="7753" max="7756" width="8.6640625" style="2"/>
    <col min="7757" max="7757" width="10.88671875" style="2" bestFit="1" customWidth="1"/>
    <col min="7758" max="7758" width="8.6640625" style="2"/>
    <col min="7759" max="7759" width="13.109375" style="2" bestFit="1" customWidth="1"/>
    <col min="7760" max="7760" width="9.88671875" style="2" bestFit="1" customWidth="1"/>
    <col min="7761" max="7762" width="10.88671875" style="2" bestFit="1" customWidth="1"/>
    <col min="7763" max="7763" width="9.88671875" style="2" bestFit="1" customWidth="1"/>
    <col min="7764" max="7764" width="10.33203125" style="2" bestFit="1" customWidth="1"/>
    <col min="7765" max="7765" width="8.6640625" style="2"/>
    <col min="7766" max="7766" width="10.88671875" style="2" bestFit="1" customWidth="1"/>
    <col min="7767" max="7768" width="11.5546875" style="2" bestFit="1" customWidth="1"/>
    <col min="7769" max="7772" width="10.88671875" style="2" bestFit="1" customWidth="1"/>
    <col min="7773" max="7773" width="12.6640625" style="2" bestFit="1" customWidth="1"/>
    <col min="7774" max="7774" width="10.5546875" style="2" bestFit="1" customWidth="1"/>
    <col min="7775" max="7775" width="9.88671875" style="2" bestFit="1" customWidth="1"/>
    <col min="7776" max="7776" width="10.88671875" style="2" customWidth="1"/>
    <col min="7777" max="7778" width="9.88671875" style="2" bestFit="1" customWidth="1"/>
    <col min="7779" max="7779" width="10.88671875" style="2" bestFit="1" customWidth="1"/>
    <col min="7780" max="7781" width="8.6640625" style="2"/>
    <col min="7782" max="7782" width="10.88671875" style="2" bestFit="1" customWidth="1"/>
    <col min="7783" max="7783" width="11.88671875" style="2" bestFit="1" customWidth="1"/>
    <col min="7784" max="7786" width="8.6640625" style="2"/>
    <col min="7787" max="7788" width="10.88671875" style="2" bestFit="1" customWidth="1"/>
    <col min="7789" max="7789" width="8.6640625" style="2"/>
    <col min="7790" max="7790" width="10.88671875" style="2" bestFit="1" customWidth="1"/>
    <col min="7791" max="7792" width="8.6640625" style="2"/>
    <col min="7793" max="7793" width="10.88671875" style="2" bestFit="1" customWidth="1"/>
    <col min="7794" max="7936" width="8.6640625" style="2"/>
    <col min="7937" max="7937" width="21.5546875" style="2" customWidth="1"/>
    <col min="7938" max="7938" width="35" style="2" customWidth="1"/>
    <col min="7939" max="7940" width="8.44140625" style="2" customWidth="1"/>
    <col min="7941" max="7948" width="9.88671875" style="2" bestFit="1" customWidth="1"/>
    <col min="7949" max="7949" width="10.88671875" style="2" bestFit="1" customWidth="1"/>
    <col min="7950" max="7950" width="8.44140625" style="2" customWidth="1"/>
    <col min="7951" max="7951" width="8.6640625" style="2"/>
    <col min="7952" max="7953" width="10.88671875" style="2" bestFit="1" customWidth="1"/>
    <col min="7954" max="7954" width="9" style="2" customWidth="1"/>
    <col min="7955" max="7955" width="8.6640625" style="2"/>
    <col min="7956" max="7956" width="8.44140625" style="2" customWidth="1"/>
    <col min="7957" max="7957" width="9.109375" style="2" customWidth="1"/>
    <col min="7958" max="7958" width="9" style="2" customWidth="1"/>
    <col min="7959" max="7959" width="7.5546875" style="2" customWidth="1"/>
    <col min="7960" max="7960" width="8" style="2" customWidth="1"/>
    <col min="7961" max="7961" width="7.88671875" style="2" customWidth="1"/>
    <col min="7962" max="7962" width="7.5546875" style="2" customWidth="1"/>
    <col min="7963" max="7963" width="8.5546875" style="2" customWidth="1"/>
    <col min="7964" max="7964" width="8.44140625" style="2" customWidth="1"/>
    <col min="7965" max="7966" width="7.88671875" style="2" customWidth="1"/>
    <col min="7967" max="7967" width="8.109375" style="2" customWidth="1"/>
    <col min="7968" max="7968" width="9" style="2" customWidth="1"/>
    <col min="7969" max="7971" width="9.88671875" style="2" bestFit="1" customWidth="1"/>
    <col min="7972" max="7972" width="9.88671875" style="2" customWidth="1"/>
    <col min="7973" max="7973" width="9.44140625" style="2" customWidth="1"/>
    <col min="7974" max="7974" width="9.5546875" style="2" customWidth="1"/>
    <col min="7975" max="7976" width="11.5546875" style="2" bestFit="1" customWidth="1"/>
    <col min="7977" max="7978" width="9.88671875" style="2" bestFit="1" customWidth="1"/>
    <col min="7979" max="7980" width="10.5546875" style="2" bestFit="1" customWidth="1"/>
    <col min="7981" max="7981" width="10.5546875" style="2" customWidth="1"/>
    <col min="7982" max="7982" width="10.5546875" style="2" bestFit="1" customWidth="1"/>
    <col min="7983" max="7983" width="9.88671875" style="2" bestFit="1" customWidth="1"/>
    <col min="7984" max="7984" width="10.5546875" style="2" bestFit="1" customWidth="1"/>
    <col min="7985" max="7985" width="10.88671875" style="2" bestFit="1" customWidth="1"/>
    <col min="7986" max="7986" width="9.6640625" style="2" customWidth="1"/>
    <col min="7987" max="7987" width="9.88671875" style="2" bestFit="1" customWidth="1"/>
    <col min="7988" max="7992" width="9.6640625" style="2" customWidth="1"/>
    <col min="7993" max="7993" width="10.88671875" style="2" bestFit="1" customWidth="1"/>
    <col min="7994" max="8001" width="9.6640625" style="2" customWidth="1"/>
    <col min="8002" max="8003" width="9.88671875" style="2" bestFit="1" customWidth="1"/>
    <col min="8004" max="8004" width="10.88671875" style="2" bestFit="1" customWidth="1"/>
    <col min="8005" max="8005" width="9.88671875" style="2" bestFit="1" customWidth="1"/>
    <col min="8006" max="8006" width="10.88671875" style="2" bestFit="1" customWidth="1"/>
    <col min="8007" max="8008" width="9.88671875" style="2" bestFit="1" customWidth="1"/>
    <col min="8009" max="8012" width="8.6640625" style="2"/>
    <col min="8013" max="8013" width="10.88671875" style="2" bestFit="1" customWidth="1"/>
    <col min="8014" max="8014" width="8.6640625" style="2"/>
    <col min="8015" max="8015" width="13.109375" style="2" bestFit="1" customWidth="1"/>
    <col min="8016" max="8016" width="9.88671875" style="2" bestFit="1" customWidth="1"/>
    <col min="8017" max="8018" width="10.88671875" style="2" bestFit="1" customWidth="1"/>
    <col min="8019" max="8019" width="9.88671875" style="2" bestFit="1" customWidth="1"/>
    <col min="8020" max="8020" width="10.33203125" style="2" bestFit="1" customWidth="1"/>
    <col min="8021" max="8021" width="8.6640625" style="2"/>
    <col min="8022" max="8022" width="10.88671875" style="2" bestFit="1" customWidth="1"/>
    <col min="8023" max="8024" width="11.5546875" style="2" bestFit="1" customWidth="1"/>
    <col min="8025" max="8028" width="10.88671875" style="2" bestFit="1" customWidth="1"/>
    <col min="8029" max="8029" width="12.6640625" style="2" bestFit="1" customWidth="1"/>
    <col min="8030" max="8030" width="10.5546875" style="2" bestFit="1" customWidth="1"/>
    <col min="8031" max="8031" width="9.88671875" style="2" bestFit="1" customWidth="1"/>
    <col min="8032" max="8032" width="10.88671875" style="2" customWidth="1"/>
    <col min="8033" max="8034" width="9.88671875" style="2" bestFit="1" customWidth="1"/>
    <col min="8035" max="8035" width="10.88671875" style="2" bestFit="1" customWidth="1"/>
    <col min="8036" max="8037" width="8.6640625" style="2"/>
    <col min="8038" max="8038" width="10.88671875" style="2" bestFit="1" customWidth="1"/>
    <col min="8039" max="8039" width="11.88671875" style="2" bestFit="1" customWidth="1"/>
    <col min="8040" max="8042" width="8.6640625" style="2"/>
    <col min="8043" max="8044" width="10.88671875" style="2" bestFit="1" customWidth="1"/>
    <col min="8045" max="8045" width="8.6640625" style="2"/>
    <col min="8046" max="8046" width="10.88671875" style="2" bestFit="1" customWidth="1"/>
    <col min="8047" max="8048" width="8.6640625" style="2"/>
    <col min="8049" max="8049" width="10.88671875" style="2" bestFit="1" customWidth="1"/>
    <col min="8050" max="8192" width="8.6640625" style="2"/>
    <col min="8193" max="8193" width="21.5546875" style="2" customWidth="1"/>
    <col min="8194" max="8194" width="35" style="2" customWidth="1"/>
    <col min="8195" max="8196" width="8.44140625" style="2" customWidth="1"/>
    <col min="8197" max="8204" width="9.88671875" style="2" bestFit="1" customWidth="1"/>
    <col min="8205" max="8205" width="10.88671875" style="2" bestFit="1" customWidth="1"/>
    <col min="8206" max="8206" width="8.44140625" style="2" customWidth="1"/>
    <col min="8207" max="8207" width="8.6640625" style="2"/>
    <col min="8208" max="8209" width="10.88671875" style="2" bestFit="1" customWidth="1"/>
    <col min="8210" max="8210" width="9" style="2" customWidth="1"/>
    <col min="8211" max="8211" width="8.6640625" style="2"/>
    <col min="8212" max="8212" width="8.44140625" style="2" customWidth="1"/>
    <col min="8213" max="8213" width="9.109375" style="2" customWidth="1"/>
    <col min="8214" max="8214" width="9" style="2" customWidth="1"/>
    <col min="8215" max="8215" width="7.5546875" style="2" customWidth="1"/>
    <col min="8216" max="8216" width="8" style="2" customWidth="1"/>
    <col min="8217" max="8217" width="7.88671875" style="2" customWidth="1"/>
    <col min="8218" max="8218" width="7.5546875" style="2" customWidth="1"/>
    <col min="8219" max="8219" width="8.5546875" style="2" customWidth="1"/>
    <col min="8220" max="8220" width="8.44140625" style="2" customWidth="1"/>
    <col min="8221" max="8222" width="7.88671875" style="2" customWidth="1"/>
    <col min="8223" max="8223" width="8.109375" style="2" customWidth="1"/>
    <col min="8224" max="8224" width="9" style="2" customWidth="1"/>
    <col min="8225" max="8227" width="9.88671875" style="2" bestFit="1" customWidth="1"/>
    <col min="8228" max="8228" width="9.88671875" style="2" customWidth="1"/>
    <col min="8229" max="8229" width="9.44140625" style="2" customWidth="1"/>
    <col min="8230" max="8230" width="9.5546875" style="2" customWidth="1"/>
    <col min="8231" max="8232" width="11.5546875" style="2" bestFit="1" customWidth="1"/>
    <col min="8233" max="8234" width="9.88671875" style="2" bestFit="1" customWidth="1"/>
    <col min="8235" max="8236" width="10.5546875" style="2" bestFit="1" customWidth="1"/>
    <col min="8237" max="8237" width="10.5546875" style="2" customWidth="1"/>
    <col min="8238" max="8238" width="10.5546875" style="2" bestFit="1" customWidth="1"/>
    <col min="8239" max="8239" width="9.88671875" style="2" bestFit="1" customWidth="1"/>
    <col min="8240" max="8240" width="10.5546875" style="2" bestFit="1" customWidth="1"/>
    <col min="8241" max="8241" width="10.88671875" style="2" bestFit="1" customWidth="1"/>
    <col min="8242" max="8242" width="9.6640625" style="2" customWidth="1"/>
    <col min="8243" max="8243" width="9.88671875" style="2" bestFit="1" customWidth="1"/>
    <col min="8244" max="8248" width="9.6640625" style="2" customWidth="1"/>
    <col min="8249" max="8249" width="10.88671875" style="2" bestFit="1" customWidth="1"/>
    <col min="8250" max="8257" width="9.6640625" style="2" customWidth="1"/>
    <col min="8258" max="8259" width="9.88671875" style="2" bestFit="1" customWidth="1"/>
    <col min="8260" max="8260" width="10.88671875" style="2" bestFit="1" customWidth="1"/>
    <col min="8261" max="8261" width="9.88671875" style="2" bestFit="1" customWidth="1"/>
    <col min="8262" max="8262" width="10.88671875" style="2" bestFit="1" customWidth="1"/>
    <col min="8263" max="8264" width="9.88671875" style="2" bestFit="1" customWidth="1"/>
    <col min="8265" max="8268" width="8.6640625" style="2"/>
    <col min="8269" max="8269" width="10.88671875" style="2" bestFit="1" customWidth="1"/>
    <col min="8270" max="8270" width="8.6640625" style="2"/>
    <col min="8271" max="8271" width="13.109375" style="2" bestFit="1" customWidth="1"/>
    <col min="8272" max="8272" width="9.88671875" style="2" bestFit="1" customWidth="1"/>
    <col min="8273" max="8274" width="10.88671875" style="2" bestFit="1" customWidth="1"/>
    <col min="8275" max="8275" width="9.88671875" style="2" bestFit="1" customWidth="1"/>
    <col min="8276" max="8276" width="10.33203125" style="2" bestFit="1" customWidth="1"/>
    <col min="8277" max="8277" width="8.6640625" style="2"/>
    <col min="8278" max="8278" width="10.88671875" style="2" bestFit="1" customWidth="1"/>
    <col min="8279" max="8280" width="11.5546875" style="2" bestFit="1" customWidth="1"/>
    <col min="8281" max="8284" width="10.88671875" style="2" bestFit="1" customWidth="1"/>
    <col min="8285" max="8285" width="12.6640625" style="2" bestFit="1" customWidth="1"/>
    <col min="8286" max="8286" width="10.5546875" style="2" bestFit="1" customWidth="1"/>
    <col min="8287" max="8287" width="9.88671875" style="2" bestFit="1" customWidth="1"/>
    <col min="8288" max="8288" width="10.88671875" style="2" customWidth="1"/>
    <col min="8289" max="8290" width="9.88671875" style="2" bestFit="1" customWidth="1"/>
    <col min="8291" max="8291" width="10.88671875" style="2" bestFit="1" customWidth="1"/>
    <col min="8292" max="8293" width="8.6640625" style="2"/>
    <col min="8294" max="8294" width="10.88671875" style="2" bestFit="1" customWidth="1"/>
    <col min="8295" max="8295" width="11.88671875" style="2" bestFit="1" customWidth="1"/>
    <col min="8296" max="8298" width="8.6640625" style="2"/>
    <col min="8299" max="8300" width="10.88671875" style="2" bestFit="1" customWidth="1"/>
    <col min="8301" max="8301" width="8.6640625" style="2"/>
    <col min="8302" max="8302" width="10.88671875" style="2" bestFit="1" customWidth="1"/>
    <col min="8303" max="8304" width="8.6640625" style="2"/>
    <col min="8305" max="8305" width="10.88671875" style="2" bestFit="1" customWidth="1"/>
    <col min="8306" max="8448" width="8.6640625" style="2"/>
    <col min="8449" max="8449" width="21.5546875" style="2" customWidth="1"/>
    <col min="8450" max="8450" width="35" style="2" customWidth="1"/>
    <col min="8451" max="8452" width="8.44140625" style="2" customWidth="1"/>
    <col min="8453" max="8460" width="9.88671875" style="2" bestFit="1" customWidth="1"/>
    <col min="8461" max="8461" width="10.88671875" style="2" bestFit="1" customWidth="1"/>
    <col min="8462" max="8462" width="8.44140625" style="2" customWidth="1"/>
    <col min="8463" max="8463" width="8.6640625" style="2"/>
    <col min="8464" max="8465" width="10.88671875" style="2" bestFit="1" customWidth="1"/>
    <col min="8466" max="8466" width="9" style="2" customWidth="1"/>
    <col min="8467" max="8467" width="8.6640625" style="2"/>
    <col min="8468" max="8468" width="8.44140625" style="2" customWidth="1"/>
    <col min="8469" max="8469" width="9.109375" style="2" customWidth="1"/>
    <col min="8470" max="8470" width="9" style="2" customWidth="1"/>
    <col min="8471" max="8471" width="7.5546875" style="2" customWidth="1"/>
    <col min="8472" max="8472" width="8" style="2" customWidth="1"/>
    <col min="8473" max="8473" width="7.88671875" style="2" customWidth="1"/>
    <col min="8474" max="8474" width="7.5546875" style="2" customWidth="1"/>
    <col min="8475" max="8475" width="8.5546875" style="2" customWidth="1"/>
    <col min="8476" max="8476" width="8.44140625" style="2" customWidth="1"/>
    <col min="8477" max="8478" width="7.88671875" style="2" customWidth="1"/>
    <col min="8479" max="8479" width="8.109375" style="2" customWidth="1"/>
    <col min="8480" max="8480" width="9" style="2" customWidth="1"/>
    <col min="8481" max="8483" width="9.88671875" style="2" bestFit="1" customWidth="1"/>
    <col min="8484" max="8484" width="9.88671875" style="2" customWidth="1"/>
    <col min="8485" max="8485" width="9.44140625" style="2" customWidth="1"/>
    <col min="8486" max="8486" width="9.5546875" style="2" customWidth="1"/>
    <col min="8487" max="8488" width="11.5546875" style="2" bestFit="1" customWidth="1"/>
    <col min="8489" max="8490" width="9.88671875" style="2" bestFit="1" customWidth="1"/>
    <col min="8491" max="8492" width="10.5546875" style="2" bestFit="1" customWidth="1"/>
    <col min="8493" max="8493" width="10.5546875" style="2" customWidth="1"/>
    <col min="8494" max="8494" width="10.5546875" style="2" bestFit="1" customWidth="1"/>
    <col min="8495" max="8495" width="9.88671875" style="2" bestFit="1" customWidth="1"/>
    <col min="8496" max="8496" width="10.5546875" style="2" bestFit="1" customWidth="1"/>
    <col min="8497" max="8497" width="10.88671875" style="2" bestFit="1" customWidth="1"/>
    <col min="8498" max="8498" width="9.6640625" style="2" customWidth="1"/>
    <col min="8499" max="8499" width="9.88671875" style="2" bestFit="1" customWidth="1"/>
    <col min="8500" max="8504" width="9.6640625" style="2" customWidth="1"/>
    <col min="8505" max="8505" width="10.88671875" style="2" bestFit="1" customWidth="1"/>
    <col min="8506" max="8513" width="9.6640625" style="2" customWidth="1"/>
    <col min="8514" max="8515" width="9.88671875" style="2" bestFit="1" customWidth="1"/>
    <col min="8516" max="8516" width="10.88671875" style="2" bestFit="1" customWidth="1"/>
    <col min="8517" max="8517" width="9.88671875" style="2" bestFit="1" customWidth="1"/>
    <col min="8518" max="8518" width="10.88671875" style="2" bestFit="1" customWidth="1"/>
    <col min="8519" max="8520" width="9.88671875" style="2" bestFit="1" customWidth="1"/>
    <col min="8521" max="8524" width="8.6640625" style="2"/>
    <col min="8525" max="8525" width="10.88671875" style="2" bestFit="1" customWidth="1"/>
    <col min="8526" max="8526" width="8.6640625" style="2"/>
    <col min="8527" max="8527" width="13.109375" style="2" bestFit="1" customWidth="1"/>
    <col min="8528" max="8528" width="9.88671875" style="2" bestFit="1" customWidth="1"/>
    <col min="8529" max="8530" width="10.88671875" style="2" bestFit="1" customWidth="1"/>
    <col min="8531" max="8531" width="9.88671875" style="2" bestFit="1" customWidth="1"/>
    <col min="8532" max="8532" width="10.33203125" style="2" bestFit="1" customWidth="1"/>
    <col min="8533" max="8533" width="8.6640625" style="2"/>
    <col min="8534" max="8534" width="10.88671875" style="2" bestFit="1" customWidth="1"/>
    <col min="8535" max="8536" width="11.5546875" style="2" bestFit="1" customWidth="1"/>
    <col min="8537" max="8540" width="10.88671875" style="2" bestFit="1" customWidth="1"/>
    <col min="8541" max="8541" width="12.6640625" style="2" bestFit="1" customWidth="1"/>
    <col min="8542" max="8542" width="10.5546875" style="2" bestFit="1" customWidth="1"/>
    <col min="8543" max="8543" width="9.88671875" style="2" bestFit="1" customWidth="1"/>
    <col min="8544" max="8544" width="10.88671875" style="2" customWidth="1"/>
    <col min="8545" max="8546" width="9.88671875" style="2" bestFit="1" customWidth="1"/>
    <col min="8547" max="8547" width="10.88671875" style="2" bestFit="1" customWidth="1"/>
    <col min="8548" max="8549" width="8.6640625" style="2"/>
    <col min="8550" max="8550" width="10.88671875" style="2" bestFit="1" customWidth="1"/>
    <col min="8551" max="8551" width="11.88671875" style="2" bestFit="1" customWidth="1"/>
    <col min="8552" max="8554" width="8.6640625" style="2"/>
    <col min="8555" max="8556" width="10.88671875" style="2" bestFit="1" customWidth="1"/>
    <col min="8557" max="8557" width="8.6640625" style="2"/>
    <col min="8558" max="8558" width="10.88671875" style="2" bestFit="1" customWidth="1"/>
    <col min="8559" max="8560" width="8.6640625" style="2"/>
    <col min="8561" max="8561" width="10.88671875" style="2" bestFit="1" customWidth="1"/>
    <col min="8562" max="8704" width="8.6640625" style="2"/>
    <col min="8705" max="8705" width="21.5546875" style="2" customWidth="1"/>
    <col min="8706" max="8706" width="35" style="2" customWidth="1"/>
    <col min="8707" max="8708" width="8.44140625" style="2" customWidth="1"/>
    <col min="8709" max="8716" width="9.88671875" style="2" bestFit="1" customWidth="1"/>
    <col min="8717" max="8717" width="10.88671875" style="2" bestFit="1" customWidth="1"/>
    <col min="8718" max="8718" width="8.44140625" style="2" customWidth="1"/>
    <col min="8719" max="8719" width="8.6640625" style="2"/>
    <col min="8720" max="8721" width="10.88671875" style="2" bestFit="1" customWidth="1"/>
    <col min="8722" max="8722" width="9" style="2" customWidth="1"/>
    <col min="8723" max="8723" width="8.6640625" style="2"/>
    <col min="8724" max="8724" width="8.44140625" style="2" customWidth="1"/>
    <col min="8725" max="8725" width="9.109375" style="2" customWidth="1"/>
    <col min="8726" max="8726" width="9" style="2" customWidth="1"/>
    <col min="8727" max="8727" width="7.5546875" style="2" customWidth="1"/>
    <col min="8728" max="8728" width="8" style="2" customWidth="1"/>
    <col min="8729" max="8729" width="7.88671875" style="2" customWidth="1"/>
    <col min="8730" max="8730" width="7.5546875" style="2" customWidth="1"/>
    <col min="8731" max="8731" width="8.5546875" style="2" customWidth="1"/>
    <col min="8732" max="8732" width="8.44140625" style="2" customWidth="1"/>
    <col min="8733" max="8734" width="7.88671875" style="2" customWidth="1"/>
    <col min="8735" max="8735" width="8.109375" style="2" customWidth="1"/>
    <col min="8736" max="8736" width="9" style="2" customWidth="1"/>
    <col min="8737" max="8739" width="9.88671875" style="2" bestFit="1" customWidth="1"/>
    <col min="8740" max="8740" width="9.88671875" style="2" customWidth="1"/>
    <col min="8741" max="8741" width="9.44140625" style="2" customWidth="1"/>
    <col min="8742" max="8742" width="9.5546875" style="2" customWidth="1"/>
    <col min="8743" max="8744" width="11.5546875" style="2" bestFit="1" customWidth="1"/>
    <col min="8745" max="8746" width="9.88671875" style="2" bestFit="1" customWidth="1"/>
    <col min="8747" max="8748" width="10.5546875" style="2" bestFit="1" customWidth="1"/>
    <col min="8749" max="8749" width="10.5546875" style="2" customWidth="1"/>
    <col min="8750" max="8750" width="10.5546875" style="2" bestFit="1" customWidth="1"/>
    <col min="8751" max="8751" width="9.88671875" style="2" bestFit="1" customWidth="1"/>
    <col min="8752" max="8752" width="10.5546875" style="2" bestFit="1" customWidth="1"/>
    <col min="8753" max="8753" width="10.88671875" style="2" bestFit="1" customWidth="1"/>
    <col min="8754" max="8754" width="9.6640625" style="2" customWidth="1"/>
    <col min="8755" max="8755" width="9.88671875" style="2" bestFit="1" customWidth="1"/>
    <col min="8756" max="8760" width="9.6640625" style="2" customWidth="1"/>
    <col min="8761" max="8761" width="10.88671875" style="2" bestFit="1" customWidth="1"/>
    <col min="8762" max="8769" width="9.6640625" style="2" customWidth="1"/>
    <col min="8770" max="8771" width="9.88671875" style="2" bestFit="1" customWidth="1"/>
    <col min="8772" max="8772" width="10.88671875" style="2" bestFit="1" customWidth="1"/>
    <col min="8773" max="8773" width="9.88671875" style="2" bestFit="1" customWidth="1"/>
    <col min="8774" max="8774" width="10.88671875" style="2" bestFit="1" customWidth="1"/>
    <col min="8775" max="8776" width="9.88671875" style="2" bestFit="1" customWidth="1"/>
    <col min="8777" max="8780" width="8.6640625" style="2"/>
    <col min="8781" max="8781" width="10.88671875" style="2" bestFit="1" customWidth="1"/>
    <col min="8782" max="8782" width="8.6640625" style="2"/>
    <col min="8783" max="8783" width="13.109375" style="2" bestFit="1" customWidth="1"/>
    <col min="8784" max="8784" width="9.88671875" style="2" bestFit="1" customWidth="1"/>
    <col min="8785" max="8786" width="10.88671875" style="2" bestFit="1" customWidth="1"/>
    <col min="8787" max="8787" width="9.88671875" style="2" bestFit="1" customWidth="1"/>
    <col min="8788" max="8788" width="10.33203125" style="2" bestFit="1" customWidth="1"/>
    <col min="8789" max="8789" width="8.6640625" style="2"/>
    <col min="8790" max="8790" width="10.88671875" style="2" bestFit="1" customWidth="1"/>
    <col min="8791" max="8792" width="11.5546875" style="2" bestFit="1" customWidth="1"/>
    <col min="8793" max="8796" width="10.88671875" style="2" bestFit="1" customWidth="1"/>
    <col min="8797" max="8797" width="12.6640625" style="2" bestFit="1" customWidth="1"/>
    <col min="8798" max="8798" width="10.5546875" style="2" bestFit="1" customWidth="1"/>
    <col min="8799" max="8799" width="9.88671875" style="2" bestFit="1" customWidth="1"/>
    <col min="8800" max="8800" width="10.88671875" style="2" customWidth="1"/>
    <col min="8801" max="8802" width="9.88671875" style="2" bestFit="1" customWidth="1"/>
    <col min="8803" max="8803" width="10.88671875" style="2" bestFit="1" customWidth="1"/>
    <col min="8804" max="8805" width="8.6640625" style="2"/>
    <col min="8806" max="8806" width="10.88671875" style="2" bestFit="1" customWidth="1"/>
    <col min="8807" max="8807" width="11.88671875" style="2" bestFit="1" customWidth="1"/>
    <col min="8808" max="8810" width="8.6640625" style="2"/>
    <col min="8811" max="8812" width="10.88671875" style="2" bestFit="1" customWidth="1"/>
    <col min="8813" max="8813" width="8.6640625" style="2"/>
    <col min="8814" max="8814" width="10.88671875" style="2" bestFit="1" customWidth="1"/>
    <col min="8815" max="8816" width="8.6640625" style="2"/>
    <col min="8817" max="8817" width="10.88671875" style="2" bestFit="1" customWidth="1"/>
    <col min="8818" max="8960" width="8.6640625" style="2"/>
    <col min="8961" max="8961" width="21.5546875" style="2" customWidth="1"/>
    <col min="8962" max="8962" width="35" style="2" customWidth="1"/>
    <col min="8963" max="8964" width="8.44140625" style="2" customWidth="1"/>
    <col min="8965" max="8972" width="9.88671875" style="2" bestFit="1" customWidth="1"/>
    <col min="8973" max="8973" width="10.88671875" style="2" bestFit="1" customWidth="1"/>
    <col min="8974" max="8974" width="8.44140625" style="2" customWidth="1"/>
    <col min="8975" max="8975" width="8.6640625" style="2"/>
    <col min="8976" max="8977" width="10.88671875" style="2" bestFit="1" customWidth="1"/>
    <col min="8978" max="8978" width="9" style="2" customWidth="1"/>
    <col min="8979" max="8979" width="8.6640625" style="2"/>
    <col min="8980" max="8980" width="8.44140625" style="2" customWidth="1"/>
    <col min="8981" max="8981" width="9.109375" style="2" customWidth="1"/>
    <col min="8982" max="8982" width="9" style="2" customWidth="1"/>
    <col min="8983" max="8983" width="7.5546875" style="2" customWidth="1"/>
    <col min="8984" max="8984" width="8" style="2" customWidth="1"/>
    <col min="8985" max="8985" width="7.88671875" style="2" customWidth="1"/>
    <col min="8986" max="8986" width="7.5546875" style="2" customWidth="1"/>
    <col min="8987" max="8987" width="8.5546875" style="2" customWidth="1"/>
    <col min="8988" max="8988" width="8.44140625" style="2" customWidth="1"/>
    <col min="8989" max="8990" width="7.88671875" style="2" customWidth="1"/>
    <col min="8991" max="8991" width="8.109375" style="2" customWidth="1"/>
    <col min="8992" max="8992" width="9" style="2" customWidth="1"/>
    <col min="8993" max="8995" width="9.88671875" style="2" bestFit="1" customWidth="1"/>
    <col min="8996" max="8996" width="9.88671875" style="2" customWidth="1"/>
    <col min="8997" max="8997" width="9.44140625" style="2" customWidth="1"/>
    <col min="8998" max="8998" width="9.5546875" style="2" customWidth="1"/>
    <col min="8999" max="9000" width="11.5546875" style="2" bestFit="1" customWidth="1"/>
    <col min="9001" max="9002" width="9.88671875" style="2" bestFit="1" customWidth="1"/>
    <col min="9003" max="9004" width="10.5546875" style="2" bestFit="1" customWidth="1"/>
    <col min="9005" max="9005" width="10.5546875" style="2" customWidth="1"/>
    <col min="9006" max="9006" width="10.5546875" style="2" bestFit="1" customWidth="1"/>
    <col min="9007" max="9007" width="9.88671875" style="2" bestFit="1" customWidth="1"/>
    <col min="9008" max="9008" width="10.5546875" style="2" bestFit="1" customWidth="1"/>
    <col min="9009" max="9009" width="10.88671875" style="2" bestFit="1" customWidth="1"/>
    <col min="9010" max="9010" width="9.6640625" style="2" customWidth="1"/>
    <col min="9011" max="9011" width="9.88671875" style="2" bestFit="1" customWidth="1"/>
    <col min="9012" max="9016" width="9.6640625" style="2" customWidth="1"/>
    <col min="9017" max="9017" width="10.88671875" style="2" bestFit="1" customWidth="1"/>
    <col min="9018" max="9025" width="9.6640625" style="2" customWidth="1"/>
    <col min="9026" max="9027" width="9.88671875" style="2" bestFit="1" customWidth="1"/>
    <col min="9028" max="9028" width="10.88671875" style="2" bestFit="1" customWidth="1"/>
    <col min="9029" max="9029" width="9.88671875" style="2" bestFit="1" customWidth="1"/>
    <col min="9030" max="9030" width="10.88671875" style="2" bestFit="1" customWidth="1"/>
    <col min="9031" max="9032" width="9.88671875" style="2" bestFit="1" customWidth="1"/>
    <col min="9033" max="9036" width="8.6640625" style="2"/>
    <col min="9037" max="9037" width="10.88671875" style="2" bestFit="1" customWidth="1"/>
    <col min="9038" max="9038" width="8.6640625" style="2"/>
    <col min="9039" max="9039" width="13.109375" style="2" bestFit="1" customWidth="1"/>
    <col min="9040" max="9040" width="9.88671875" style="2" bestFit="1" customWidth="1"/>
    <col min="9041" max="9042" width="10.88671875" style="2" bestFit="1" customWidth="1"/>
    <col min="9043" max="9043" width="9.88671875" style="2" bestFit="1" customWidth="1"/>
    <col min="9044" max="9044" width="10.33203125" style="2" bestFit="1" customWidth="1"/>
    <col min="9045" max="9045" width="8.6640625" style="2"/>
    <col min="9046" max="9046" width="10.88671875" style="2" bestFit="1" customWidth="1"/>
    <col min="9047" max="9048" width="11.5546875" style="2" bestFit="1" customWidth="1"/>
    <col min="9049" max="9052" width="10.88671875" style="2" bestFit="1" customWidth="1"/>
    <col min="9053" max="9053" width="12.6640625" style="2" bestFit="1" customWidth="1"/>
    <col min="9054" max="9054" width="10.5546875" style="2" bestFit="1" customWidth="1"/>
    <col min="9055" max="9055" width="9.88671875" style="2" bestFit="1" customWidth="1"/>
    <col min="9056" max="9056" width="10.88671875" style="2" customWidth="1"/>
    <col min="9057" max="9058" width="9.88671875" style="2" bestFit="1" customWidth="1"/>
    <col min="9059" max="9059" width="10.88671875" style="2" bestFit="1" customWidth="1"/>
    <col min="9060" max="9061" width="8.6640625" style="2"/>
    <col min="9062" max="9062" width="10.88671875" style="2" bestFit="1" customWidth="1"/>
    <col min="9063" max="9063" width="11.88671875" style="2" bestFit="1" customWidth="1"/>
    <col min="9064" max="9066" width="8.6640625" style="2"/>
    <col min="9067" max="9068" width="10.88671875" style="2" bestFit="1" customWidth="1"/>
    <col min="9069" max="9069" width="8.6640625" style="2"/>
    <col min="9070" max="9070" width="10.88671875" style="2" bestFit="1" customWidth="1"/>
    <col min="9071" max="9072" width="8.6640625" style="2"/>
    <col min="9073" max="9073" width="10.88671875" style="2" bestFit="1" customWidth="1"/>
    <col min="9074" max="9216" width="8.6640625" style="2"/>
    <col min="9217" max="9217" width="21.5546875" style="2" customWidth="1"/>
    <col min="9218" max="9218" width="35" style="2" customWidth="1"/>
    <col min="9219" max="9220" width="8.44140625" style="2" customWidth="1"/>
    <col min="9221" max="9228" width="9.88671875" style="2" bestFit="1" customWidth="1"/>
    <col min="9229" max="9229" width="10.88671875" style="2" bestFit="1" customWidth="1"/>
    <col min="9230" max="9230" width="8.44140625" style="2" customWidth="1"/>
    <col min="9231" max="9231" width="8.6640625" style="2"/>
    <col min="9232" max="9233" width="10.88671875" style="2" bestFit="1" customWidth="1"/>
    <col min="9234" max="9234" width="9" style="2" customWidth="1"/>
    <col min="9235" max="9235" width="8.6640625" style="2"/>
    <col min="9236" max="9236" width="8.44140625" style="2" customWidth="1"/>
    <col min="9237" max="9237" width="9.109375" style="2" customWidth="1"/>
    <col min="9238" max="9238" width="9" style="2" customWidth="1"/>
    <col min="9239" max="9239" width="7.5546875" style="2" customWidth="1"/>
    <col min="9240" max="9240" width="8" style="2" customWidth="1"/>
    <col min="9241" max="9241" width="7.88671875" style="2" customWidth="1"/>
    <col min="9242" max="9242" width="7.5546875" style="2" customWidth="1"/>
    <col min="9243" max="9243" width="8.5546875" style="2" customWidth="1"/>
    <col min="9244" max="9244" width="8.44140625" style="2" customWidth="1"/>
    <col min="9245" max="9246" width="7.88671875" style="2" customWidth="1"/>
    <col min="9247" max="9247" width="8.109375" style="2" customWidth="1"/>
    <col min="9248" max="9248" width="9" style="2" customWidth="1"/>
    <col min="9249" max="9251" width="9.88671875" style="2" bestFit="1" customWidth="1"/>
    <col min="9252" max="9252" width="9.88671875" style="2" customWidth="1"/>
    <col min="9253" max="9253" width="9.44140625" style="2" customWidth="1"/>
    <col min="9254" max="9254" width="9.5546875" style="2" customWidth="1"/>
    <col min="9255" max="9256" width="11.5546875" style="2" bestFit="1" customWidth="1"/>
    <col min="9257" max="9258" width="9.88671875" style="2" bestFit="1" customWidth="1"/>
    <col min="9259" max="9260" width="10.5546875" style="2" bestFit="1" customWidth="1"/>
    <col min="9261" max="9261" width="10.5546875" style="2" customWidth="1"/>
    <col min="9262" max="9262" width="10.5546875" style="2" bestFit="1" customWidth="1"/>
    <col min="9263" max="9263" width="9.88671875" style="2" bestFit="1" customWidth="1"/>
    <col min="9264" max="9264" width="10.5546875" style="2" bestFit="1" customWidth="1"/>
    <col min="9265" max="9265" width="10.88671875" style="2" bestFit="1" customWidth="1"/>
    <col min="9266" max="9266" width="9.6640625" style="2" customWidth="1"/>
    <col min="9267" max="9267" width="9.88671875" style="2" bestFit="1" customWidth="1"/>
    <col min="9268" max="9272" width="9.6640625" style="2" customWidth="1"/>
    <col min="9273" max="9273" width="10.88671875" style="2" bestFit="1" customWidth="1"/>
    <col min="9274" max="9281" width="9.6640625" style="2" customWidth="1"/>
    <col min="9282" max="9283" width="9.88671875" style="2" bestFit="1" customWidth="1"/>
    <col min="9284" max="9284" width="10.88671875" style="2" bestFit="1" customWidth="1"/>
    <col min="9285" max="9285" width="9.88671875" style="2" bestFit="1" customWidth="1"/>
    <col min="9286" max="9286" width="10.88671875" style="2" bestFit="1" customWidth="1"/>
    <col min="9287" max="9288" width="9.88671875" style="2" bestFit="1" customWidth="1"/>
    <col min="9289" max="9292" width="8.6640625" style="2"/>
    <col min="9293" max="9293" width="10.88671875" style="2" bestFit="1" customWidth="1"/>
    <col min="9294" max="9294" width="8.6640625" style="2"/>
    <col min="9295" max="9295" width="13.109375" style="2" bestFit="1" customWidth="1"/>
    <col min="9296" max="9296" width="9.88671875" style="2" bestFit="1" customWidth="1"/>
    <col min="9297" max="9298" width="10.88671875" style="2" bestFit="1" customWidth="1"/>
    <col min="9299" max="9299" width="9.88671875" style="2" bestFit="1" customWidth="1"/>
    <col min="9300" max="9300" width="10.33203125" style="2" bestFit="1" customWidth="1"/>
    <col min="9301" max="9301" width="8.6640625" style="2"/>
    <col min="9302" max="9302" width="10.88671875" style="2" bestFit="1" customWidth="1"/>
    <col min="9303" max="9304" width="11.5546875" style="2" bestFit="1" customWidth="1"/>
    <col min="9305" max="9308" width="10.88671875" style="2" bestFit="1" customWidth="1"/>
    <col min="9309" max="9309" width="12.6640625" style="2" bestFit="1" customWidth="1"/>
    <col min="9310" max="9310" width="10.5546875" style="2" bestFit="1" customWidth="1"/>
    <col min="9311" max="9311" width="9.88671875" style="2" bestFit="1" customWidth="1"/>
    <col min="9312" max="9312" width="10.88671875" style="2" customWidth="1"/>
    <col min="9313" max="9314" width="9.88671875" style="2" bestFit="1" customWidth="1"/>
    <col min="9315" max="9315" width="10.88671875" style="2" bestFit="1" customWidth="1"/>
    <col min="9316" max="9317" width="8.6640625" style="2"/>
    <col min="9318" max="9318" width="10.88671875" style="2" bestFit="1" customWidth="1"/>
    <col min="9319" max="9319" width="11.88671875" style="2" bestFit="1" customWidth="1"/>
    <col min="9320" max="9322" width="8.6640625" style="2"/>
    <col min="9323" max="9324" width="10.88671875" style="2" bestFit="1" customWidth="1"/>
    <col min="9325" max="9325" width="8.6640625" style="2"/>
    <col min="9326" max="9326" width="10.88671875" style="2" bestFit="1" customWidth="1"/>
    <col min="9327" max="9328" width="8.6640625" style="2"/>
    <col min="9329" max="9329" width="10.88671875" style="2" bestFit="1" customWidth="1"/>
    <col min="9330" max="9472" width="8.6640625" style="2"/>
    <col min="9473" max="9473" width="21.5546875" style="2" customWidth="1"/>
    <col min="9474" max="9474" width="35" style="2" customWidth="1"/>
    <col min="9475" max="9476" width="8.44140625" style="2" customWidth="1"/>
    <col min="9477" max="9484" width="9.88671875" style="2" bestFit="1" customWidth="1"/>
    <col min="9485" max="9485" width="10.88671875" style="2" bestFit="1" customWidth="1"/>
    <col min="9486" max="9486" width="8.44140625" style="2" customWidth="1"/>
    <col min="9487" max="9487" width="8.6640625" style="2"/>
    <col min="9488" max="9489" width="10.88671875" style="2" bestFit="1" customWidth="1"/>
    <col min="9490" max="9490" width="9" style="2" customWidth="1"/>
    <col min="9491" max="9491" width="8.6640625" style="2"/>
    <col min="9492" max="9492" width="8.44140625" style="2" customWidth="1"/>
    <col min="9493" max="9493" width="9.109375" style="2" customWidth="1"/>
    <col min="9494" max="9494" width="9" style="2" customWidth="1"/>
    <col min="9495" max="9495" width="7.5546875" style="2" customWidth="1"/>
    <col min="9496" max="9496" width="8" style="2" customWidth="1"/>
    <col min="9497" max="9497" width="7.88671875" style="2" customWidth="1"/>
    <col min="9498" max="9498" width="7.5546875" style="2" customWidth="1"/>
    <col min="9499" max="9499" width="8.5546875" style="2" customWidth="1"/>
    <col min="9500" max="9500" width="8.44140625" style="2" customWidth="1"/>
    <col min="9501" max="9502" width="7.88671875" style="2" customWidth="1"/>
    <col min="9503" max="9503" width="8.109375" style="2" customWidth="1"/>
    <col min="9504" max="9504" width="9" style="2" customWidth="1"/>
    <col min="9505" max="9507" width="9.88671875" style="2" bestFit="1" customWidth="1"/>
    <col min="9508" max="9508" width="9.88671875" style="2" customWidth="1"/>
    <col min="9509" max="9509" width="9.44140625" style="2" customWidth="1"/>
    <col min="9510" max="9510" width="9.5546875" style="2" customWidth="1"/>
    <col min="9511" max="9512" width="11.5546875" style="2" bestFit="1" customWidth="1"/>
    <col min="9513" max="9514" width="9.88671875" style="2" bestFit="1" customWidth="1"/>
    <col min="9515" max="9516" width="10.5546875" style="2" bestFit="1" customWidth="1"/>
    <col min="9517" max="9517" width="10.5546875" style="2" customWidth="1"/>
    <col min="9518" max="9518" width="10.5546875" style="2" bestFit="1" customWidth="1"/>
    <col min="9519" max="9519" width="9.88671875" style="2" bestFit="1" customWidth="1"/>
    <col min="9520" max="9520" width="10.5546875" style="2" bestFit="1" customWidth="1"/>
    <col min="9521" max="9521" width="10.88671875" style="2" bestFit="1" customWidth="1"/>
    <col min="9522" max="9522" width="9.6640625" style="2" customWidth="1"/>
    <col min="9523" max="9523" width="9.88671875" style="2" bestFit="1" customWidth="1"/>
    <col min="9524" max="9528" width="9.6640625" style="2" customWidth="1"/>
    <col min="9529" max="9529" width="10.88671875" style="2" bestFit="1" customWidth="1"/>
    <col min="9530" max="9537" width="9.6640625" style="2" customWidth="1"/>
    <col min="9538" max="9539" width="9.88671875" style="2" bestFit="1" customWidth="1"/>
    <col min="9540" max="9540" width="10.88671875" style="2" bestFit="1" customWidth="1"/>
    <col min="9541" max="9541" width="9.88671875" style="2" bestFit="1" customWidth="1"/>
    <col min="9542" max="9542" width="10.88671875" style="2" bestFit="1" customWidth="1"/>
    <col min="9543" max="9544" width="9.88671875" style="2" bestFit="1" customWidth="1"/>
    <col min="9545" max="9548" width="8.6640625" style="2"/>
    <col min="9549" max="9549" width="10.88671875" style="2" bestFit="1" customWidth="1"/>
    <col min="9550" max="9550" width="8.6640625" style="2"/>
    <col min="9551" max="9551" width="13.109375" style="2" bestFit="1" customWidth="1"/>
    <col min="9552" max="9552" width="9.88671875" style="2" bestFit="1" customWidth="1"/>
    <col min="9553" max="9554" width="10.88671875" style="2" bestFit="1" customWidth="1"/>
    <col min="9555" max="9555" width="9.88671875" style="2" bestFit="1" customWidth="1"/>
    <col min="9556" max="9556" width="10.33203125" style="2" bestFit="1" customWidth="1"/>
    <col min="9557" max="9557" width="8.6640625" style="2"/>
    <col min="9558" max="9558" width="10.88671875" style="2" bestFit="1" customWidth="1"/>
    <col min="9559" max="9560" width="11.5546875" style="2" bestFit="1" customWidth="1"/>
    <col min="9561" max="9564" width="10.88671875" style="2" bestFit="1" customWidth="1"/>
    <col min="9565" max="9565" width="12.6640625" style="2" bestFit="1" customWidth="1"/>
    <col min="9566" max="9566" width="10.5546875" style="2" bestFit="1" customWidth="1"/>
    <col min="9567" max="9567" width="9.88671875" style="2" bestFit="1" customWidth="1"/>
    <col min="9568" max="9568" width="10.88671875" style="2" customWidth="1"/>
    <col min="9569" max="9570" width="9.88671875" style="2" bestFit="1" customWidth="1"/>
    <col min="9571" max="9571" width="10.88671875" style="2" bestFit="1" customWidth="1"/>
    <col min="9572" max="9573" width="8.6640625" style="2"/>
    <col min="9574" max="9574" width="10.88671875" style="2" bestFit="1" customWidth="1"/>
    <col min="9575" max="9575" width="11.88671875" style="2" bestFit="1" customWidth="1"/>
    <col min="9576" max="9578" width="8.6640625" style="2"/>
    <col min="9579" max="9580" width="10.88671875" style="2" bestFit="1" customWidth="1"/>
    <col min="9581" max="9581" width="8.6640625" style="2"/>
    <col min="9582" max="9582" width="10.88671875" style="2" bestFit="1" customWidth="1"/>
    <col min="9583" max="9584" width="8.6640625" style="2"/>
    <col min="9585" max="9585" width="10.88671875" style="2" bestFit="1" customWidth="1"/>
    <col min="9586" max="9728" width="8.6640625" style="2"/>
    <col min="9729" max="9729" width="21.5546875" style="2" customWidth="1"/>
    <col min="9730" max="9730" width="35" style="2" customWidth="1"/>
    <col min="9731" max="9732" width="8.44140625" style="2" customWidth="1"/>
    <col min="9733" max="9740" width="9.88671875" style="2" bestFit="1" customWidth="1"/>
    <col min="9741" max="9741" width="10.88671875" style="2" bestFit="1" customWidth="1"/>
    <col min="9742" max="9742" width="8.44140625" style="2" customWidth="1"/>
    <col min="9743" max="9743" width="8.6640625" style="2"/>
    <col min="9744" max="9745" width="10.88671875" style="2" bestFit="1" customWidth="1"/>
    <col min="9746" max="9746" width="9" style="2" customWidth="1"/>
    <col min="9747" max="9747" width="8.6640625" style="2"/>
    <col min="9748" max="9748" width="8.44140625" style="2" customWidth="1"/>
    <col min="9749" max="9749" width="9.109375" style="2" customWidth="1"/>
    <col min="9750" max="9750" width="9" style="2" customWidth="1"/>
    <col min="9751" max="9751" width="7.5546875" style="2" customWidth="1"/>
    <col min="9752" max="9752" width="8" style="2" customWidth="1"/>
    <col min="9753" max="9753" width="7.88671875" style="2" customWidth="1"/>
    <col min="9754" max="9754" width="7.5546875" style="2" customWidth="1"/>
    <col min="9755" max="9755" width="8.5546875" style="2" customWidth="1"/>
    <col min="9756" max="9756" width="8.44140625" style="2" customWidth="1"/>
    <col min="9757" max="9758" width="7.88671875" style="2" customWidth="1"/>
    <col min="9759" max="9759" width="8.109375" style="2" customWidth="1"/>
    <col min="9760" max="9760" width="9" style="2" customWidth="1"/>
    <col min="9761" max="9763" width="9.88671875" style="2" bestFit="1" customWidth="1"/>
    <col min="9764" max="9764" width="9.88671875" style="2" customWidth="1"/>
    <col min="9765" max="9765" width="9.44140625" style="2" customWidth="1"/>
    <col min="9766" max="9766" width="9.5546875" style="2" customWidth="1"/>
    <col min="9767" max="9768" width="11.5546875" style="2" bestFit="1" customWidth="1"/>
    <col min="9769" max="9770" width="9.88671875" style="2" bestFit="1" customWidth="1"/>
    <col min="9771" max="9772" width="10.5546875" style="2" bestFit="1" customWidth="1"/>
    <col min="9773" max="9773" width="10.5546875" style="2" customWidth="1"/>
    <col min="9774" max="9774" width="10.5546875" style="2" bestFit="1" customWidth="1"/>
    <col min="9775" max="9775" width="9.88671875" style="2" bestFit="1" customWidth="1"/>
    <col min="9776" max="9776" width="10.5546875" style="2" bestFit="1" customWidth="1"/>
    <col min="9777" max="9777" width="10.88671875" style="2" bestFit="1" customWidth="1"/>
    <col min="9778" max="9778" width="9.6640625" style="2" customWidth="1"/>
    <col min="9779" max="9779" width="9.88671875" style="2" bestFit="1" customWidth="1"/>
    <col min="9780" max="9784" width="9.6640625" style="2" customWidth="1"/>
    <col min="9785" max="9785" width="10.88671875" style="2" bestFit="1" customWidth="1"/>
    <col min="9786" max="9793" width="9.6640625" style="2" customWidth="1"/>
    <col min="9794" max="9795" width="9.88671875" style="2" bestFit="1" customWidth="1"/>
    <col min="9796" max="9796" width="10.88671875" style="2" bestFit="1" customWidth="1"/>
    <col min="9797" max="9797" width="9.88671875" style="2" bestFit="1" customWidth="1"/>
    <col min="9798" max="9798" width="10.88671875" style="2" bestFit="1" customWidth="1"/>
    <col min="9799" max="9800" width="9.88671875" style="2" bestFit="1" customWidth="1"/>
    <col min="9801" max="9804" width="8.6640625" style="2"/>
    <col min="9805" max="9805" width="10.88671875" style="2" bestFit="1" customWidth="1"/>
    <col min="9806" max="9806" width="8.6640625" style="2"/>
    <col min="9807" max="9807" width="13.109375" style="2" bestFit="1" customWidth="1"/>
    <col min="9808" max="9808" width="9.88671875" style="2" bestFit="1" customWidth="1"/>
    <col min="9809" max="9810" width="10.88671875" style="2" bestFit="1" customWidth="1"/>
    <col min="9811" max="9811" width="9.88671875" style="2" bestFit="1" customWidth="1"/>
    <col min="9812" max="9812" width="10.33203125" style="2" bestFit="1" customWidth="1"/>
    <col min="9813" max="9813" width="8.6640625" style="2"/>
    <col min="9814" max="9814" width="10.88671875" style="2" bestFit="1" customWidth="1"/>
    <col min="9815" max="9816" width="11.5546875" style="2" bestFit="1" customWidth="1"/>
    <col min="9817" max="9820" width="10.88671875" style="2" bestFit="1" customWidth="1"/>
    <col min="9821" max="9821" width="12.6640625" style="2" bestFit="1" customWidth="1"/>
    <col min="9822" max="9822" width="10.5546875" style="2" bestFit="1" customWidth="1"/>
    <col min="9823" max="9823" width="9.88671875" style="2" bestFit="1" customWidth="1"/>
    <col min="9824" max="9824" width="10.88671875" style="2" customWidth="1"/>
    <col min="9825" max="9826" width="9.88671875" style="2" bestFit="1" customWidth="1"/>
    <col min="9827" max="9827" width="10.88671875" style="2" bestFit="1" customWidth="1"/>
    <col min="9828" max="9829" width="8.6640625" style="2"/>
    <col min="9830" max="9830" width="10.88671875" style="2" bestFit="1" customWidth="1"/>
    <col min="9831" max="9831" width="11.88671875" style="2" bestFit="1" customWidth="1"/>
    <col min="9832" max="9834" width="8.6640625" style="2"/>
    <col min="9835" max="9836" width="10.88671875" style="2" bestFit="1" customWidth="1"/>
    <col min="9837" max="9837" width="8.6640625" style="2"/>
    <col min="9838" max="9838" width="10.88671875" style="2" bestFit="1" customWidth="1"/>
    <col min="9839" max="9840" width="8.6640625" style="2"/>
    <col min="9841" max="9841" width="10.88671875" style="2" bestFit="1" customWidth="1"/>
    <col min="9842" max="9984" width="8.6640625" style="2"/>
    <col min="9985" max="9985" width="21.5546875" style="2" customWidth="1"/>
    <col min="9986" max="9986" width="35" style="2" customWidth="1"/>
    <col min="9987" max="9988" width="8.44140625" style="2" customWidth="1"/>
    <col min="9989" max="9996" width="9.88671875" style="2" bestFit="1" customWidth="1"/>
    <col min="9997" max="9997" width="10.88671875" style="2" bestFit="1" customWidth="1"/>
    <col min="9998" max="9998" width="8.44140625" style="2" customWidth="1"/>
    <col min="9999" max="9999" width="8.6640625" style="2"/>
    <col min="10000" max="10001" width="10.88671875" style="2" bestFit="1" customWidth="1"/>
    <col min="10002" max="10002" width="9" style="2" customWidth="1"/>
    <col min="10003" max="10003" width="8.6640625" style="2"/>
    <col min="10004" max="10004" width="8.44140625" style="2" customWidth="1"/>
    <col min="10005" max="10005" width="9.109375" style="2" customWidth="1"/>
    <col min="10006" max="10006" width="9" style="2" customWidth="1"/>
    <col min="10007" max="10007" width="7.5546875" style="2" customWidth="1"/>
    <col min="10008" max="10008" width="8" style="2" customWidth="1"/>
    <col min="10009" max="10009" width="7.88671875" style="2" customWidth="1"/>
    <col min="10010" max="10010" width="7.5546875" style="2" customWidth="1"/>
    <col min="10011" max="10011" width="8.5546875" style="2" customWidth="1"/>
    <col min="10012" max="10012" width="8.44140625" style="2" customWidth="1"/>
    <col min="10013" max="10014" width="7.88671875" style="2" customWidth="1"/>
    <col min="10015" max="10015" width="8.109375" style="2" customWidth="1"/>
    <col min="10016" max="10016" width="9" style="2" customWidth="1"/>
    <col min="10017" max="10019" width="9.88671875" style="2" bestFit="1" customWidth="1"/>
    <col min="10020" max="10020" width="9.88671875" style="2" customWidth="1"/>
    <col min="10021" max="10021" width="9.44140625" style="2" customWidth="1"/>
    <col min="10022" max="10022" width="9.5546875" style="2" customWidth="1"/>
    <col min="10023" max="10024" width="11.5546875" style="2" bestFit="1" customWidth="1"/>
    <col min="10025" max="10026" width="9.88671875" style="2" bestFit="1" customWidth="1"/>
    <col min="10027" max="10028" width="10.5546875" style="2" bestFit="1" customWidth="1"/>
    <col min="10029" max="10029" width="10.5546875" style="2" customWidth="1"/>
    <col min="10030" max="10030" width="10.5546875" style="2" bestFit="1" customWidth="1"/>
    <col min="10031" max="10031" width="9.88671875" style="2" bestFit="1" customWidth="1"/>
    <col min="10032" max="10032" width="10.5546875" style="2" bestFit="1" customWidth="1"/>
    <col min="10033" max="10033" width="10.88671875" style="2" bestFit="1" customWidth="1"/>
    <col min="10034" max="10034" width="9.6640625" style="2" customWidth="1"/>
    <col min="10035" max="10035" width="9.88671875" style="2" bestFit="1" customWidth="1"/>
    <col min="10036" max="10040" width="9.6640625" style="2" customWidth="1"/>
    <col min="10041" max="10041" width="10.88671875" style="2" bestFit="1" customWidth="1"/>
    <col min="10042" max="10049" width="9.6640625" style="2" customWidth="1"/>
    <col min="10050" max="10051" width="9.88671875" style="2" bestFit="1" customWidth="1"/>
    <col min="10052" max="10052" width="10.88671875" style="2" bestFit="1" customWidth="1"/>
    <col min="10053" max="10053" width="9.88671875" style="2" bestFit="1" customWidth="1"/>
    <col min="10054" max="10054" width="10.88671875" style="2" bestFit="1" customWidth="1"/>
    <col min="10055" max="10056" width="9.88671875" style="2" bestFit="1" customWidth="1"/>
    <col min="10057" max="10060" width="8.6640625" style="2"/>
    <col min="10061" max="10061" width="10.88671875" style="2" bestFit="1" customWidth="1"/>
    <col min="10062" max="10062" width="8.6640625" style="2"/>
    <col min="10063" max="10063" width="13.109375" style="2" bestFit="1" customWidth="1"/>
    <col min="10064" max="10064" width="9.88671875" style="2" bestFit="1" customWidth="1"/>
    <col min="10065" max="10066" width="10.88671875" style="2" bestFit="1" customWidth="1"/>
    <col min="10067" max="10067" width="9.88671875" style="2" bestFit="1" customWidth="1"/>
    <col min="10068" max="10068" width="10.33203125" style="2" bestFit="1" customWidth="1"/>
    <col min="10069" max="10069" width="8.6640625" style="2"/>
    <col min="10070" max="10070" width="10.88671875" style="2" bestFit="1" customWidth="1"/>
    <col min="10071" max="10072" width="11.5546875" style="2" bestFit="1" customWidth="1"/>
    <col min="10073" max="10076" width="10.88671875" style="2" bestFit="1" customWidth="1"/>
    <col min="10077" max="10077" width="12.6640625" style="2" bestFit="1" customWidth="1"/>
    <col min="10078" max="10078" width="10.5546875" style="2" bestFit="1" customWidth="1"/>
    <col min="10079" max="10079" width="9.88671875" style="2" bestFit="1" customWidth="1"/>
    <col min="10080" max="10080" width="10.88671875" style="2" customWidth="1"/>
    <col min="10081" max="10082" width="9.88671875" style="2" bestFit="1" customWidth="1"/>
    <col min="10083" max="10083" width="10.88671875" style="2" bestFit="1" customWidth="1"/>
    <col min="10084" max="10085" width="8.6640625" style="2"/>
    <col min="10086" max="10086" width="10.88671875" style="2" bestFit="1" customWidth="1"/>
    <col min="10087" max="10087" width="11.88671875" style="2" bestFit="1" customWidth="1"/>
    <col min="10088" max="10090" width="8.6640625" style="2"/>
    <col min="10091" max="10092" width="10.88671875" style="2" bestFit="1" customWidth="1"/>
    <col min="10093" max="10093" width="8.6640625" style="2"/>
    <col min="10094" max="10094" width="10.88671875" style="2" bestFit="1" customWidth="1"/>
    <col min="10095" max="10096" width="8.6640625" style="2"/>
    <col min="10097" max="10097" width="10.88671875" style="2" bestFit="1" customWidth="1"/>
    <col min="10098" max="10240" width="8.6640625" style="2"/>
    <col min="10241" max="10241" width="21.5546875" style="2" customWidth="1"/>
    <col min="10242" max="10242" width="35" style="2" customWidth="1"/>
    <col min="10243" max="10244" width="8.44140625" style="2" customWidth="1"/>
    <col min="10245" max="10252" width="9.88671875" style="2" bestFit="1" customWidth="1"/>
    <col min="10253" max="10253" width="10.88671875" style="2" bestFit="1" customWidth="1"/>
    <col min="10254" max="10254" width="8.44140625" style="2" customWidth="1"/>
    <col min="10255" max="10255" width="8.6640625" style="2"/>
    <col min="10256" max="10257" width="10.88671875" style="2" bestFit="1" customWidth="1"/>
    <col min="10258" max="10258" width="9" style="2" customWidth="1"/>
    <col min="10259" max="10259" width="8.6640625" style="2"/>
    <col min="10260" max="10260" width="8.44140625" style="2" customWidth="1"/>
    <col min="10261" max="10261" width="9.109375" style="2" customWidth="1"/>
    <col min="10262" max="10262" width="9" style="2" customWidth="1"/>
    <col min="10263" max="10263" width="7.5546875" style="2" customWidth="1"/>
    <col min="10264" max="10264" width="8" style="2" customWidth="1"/>
    <col min="10265" max="10265" width="7.88671875" style="2" customWidth="1"/>
    <col min="10266" max="10266" width="7.5546875" style="2" customWidth="1"/>
    <col min="10267" max="10267" width="8.5546875" style="2" customWidth="1"/>
    <col min="10268" max="10268" width="8.44140625" style="2" customWidth="1"/>
    <col min="10269" max="10270" width="7.88671875" style="2" customWidth="1"/>
    <col min="10271" max="10271" width="8.109375" style="2" customWidth="1"/>
    <col min="10272" max="10272" width="9" style="2" customWidth="1"/>
    <col min="10273" max="10275" width="9.88671875" style="2" bestFit="1" customWidth="1"/>
    <col min="10276" max="10276" width="9.88671875" style="2" customWidth="1"/>
    <col min="10277" max="10277" width="9.44140625" style="2" customWidth="1"/>
    <col min="10278" max="10278" width="9.5546875" style="2" customWidth="1"/>
    <col min="10279" max="10280" width="11.5546875" style="2" bestFit="1" customWidth="1"/>
    <col min="10281" max="10282" width="9.88671875" style="2" bestFit="1" customWidth="1"/>
    <col min="10283" max="10284" width="10.5546875" style="2" bestFit="1" customWidth="1"/>
    <col min="10285" max="10285" width="10.5546875" style="2" customWidth="1"/>
    <col min="10286" max="10286" width="10.5546875" style="2" bestFit="1" customWidth="1"/>
    <col min="10287" max="10287" width="9.88671875" style="2" bestFit="1" customWidth="1"/>
    <col min="10288" max="10288" width="10.5546875" style="2" bestFit="1" customWidth="1"/>
    <col min="10289" max="10289" width="10.88671875" style="2" bestFit="1" customWidth="1"/>
    <col min="10290" max="10290" width="9.6640625" style="2" customWidth="1"/>
    <col min="10291" max="10291" width="9.88671875" style="2" bestFit="1" customWidth="1"/>
    <col min="10292" max="10296" width="9.6640625" style="2" customWidth="1"/>
    <col min="10297" max="10297" width="10.88671875" style="2" bestFit="1" customWidth="1"/>
    <col min="10298" max="10305" width="9.6640625" style="2" customWidth="1"/>
    <col min="10306" max="10307" width="9.88671875" style="2" bestFit="1" customWidth="1"/>
    <col min="10308" max="10308" width="10.88671875" style="2" bestFit="1" customWidth="1"/>
    <col min="10309" max="10309" width="9.88671875" style="2" bestFit="1" customWidth="1"/>
    <col min="10310" max="10310" width="10.88671875" style="2" bestFit="1" customWidth="1"/>
    <col min="10311" max="10312" width="9.88671875" style="2" bestFit="1" customWidth="1"/>
    <col min="10313" max="10316" width="8.6640625" style="2"/>
    <col min="10317" max="10317" width="10.88671875" style="2" bestFit="1" customWidth="1"/>
    <col min="10318" max="10318" width="8.6640625" style="2"/>
    <col min="10319" max="10319" width="13.109375" style="2" bestFit="1" customWidth="1"/>
    <col min="10320" max="10320" width="9.88671875" style="2" bestFit="1" customWidth="1"/>
    <col min="10321" max="10322" width="10.88671875" style="2" bestFit="1" customWidth="1"/>
    <col min="10323" max="10323" width="9.88671875" style="2" bestFit="1" customWidth="1"/>
    <col min="10324" max="10324" width="10.33203125" style="2" bestFit="1" customWidth="1"/>
    <col min="10325" max="10325" width="8.6640625" style="2"/>
    <col min="10326" max="10326" width="10.88671875" style="2" bestFit="1" customWidth="1"/>
    <col min="10327" max="10328" width="11.5546875" style="2" bestFit="1" customWidth="1"/>
    <col min="10329" max="10332" width="10.88671875" style="2" bestFit="1" customWidth="1"/>
    <col min="10333" max="10333" width="12.6640625" style="2" bestFit="1" customWidth="1"/>
    <col min="10334" max="10334" width="10.5546875" style="2" bestFit="1" customWidth="1"/>
    <col min="10335" max="10335" width="9.88671875" style="2" bestFit="1" customWidth="1"/>
    <col min="10336" max="10336" width="10.88671875" style="2" customWidth="1"/>
    <col min="10337" max="10338" width="9.88671875" style="2" bestFit="1" customWidth="1"/>
    <col min="10339" max="10339" width="10.88671875" style="2" bestFit="1" customWidth="1"/>
    <col min="10340" max="10341" width="8.6640625" style="2"/>
    <col min="10342" max="10342" width="10.88671875" style="2" bestFit="1" customWidth="1"/>
    <col min="10343" max="10343" width="11.88671875" style="2" bestFit="1" customWidth="1"/>
    <col min="10344" max="10346" width="8.6640625" style="2"/>
    <col min="10347" max="10348" width="10.88671875" style="2" bestFit="1" customWidth="1"/>
    <col min="10349" max="10349" width="8.6640625" style="2"/>
    <col min="10350" max="10350" width="10.88671875" style="2" bestFit="1" customWidth="1"/>
    <col min="10351" max="10352" width="8.6640625" style="2"/>
    <col min="10353" max="10353" width="10.88671875" style="2" bestFit="1" customWidth="1"/>
    <col min="10354" max="10496" width="8.6640625" style="2"/>
    <col min="10497" max="10497" width="21.5546875" style="2" customWidth="1"/>
    <col min="10498" max="10498" width="35" style="2" customWidth="1"/>
    <col min="10499" max="10500" width="8.44140625" style="2" customWidth="1"/>
    <col min="10501" max="10508" width="9.88671875" style="2" bestFit="1" customWidth="1"/>
    <col min="10509" max="10509" width="10.88671875" style="2" bestFit="1" customWidth="1"/>
    <col min="10510" max="10510" width="8.44140625" style="2" customWidth="1"/>
    <col min="10511" max="10511" width="8.6640625" style="2"/>
    <col min="10512" max="10513" width="10.88671875" style="2" bestFit="1" customWidth="1"/>
    <col min="10514" max="10514" width="9" style="2" customWidth="1"/>
    <col min="10515" max="10515" width="8.6640625" style="2"/>
    <col min="10516" max="10516" width="8.44140625" style="2" customWidth="1"/>
    <col min="10517" max="10517" width="9.109375" style="2" customWidth="1"/>
    <col min="10518" max="10518" width="9" style="2" customWidth="1"/>
    <col min="10519" max="10519" width="7.5546875" style="2" customWidth="1"/>
    <col min="10520" max="10520" width="8" style="2" customWidth="1"/>
    <col min="10521" max="10521" width="7.88671875" style="2" customWidth="1"/>
    <col min="10522" max="10522" width="7.5546875" style="2" customWidth="1"/>
    <col min="10523" max="10523" width="8.5546875" style="2" customWidth="1"/>
    <col min="10524" max="10524" width="8.44140625" style="2" customWidth="1"/>
    <col min="10525" max="10526" width="7.88671875" style="2" customWidth="1"/>
    <col min="10527" max="10527" width="8.109375" style="2" customWidth="1"/>
    <col min="10528" max="10528" width="9" style="2" customWidth="1"/>
    <col min="10529" max="10531" width="9.88671875" style="2" bestFit="1" customWidth="1"/>
    <col min="10532" max="10532" width="9.88671875" style="2" customWidth="1"/>
    <col min="10533" max="10533" width="9.44140625" style="2" customWidth="1"/>
    <col min="10534" max="10534" width="9.5546875" style="2" customWidth="1"/>
    <col min="10535" max="10536" width="11.5546875" style="2" bestFit="1" customWidth="1"/>
    <col min="10537" max="10538" width="9.88671875" style="2" bestFit="1" customWidth="1"/>
    <col min="10539" max="10540" width="10.5546875" style="2" bestFit="1" customWidth="1"/>
    <col min="10541" max="10541" width="10.5546875" style="2" customWidth="1"/>
    <col min="10542" max="10542" width="10.5546875" style="2" bestFit="1" customWidth="1"/>
    <col min="10543" max="10543" width="9.88671875" style="2" bestFit="1" customWidth="1"/>
    <col min="10544" max="10544" width="10.5546875" style="2" bestFit="1" customWidth="1"/>
    <col min="10545" max="10545" width="10.88671875" style="2" bestFit="1" customWidth="1"/>
    <col min="10546" max="10546" width="9.6640625" style="2" customWidth="1"/>
    <col min="10547" max="10547" width="9.88671875" style="2" bestFit="1" customWidth="1"/>
    <col min="10548" max="10552" width="9.6640625" style="2" customWidth="1"/>
    <col min="10553" max="10553" width="10.88671875" style="2" bestFit="1" customWidth="1"/>
    <col min="10554" max="10561" width="9.6640625" style="2" customWidth="1"/>
    <col min="10562" max="10563" width="9.88671875" style="2" bestFit="1" customWidth="1"/>
    <col min="10564" max="10564" width="10.88671875" style="2" bestFit="1" customWidth="1"/>
    <col min="10565" max="10565" width="9.88671875" style="2" bestFit="1" customWidth="1"/>
    <col min="10566" max="10566" width="10.88671875" style="2" bestFit="1" customWidth="1"/>
    <col min="10567" max="10568" width="9.88671875" style="2" bestFit="1" customWidth="1"/>
    <col min="10569" max="10572" width="8.6640625" style="2"/>
    <col min="10573" max="10573" width="10.88671875" style="2" bestFit="1" customWidth="1"/>
    <col min="10574" max="10574" width="8.6640625" style="2"/>
    <col min="10575" max="10575" width="13.109375" style="2" bestFit="1" customWidth="1"/>
    <col min="10576" max="10576" width="9.88671875" style="2" bestFit="1" customWidth="1"/>
    <col min="10577" max="10578" width="10.88671875" style="2" bestFit="1" customWidth="1"/>
    <col min="10579" max="10579" width="9.88671875" style="2" bestFit="1" customWidth="1"/>
    <col min="10580" max="10580" width="10.33203125" style="2" bestFit="1" customWidth="1"/>
    <col min="10581" max="10581" width="8.6640625" style="2"/>
    <col min="10582" max="10582" width="10.88671875" style="2" bestFit="1" customWidth="1"/>
    <col min="10583" max="10584" width="11.5546875" style="2" bestFit="1" customWidth="1"/>
    <col min="10585" max="10588" width="10.88671875" style="2" bestFit="1" customWidth="1"/>
    <col min="10589" max="10589" width="12.6640625" style="2" bestFit="1" customWidth="1"/>
    <col min="10590" max="10590" width="10.5546875" style="2" bestFit="1" customWidth="1"/>
    <col min="10591" max="10591" width="9.88671875" style="2" bestFit="1" customWidth="1"/>
    <col min="10592" max="10592" width="10.88671875" style="2" customWidth="1"/>
    <col min="10593" max="10594" width="9.88671875" style="2" bestFit="1" customWidth="1"/>
    <col min="10595" max="10595" width="10.88671875" style="2" bestFit="1" customWidth="1"/>
    <col min="10596" max="10597" width="8.6640625" style="2"/>
    <col min="10598" max="10598" width="10.88671875" style="2" bestFit="1" customWidth="1"/>
    <col min="10599" max="10599" width="11.88671875" style="2" bestFit="1" customWidth="1"/>
    <col min="10600" max="10602" width="8.6640625" style="2"/>
    <col min="10603" max="10604" width="10.88671875" style="2" bestFit="1" customWidth="1"/>
    <col min="10605" max="10605" width="8.6640625" style="2"/>
    <col min="10606" max="10606" width="10.88671875" style="2" bestFit="1" customWidth="1"/>
    <col min="10607" max="10608" width="8.6640625" style="2"/>
    <col min="10609" max="10609" width="10.88671875" style="2" bestFit="1" customWidth="1"/>
    <col min="10610" max="10752" width="8.6640625" style="2"/>
    <col min="10753" max="10753" width="21.5546875" style="2" customWidth="1"/>
    <col min="10754" max="10754" width="35" style="2" customWidth="1"/>
    <col min="10755" max="10756" width="8.44140625" style="2" customWidth="1"/>
    <col min="10757" max="10764" width="9.88671875" style="2" bestFit="1" customWidth="1"/>
    <col min="10765" max="10765" width="10.88671875" style="2" bestFit="1" customWidth="1"/>
    <col min="10766" max="10766" width="8.44140625" style="2" customWidth="1"/>
    <col min="10767" max="10767" width="8.6640625" style="2"/>
    <col min="10768" max="10769" width="10.88671875" style="2" bestFit="1" customWidth="1"/>
    <col min="10770" max="10770" width="9" style="2" customWidth="1"/>
    <col min="10771" max="10771" width="8.6640625" style="2"/>
    <col min="10772" max="10772" width="8.44140625" style="2" customWidth="1"/>
    <col min="10773" max="10773" width="9.109375" style="2" customWidth="1"/>
    <col min="10774" max="10774" width="9" style="2" customWidth="1"/>
    <col min="10775" max="10775" width="7.5546875" style="2" customWidth="1"/>
    <col min="10776" max="10776" width="8" style="2" customWidth="1"/>
    <col min="10777" max="10777" width="7.88671875" style="2" customWidth="1"/>
    <col min="10778" max="10778" width="7.5546875" style="2" customWidth="1"/>
    <col min="10779" max="10779" width="8.5546875" style="2" customWidth="1"/>
    <col min="10780" max="10780" width="8.44140625" style="2" customWidth="1"/>
    <col min="10781" max="10782" width="7.88671875" style="2" customWidth="1"/>
    <col min="10783" max="10783" width="8.109375" style="2" customWidth="1"/>
    <col min="10784" max="10784" width="9" style="2" customWidth="1"/>
    <col min="10785" max="10787" width="9.88671875" style="2" bestFit="1" customWidth="1"/>
    <col min="10788" max="10788" width="9.88671875" style="2" customWidth="1"/>
    <col min="10789" max="10789" width="9.44140625" style="2" customWidth="1"/>
    <col min="10790" max="10790" width="9.5546875" style="2" customWidth="1"/>
    <col min="10791" max="10792" width="11.5546875" style="2" bestFit="1" customWidth="1"/>
    <col min="10793" max="10794" width="9.88671875" style="2" bestFit="1" customWidth="1"/>
    <col min="10795" max="10796" width="10.5546875" style="2" bestFit="1" customWidth="1"/>
    <col min="10797" max="10797" width="10.5546875" style="2" customWidth="1"/>
    <col min="10798" max="10798" width="10.5546875" style="2" bestFit="1" customWidth="1"/>
    <col min="10799" max="10799" width="9.88671875" style="2" bestFit="1" customWidth="1"/>
    <col min="10800" max="10800" width="10.5546875" style="2" bestFit="1" customWidth="1"/>
    <col min="10801" max="10801" width="10.88671875" style="2" bestFit="1" customWidth="1"/>
    <col min="10802" max="10802" width="9.6640625" style="2" customWidth="1"/>
    <col min="10803" max="10803" width="9.88671875" style="2" bestFit="1" customWidth="1"/>
    <col min="10804" max="10808" width="9.6640625" style="2" customWidth="1"/>
    <col min="10809" max="10809" width="10.88671875" style="2" bestFit="1" customWidth="1"/>
    <col min="10810" max="10817" width="9.6640625" style="2" customWidth="1"/>
    <col min="10818" max="10819" width="9.88671875" style="2" bestFit="1" customWidth="1"/>
    <col min="10820" max="10820" width="10.88671875" style="2" bestFit="1" customWidth="1"/>
    <col min="10821" max="10821" width="9.88671875" style="2" bestFit="1" customWidth="1"/>
    <col min="10822" max="10822" width="10.88671875" style="2" bestFit="1" customWidth="1"/>
    <col min="10823" max="10824" width="9.88671875" style="2" bestFit="1" customWidth="1"/>
    <col min="10825" max="10828" width="8.6640625" style="2"/>
    <col min="10829" max="10829" width="10.88671875" style="2" bestFit="1" customWidth="1"/>
    <col min="10830" max="10830" width="8.6640625" style="2"/>
    <col min="10831" max="10831" width="13.109375" style="2" bestFit="1" customWidth="1"/>
    <col min="10832" max="10832" width="9.88671875" style="2" bestFit="1" customWidth="1"/>
    <col min="10833" max="10834" width="10.88671875" style="2" bestFit="1" customWidth="1"/>
    <col min="10835" max="10835" width="9.88671875" style="2" bestFit="1" customWidth="1"/>
    <col min="10836" max="10836" width="10.33203125" style="2" bestFit="1" customWidth="1"/>
    <col min="10837" max="10837" width="8.6640625" style="2"/>
    <col min="10838" max="10838" width="10.88671875" style="2" bestFit="1" customWidth="1"/>
    <col min="10839" max="10840" width="11.5546875" style="2" bestFit="1" customWidth="1"/>
    <col min="10841" max="10844" width="10.88671875" style="2" bestFit="1" customWidth="1"/>
    <col min="10845" max="10845" width="12.6640625" style="2" bestFit="1" customWidth="1"/>
    <col min="10846" max="10846" width="10.5546875" style="2" bestFit="1" customWidth="1"/>
    <col min="10847" max="10847" width="9.88671875" style="2" bestFit="1" customWidth="1"/>
    <col min="10848" max="10848" width="10.88671875" style="2" customWidth="1"/>
    <col min="10849" max="10850" width="9.88671875" style="2" bestFit="1" customWidth="1"/>
    <col min="10851" max="10851" width="10.88671875" style="2" bestFit="1" customWidth="1"/>
    <col min="10852" max="10853" width="8.6640625" style="2"/>
    <col min="10854" max="10854" width="10.88671875" style="2" bestFit="1" customWidth="1"/>
    <col min="10855" max="10855" width="11.88671875" style="2" bestFit="1" customWidth="1"/>
    <col min="10856" max="10858" width="8.6640625" style="2"/>
    <col min="10859" max="10860" width="10.88671875" style="2" bestFit="1" customWidth="1"/>
    <col min="10861" max="10861" width="8.6640625" style="2"/>
    <col min="10862" max="10862" width="10.88671875" style="2" bestFit="1" customWidth="1"/>
    <col min="10863" max="10864" width="8.6640625" style="2"/>
    <col min="10865" max="10865" width="10.88671875" style="2" bestFit="1" customWidth="1"/>
    <col min="10866" max="11008" width="8.6640625" style="2"/>
    <col min="11009" max="11009" width="21.5546875" style="2" customWidth="1"/>
    <col min="11010" max="11010" width="35" style="2" customWidth="1"/>
    <col min="11011" max="11012" width="8.44140625" style="2" customWidth="1"/>
    <col min="11013" max="11020" width="9.88671875" style="2" bestFit="1" customWidth="1"/>
    <col min="11021" max="11021" width="10.88671875" style="2" bestFit="1" customWidth="1"/>
    <col min="11022" max="11022" width="8.44140625" style="2" customWidth="1"/>
    <col min="11023" max="11023" width="8.6640625" style="2"/>
    <col min="11024" max="11025" width="10.88671875" style="2" bestFit="1" customWidth="1"/>
    <col min="11026" max="11026" width="9" style="2" customWidth="1"/>
    <col min="11027" max="11027" width="8.6640625" style="2"/>
    <col min="11028" max="11028" width="8.44140625" style="2" customWidth="1"/>
    <col min="11029" max="11029" width="9.109375" style="2" customWidth="1"/>
    <col min="11030" max="11030" width="9" style="2" customWidth="1"/>
    <col min="11031" max="11031" width="7.5546875" style="2" customWidth="1"/>
    <col min="11032" max="11032" width="8" style="2" customWidth="1"/>
    <col min="11033" max="11033" width="7.88671875" style="2" customWidth="1"/>
    <col min="11034" max="11034" width="7.5546875" style="2" customWidth="1"/>
    <col min="11035" max="11035" width="8.5546875" style="2" customWidth="1"/>
    <col min="11036" max="11036" width="8.44140625" style="2" customWidth="1"/>
    <col min="11037" max="11038" width="7.88671875" style="2" customWidth="1"/>
    <col min="11039" max="11039" width="8.109375" style="2" customWidth="1"/>
    <col min="11040" max="11040" width="9" style="2" customWidth="1"/>
    <col min="11041" max="11043" width="9.88671875" style="2" bestFit="1" customWidth="1"/>
    <col min="11044" max="11044" width="9.88671875" style="2" customWidth="1"/>
    <col min="11045" max="11045" width="9.44140625" style="2" customWidth="1"/>
    <col min="11046" max="11046" width="9.5546875" style="2" customWidth="1"/>
    <col min="11047" max="11048" width="11.5546875" style="2" bestFit="1" customWidth="1"/>
    <col min="11049" max="11050" width="9.88671875" style="2" bestFit="1" customWidth="1"/>
    <col min="11051" max="11052" width="10.5546875" style="2" bestFit="1" customWidth="1"/>
    <col min="11053" max="11053" width="10.5546875" style="2" customWidth="1"/>
    <col min="11054" max="11054" width="10.5546875" style="2" bestFit="1" customWidth="1"/>
    <col min="11055" max="11055" width="9.88671875" style="2" bestFit="1" customWidth="1"/>
    <col min="11056" max="11056" width="10.5546875" style="2" bestFit="1" customWidth="1"/>
    <col min="11057" max="11057" width="10.88671875" style="2" bestFit="1" customWidth="1"/>
    <col min="11058" max="11058" width="9.6640625" style="2" customWidth="1"/>
    <col min="11059" max="11059" width="9.88671875" style="2" bestFit="1" customWidth="1"/>
    <col min="11060" max="11064" width="9.6640625" style="2" customWidth="1"/>
    <col min="11065" max="11065" width="10.88671875" style="2" bestFit="1" customWidth="1"/>
    <col min="11066" max="11073" width="9.6640625" style="2" customWidth="1"/>
    <col min="11074" max="11075" width="9.88671875" style="2" bestFit="1" customWidth="1"/>
    <col min="11076" max="11076" width="10.88671875" style="2" bestFit="1" customWidth="1"/>
    <col min="11077" max="11077" width="9.88671875" style="2" bestFit="1" customWidth="1"/>
    <col min="11078" max="11078" width="10.88671875" style="2" bestFit="1" customWidth="1"/>
    <col min="11079" max="11080" width="9.88671875" style="2" bestFit="1" customWidth="1"/>
    <col min="11081" max="11084" width="8.6640625" style="2"/>
    <col min="11085" max="11085" width="10.88671875" style="2" bestFit="1" customWidth="1"/>
    <col min="11086" max="11086" width="8.6640625" style="2"/>
    <col min="11087" max="11087" width="13.109375" style="2" bestFit="1" customWidth="1"/>
    <col min="11088" max="11088" width="9.88671875" style="2" bestFit="1" customWidth="1"/>
    <col min="11089" max="11090" width="10.88671875" style="2" bestFit="1" customWidth="1"/>
    <col min="11091" max="11091" width="9.88671875" style="2" bestFit="1" customWidth="1"/>
    <col min="11092" max="11092" width="10.33203125" style="2" bestFit="1" customWidth="1"/>
    <col min="11093" max="11093" width="8.6640625" style="2"/>
    <col min="11094" max="11094" width="10.88671875" style="2" bestFit="1" customWidth="1"/>
    <col min="11095" max="11096" width="11.5546875" style="2" bestFit="1" customWidth="1"/>
    <col min="11097" max="11100" width="10.88671875" style="2" bestFit="1" customWidth="1"/>
    <col min="11101" max="11101" width="12.6640625" style="2" bestFit="1" customWidth="1"/>
    <col min="11102" max="11102" width="10.5546875" style="2" bestFit="1" customWidth="1"/>
    <col min="11103" max="11103" width="9.88671875" style="2" bestFit="1" customWidth="1"/>
    <col min="11104" max="11104" width="10.88671875" style="2" customWidth="1"/>
    <col min="11105" max="11106" width="9.88671875" style="2" bestFit="1" customWidth="1"/>
    <col min="11107" max="11107" width="10.88671875" style="2" bestFit="1" customWidth="1"/>
    <col min="11108" max="11109" width="8.6640625" style="2"/>
    <col min="11110" max="11110" width="10.88671875" style="2" bestFit="1" customWidth="1"/>
    <col min="11111" max="11111" width="11.88671875" style="2" bestFit="1" customWidth="1"/>
    <col min="11112" max="11114" width="8.6640625" style="2"/>
    <col min="11115" max="11116" width="10.88671875" style="2" bestFit="1" customWidth="1"/>
    <col min="11117" max="11117" width="8.6640625" style="2"/>
    <col min="11118" max="11118" width="10.88671875" style="2" bestFit="1" customWidth="1"/>
    <col min="11119" max="11120" width="8.6640625" style="2"/>
    <col min="11121" max="11121" width="10.88671875" style="2" bestFit="1" customWidth="1"/>
    <col min="11122" max="11264" width="8.6640625" style="2"/>
    <col min="11265" max="11265" width="21.5546875" style="2" customWidth="1"/>
    <col min="11266" max="11266" width="35" style="2" customWidth="1"/>
    <col min="11267" max="11268" width="8.44140625" style="2" customWidth="1"/>
    <col min="11269" max="11276" width="9.88671875" style="2" bestFit="1" customWidth="1"/>
    <col min="11277" max="11277" width="10.88671875" style="2" bestFit="1" customWidth="1"/>
    <col min="11278" max="11278" width="8.44140625" style="2" customWidth="1"/>
    <col min="11279" max="11279" width="8.6640625" style="2"/>
    <col min="11280" max="11281" width="10.88671875" style="2" bestFit="1" customWidth="1"/>
    <col min="11282" max="11282" width="9" style="2" customWidth="1"/>
    <col min="11283" max="11283" width="8.6640625" style="2"/>
    <col min="11284" max="11284" width="8.44140625" style="2" customWidth="1"/>
    <col min="11285" max="11285" width="9.109375" style="2" customWidth="1"/>
    <col min="11286" max="11286" width="9" style="2" customWidth="1"/>
    <col min="11287" max="11287" width="7.5546875" style="2" customWidth="1"/>
    <col min="11288" max="11288" width="8" style="2" customWidth="1"/>
    <col min="11289" max="11289" width="7.88671875" style="2" customWidth="1"/>
    <col min="11290" max="11290" width="7.5546875" style="2" customWidth="1"/>
    <col min="11291" max="11291" width="8.5546875" style="2" customWidth="1"/>
    <col min="11292" max="11292" width="8.44140625" style="2" customWidth="1"/>
    <col min="11293" max="11294" width="7.88671875" style="2" customWidth="1"/>
    <col min="11295" max="11295" width="8.109375" style="2" customWidth="1"/>
    <col min="11296" max="11296" width="9" style="2" customWidth="1"/>
    <col min="11297" max="11299" width="9.88671875" style="2" bestFit="1" customWidth="1"/>
    <col min="11300" max="11300" width="9.88671875" style="2" customWidth="1"/>
    <col min="11301" max="11301" width="9.44140625" style="2" customWidth="1"/>
    <col min="11302" max="11302" width="9.5546875" style="2" customWidth="1"/>
    <col min="11303" max="11304" width="11.5546875" style="2" bestFit="1" customWidth="1"/>
    <col min="11305" max="11306" width="9.88671875" style="2" bestFit="1" customWidth="1"/>
    <col min="11307" max="11308" width="10.5546875" style="2" bestFit="1" customWidth="1"/>
    <col min="11309" max="11309" width="10.5546875" style="2" customWidth="1"/>
    <col min="11310" max="11310" width="10.5546875" style="2" bestFit="1" customWidth="1"/>
    <col min="11311" max="11311" width="9.88671875" style="2" bestFit="1" customWidth="1"/>
    <col min="11312" max="11312" width="10.5546875" style="2" bestFit="1" customWidth="1"/>
    <col min="11313" max="11313" width="10.88671875" style="2" bestFit="1" customWidth="1"/>
    <col min="11314" max="11314" width="9.6640625" style="2" customWidth="1"/>
    <col min="11315" max="11315" width="9.88671875" style="2" bestFit="1" customWidth="1"/>
    <col min="11316" max="11320" width="9.6640625" style="2" customWidth="1"/>
    <col min="11321" max="11321" width="10.88671875" style="2" bestFit="1" customWidth="1"/>
    <col min="11322" max="11329" width="9.6640625" style="2" customWidth="1"/>
    <col min="11330" max="11331" width="9.88671875" style="2" bestFit="1" customWidth="1"/>
    <col min="11332" max="11332" width="10.88671875" style="2" bestFit="1" customWidth="1"/>
    <col min="11333" max="11333" width="9.88671875" style="2" bestFit="1" customWidth="1"/>
    <col min="11334" max="11334" width="10.88671875" style="2" bestFit="1" customWidth="1"/>
    <col min="11335" max="11336" width="9.88671875" style="2" bestFit="1" customWidth="1"/>
    <col min="11337" max="11340" width="8.6640625" style="2"/>
    <col min="11341" max="11341" width="10.88671875" style="2" bestFit="1" customWidth="1"/>
    <col min="11342" max="11342" width="8.6640625" style="2"/>
    <col min="11343" max="11343" width="13.109375" style="2" bestFit="1" customWidth="1"/>
    <col min="11344" max="11344" width="9.88671875" style="2" bestFit="1" customWidth="1"/>
    <col min="11345" max="11346" width="10.88671875" style="2" bestFit="1" customWidth="1"/>
    <col min="11347" max="11347" width="9.88671875" style="2" bestFit="1" customWidth="1"/>
    <col min="11348" max="11348" width="10.33203125" style="2" bestFit="1" customWidth="1"/>
    <col min="11349" max="11349" width="8.6640625" style="2"/>
    <col min="11350" max="11350" width="10.88671875" style="2" bestFit="1" customWidth="1"/>
    <col min="11351" max="11352" width="11.5546875" style="2" bestFit="1" customWidth="1"/>
    <col min="11353" max="11356" width="10.88671875" style="2" bestFit="1" customWidth="1"/>
    <col min="11357" max="11357" width="12.6640625" style="2" bestFit="1" customWidth="1"/>
    <col min="11358" max="11358" width="10.5546875" style="2" bestFit="1" customWidth="1"/>
    <col min="11359" max="11359" width="9.88671875" style="2" bestFit="1" customWidth="1"/>
    <col min="11360" max="11360" width="10.88671875" style="2" customWidth="1"/>
    <col min="11361" max="11362" width="9.88671875" style="2" bestFit="1" customWidth="1"/>
    <col min="11363" max="11363" width="10.88671875" style="2" bestFit="1" customWidth="1"/>
    <col min="11364" max="11365" width="8.6640625" style="2"/>
    <col min="11366" max="11366" width="10.88671875" style="2" bestFit="1" customWidth="1"/>
    <col min="11367" max="11367" width="11.88671875" style="2" bestFit="1" customWidth="1"/>
    <col min="11368" max="11370" width="8.6640625" style="2"/>
    <col min="11371" max="11372" width="10.88671875" style="2" bestFit="1" customWidth="1"/>
    <col min="11373" max="11373" width="8.6640625" style="2"/>
    <col min="11374" max="11374" width="10.88671875" style="2" bestFit="1" customWidth="1"/>
    <col min="11375" max="11376" width="8.6640625" style="2"/>
    <col min="11377" max="11377" width="10.88671875" style="2" bestFit="1" customWidth="1"/>
    <col min="11378" max="11520" width="8.6640625" style="2"/>
    <col min="11521" max="11521" width="21.5546875" style="2" customWidth="1"/>
    <col min="11522" max="11522" width="35" style="2" customWidth="1"/>
    <col min="11523" max="11524" width="8.44140625" style="2" customWidth="1"/>
    <col min="11525" max="11532" width="9.88671875" style="2" bestFit="1" customWidth="1"/>
    <col min="11533" max="11533" width="10.88671875" style="2" bestFit="1" customWidth="1"/>
    <col min="11534" max="11534" width="8.44140625" style="2" customWidth="1"/>
    <col min="11535" max="11535" width="8.6640625" style="2"/>
    <col min="11536" max="11537" width="10.88671875" style="2" bestFit="1" customWidth="1"/>
    <col min="11538" max="11538" width="9" style="2" customWidth="1"/>
    <col min="11539" max="11539" width="8.6640625" style="2"/>
    <col min="11540" max="11540" width="8.44140625" style="2" customWidth="1"/>
    <col min="11541" max="11541" width="9.109375" style="2" customWidth="1"/>
    <col min="11542" max="11542" width="9" style="2" customWidth="1"/>
    <col min="11543" max="11543" width="7.5546875" style="2" customWidth="1"/>
    <col min="11544" max="11544" width="8" style="2" customWidth="1"/>
    <col min="11545" max="11545" width="7.88671875" style="2" customWidth="1"/>
    <col min="11546" max="11546" width="7.5546875" style="2" customWidth="1"/>
    <col min="11547" max="11547" width="8.5546875" style="2" customWidth="1"/>
    <col min="11548" max="11548" width="8.44140625" style="2" customWidth="1"/>
    <col min="11549" max="11550" width="7.88671875" style="2" customWidth="1"/>
    <col min="11551" max="11551" width="8.109375" style="2" customWidth="1"/>
    <col min="11552" max="11552" width="9" style="2" customWidth="1"/>
    <col min="11553" max="11555" width="9.88671875" style="2" bestFit="1" customWidth="1"/>
    <col min="11556" max="11556" width="9.88671875" style="2" customWidth="1"/>
    <col min="11557" max="11557" width="9.44140625" style="2" customWidth="1"/>
    <col min="11558" max="11558" width="9.5546875" style="2" customWidth="1"/>
    <col min="11559" max="11560" width="11.5546875" style="2" bestFit="1" customWidth="1"/>
    <col min="11561" max="11562" width="9.88671875" style="2" bestFit="1" customWidth="1"/>
    <col min="11563" max="11564" width="10.5546875" style="2" bestFit="1" customWidth="1"/>
    <col min="11565" max="11565" width="10.5546875" style="2" customWidth="1"/>
    <col min="11566" max="11566" width="10.5546875" style="2" bestFit="1" customWidth="1"/>
    <col min="11567" max="11567" width="9.88671875" style="2" bestFit="1" customWidth="1"/>
    <col min="11568" max="11568" width="10.5546875" style="2" bestFit="1" customWidth="1"/>
    <col min="11569" max="11569" width="10.88671875" style="2" bestFit="1" customWidth="1"/>
    <col min="11570" max="11570" width="9.6640625" style="2" customWidth="1"/>
    <col min="11571" max="11571" width="9.88671875" style="2" bestFit="1" customWidth="1"/>
    <col min="11572" max="11576" width="9.6640625" style="2" customWidth="1"/>
    <col min="11577" max="11577" width="10.88671875" style="2" bestFit="1" customWidth="1"/>
    <col min="11578" max="11585" width="9.6640625" style="2" customWidth="1"/>
    <col min="11586" max="11587" width="9.88671875" style="2" bestFit="1" customWidth="1"/>
    <col min="11588" max="11588" width="10.88671875" style="2" bestFit="1" customWidth="1"/>
    <col min="11589" max="11589" width="9.88671875" style="2" bestFit="1" customWidth="1"/>
    <col min="11590" max="11590" width="10.88671875" style="2" bestFit="1" customWidth="1"/>
    <col min="11591" max="11592" width="9.88671875" style="2" bestFit="1" customWidth="1"/>
    <col min="11593" max="11596" width="8.6640625" style="2"/>
    <col min="11597" max="11597" width="10.88671875" style="2" bestFit="1" customWidth="1"/>
    <col min="11598" max="11598" width="8.6640625" style="2"/>
    <col min="11599" max="11599" width="13.109375" style="2" bestFit="1" customWidth="1"/>
    <col min="11600" max="11600" width="9.88671875" style="2" bestFit="1" customWidth="1"/>
    <col min="11601" max="11602" width="10.88671875" style="2" bestFit="1" customWidth="1"/>
    <col min="11603" max="11603" width="9.88671875" style="2" bestFit="1" customWidth="1"/>
    <col min="11604" max="11604" width="10.33203125" style="2" bestFit="1" customWidth="1"/>
    <col min="11605" max="11605" width="8.6640625" style="2"/>
    <col min="11606" max="11606" width="10.88671875" style="2" bestFit="1" customWidth="1"/>
    <col min="11607" max="11608" width="11.5546875" style="2" bestFit="1" customWidth="1"/>
    <col min="11609" max="11612" width="10.88671875" style="2" bestFit="1" customWidth="1"/>
    <col min="11613" max="11613" width="12.6640625" style="2" bestFit="1" customWidth="1"/>
    <col min="11614" max="11614" width="10.5546875" style="2" bestFit="1" customWidth="1"/>
    <col min="11615" max="11615" width="9.88671875" style="2" bestFit="1" customWidth="1"/>
    <col min="11616" max="11616" width="10.88671875" style="2" customWidth="1"/>
    <col min="11617" max="11618" width="9.88671875" style="2" bestFit="1" customWidth="1"/>
    <col min="11619" max="11619" width="10.88671875" style="2" bestFit="1" customWidth="1"/>
    <col min="11620" max="11621" width="8.6640625" style="2"/>
    <col min="11622" max="11622" width="10.88671875" style="2" bestFit="1" customWidth="1"/>
    <col min="11623" max="11623" width="11.88671875" style="2" bestFit="1" customWidth="1"/>
    <col min="11624" max="11626" width="8.6640625" style="2"/>
    <col min="11627" max="11628" width="10.88671875" style="2" bestFit="1" customWidth="1"/>
    <col min="11629" max="11629" width="8.6640625" style="2"/>
    <col min="11630" max="11630" width="10.88671875" style="2" bestFit="1" customWidth="1"/>
    <col min="11631" max="11632" width="8.6640625" style="2"/>
    <col min="11633" max="11633" width="10.88671875" style="2" bestFit="1" customWidth="1"/>
    <col min="11634" max="11776" width="8.6640625" style="2"/>
    <col min="11777" max="11777" width="21.5546875" style="2" customWidth="1"/>
    <col min="11778" max="11778" width="35" style="2" customWidth="1"/>
    <col min="11779" max="11780" width="8.44140625" style="2" customWidth="1"/>
    <col min="11781" max="11788" width="9.88671875" style="2" bestFit="1" customWidth="1"/>
    <col min="11789" max="11789" width="10.88671875" style="2" bestFit="1" customWidth="1"/>
    <col min="11790" max="11790" width="8.44140625" style="2" customWidth="1"/>
    <col min="11791" max="11791" width="8.6640625" style="2"/>
    <col min="11792" max="11793" width="10.88671875" style="2" bestFit="1" customWidth="1"/>
    <col min="11794" max="11794" width="9" style="2" customWidth="1"/>
    <col min="11795" max="11795" width="8.6640625" style="2"/>
    <col min="11796" max="11796" width="8.44140625" style="2" customWidth="1"/>
    <col min="11797" max="11797" width="9.109375" style="2" customWidth="1"/>
    <col min="11798" max="11798" width="9" style="2" customWidth="1"/>
    <col min="11799" max="11799" width="7.5546875" style="2" customWidth="1"/>
    <col min="11800" max="11800" width="8" style="2" customWidth="1"/>
    <col min="11801" max="11801" width="7.88671875" style="2" customWidth="1"/>
    <col min="11802" max="11802" width="7.5546875" style="2" customWidth="1"/>
    <col min="11803" max="11803" width="8.5546875" style="2" customWidth="1"/>
    <col min="11804" max="11804" width="8.44140625" style="2" customWidth="1"/>
    <col min="11805" max="11806" width="7.88671875" style="2" customWidth="1"/>
    <col min="11807" max="11807" width="8.109375" style="2" customWidth="1"/>
    <col min="11808" max="11808" width="9" style="2" customWidth="1"/>
    <col min="11809" max="11811" width="9.88671875" style="2" bestFit="1" customWidth="1"/>
    <col min="11812" max="11812" width="9.88671875" style="2" customWidth="1"/>
    <col min="11813" max="11813" width="9.44140625" style="2" customWidth="1"/>
    <col min="11814" max="11814" width="9.5546875" style="2" customWidth="1"/>
    <col min="11815" max="11816" width="11.5546875" style="2" bestFit="1" customWidth="1"/>
    <col min="11817" max="11818" width="9.88671875" style="2" bestFit="1" customWidth="1"/>
    <col min="11819" max="11820" width="10.5546875" style="2" bestFit="1" customWidth="1"/>
    <col min="11821" max="11821" width="10.5546875" style="2" customWidth="1"/>
    <col min="11822" max="11822" width="10.5546875" style="2" bestFit="1" customWidth="1"/>
    <col min="11823" max="11823" width="9.88671875" style="2" bestFit="1" customWidth="1"/>
    <col min="11824" max="11824" width="10.5546875" style="2" bestFit="1" customWidth="1"/>
    <col min="11825" max="11825" width="10.88671875" style="2" bestFit="1" customWidth="1"/>
    <col min="11826" max="11826" width="9.6640625" style="2" customWidth="1"/>
    <col min="11827" max="11827" width="9.88671875" style="2" bestFit="1" customWidth="1"/>
    <col min="11828" max="11832" width="9.6640625" style="2" customWidth="1"/>
    <col min="11833" max="11833" width="10.88671875" style="2" bestFit="1" customWidth="1"/>
    <col min="11834" max="11841" width="9.6640625" style="2" customWidth="1"/>
    <col min="11842" max="11843" width="9.88671875" style="2" bestFit="1" customWidth="1"/>
    <col min="11844" max="11844" width="10.88671875" style="2" bestFit="1" customWidth="1"/>
    <col min="11845" max="11845" width="9.88671875" style="2" bestFit="1" customWidth="1"/>
    <col min="11846" max="11846" width="10.88671875" style="2" bestFit="1" customWidth="1"/>
    <col min="11847" max="11848" width="9.88671875" style="2" bestFit="1" customWidth="1"/>
    <col min="11849" max="11852" width="8.6640625" style="2"/>
    <col min="11853" max="11853" width="10.88671875" style="2" bestFit="1" customWidth="1"/>
    <col min="11854" max="11854" width="8.6640625" style="2"/>
    <col min="11855" max="11855" width="13.109375" style="2" bestFit="1" customWidth="1"/>
    <col min="11856" max="11856" width="9.88671875" style="2" bestFit="1" customWidth="1"/>
    <col min="11857" max="11858" width="10.88671875" style="2" bestFit="1" customWidth="1"/>
    <col min="11859" max="11859" width="9.88671875" style="2" bestFit="1" customWidth="1"/>
    <col min="11860" max="11860" width="10.33203125" style="2" bestFit="1" customWidth="1"/>
    <col min="11861" max="11861" width="8.6640625" style="2"/>
    <col min="11862" max="11862" width="10.88671875" style="2" bestFit="1" customWidth="1"/>
    <col min="11863" max="11864" width="11.5546875" style="2" bestFit="1" customWidth="1"/>
    <col min="11865" max="11868" width="10.88671875" style="2" bestFit="1" customWidth="1"/>
    <col min="11869" max="11869" width="12.6640625" style="2" bestFit="1" customWidth="1"/>
    <col min="11870" max="11870" width="10.5546875" style="2" bestFit="1" customWidth="1"/>
    <col min="11871" max="11871" width="9.88671875" style="2" bestFit="1" customWidth="1"/>
    <col min="11872" max="11872" width="10.88671875" style="2" customWidth="1"/>
    <col min="11873" max="11874" width="9.88671875" style="2" bestFit="1" customWidth="1"/>
    <col min="11875" max="11875" width="10.88671875" style="2" bestFit="1" customWidth="1"/>
    <col min="11876" max="11877" width="8.6640625" style="2"/>
    <col min="11878" max="11878" width="10.88671875" style="2" bestFit="1" customWidth="1"/>
    <col min="11879" max="11879" width="11.88671875" style="2" bestFit="1" customWidth="1"/>
    <col min="11880" max="11882" width="8.6640625" style="2"/>
    <col min="11883" max="11884" width="10.88671875" style="2" bestFit="1" customWidth="1"/>
    <col min="11885" max="11885" width="8.6640625" style="2"/>
    <col min="11886" max="11886" width="10.88671875" style="2" bestFit="1" customWidth="1"/>
    <col min="11887" max="11888" width="8.6640625" style="2"/>
    <col min="11889" max="11889" width="10.88671875" style="2" bestFit="1" customWidth="1"/>
    <col min="11890" max="12032" width="8.6640625" style="2"/>
    <col min="12033" max="12033" width="21.5546875" style="2" customWidth="1"/>
    <col min="12034" max="12034" width="35" style="2" customWidth="1"/>
    <col min="12035" max="12036" width="8.44140625" style="2" customWidth="1"/>
    <col min="12037" max="12044" width="9.88671875" style="2" bestFit="1" customWidth="1"/>
    <col min="12045" max="12045" width="10.88671875" style="2" bestFit="1" customWidth="1"/>
    <col min="12046" max="12046" width="8.44140625" style="2" customWidth="1"/>
    <col min="12047" max="12047" width="8.6640625" style="2"/>
    <col min="12048" max="12049" width="10.88671875" style="2" bestFit="1" customWidth="1"/>
    <col min="12050" max="12050" width="9" style="2" customWidth="1"/>
    <col min="12051" max="12051" width="8.6640625" style="2"/>
    <col min="12052" max="12052" width="8.44140625" style="2" customWidth="1"/>
    <col min="12053" max="12053" width="9.109375" style="2" customWidth="1"/>
    <col min="12054" max="12054" width="9" style="2" customWidth="1"/>
    <col min="12055" max="12055" width="7.5546875" style="2" customWidth="1"/>
    <col min="12056" max="12056" width="8" style="2" customWidth="1"/>
    <col min="12057" max="12057" width="7.88671875" style="2" customWidth="1"/>
    <col min="12058" max="12058" width="7.5546875" style="2" customWidth="1"/>
    <col min="12059" max="12059" width="8.5546875" style="2" customWidth="1"/>
    <col min="12060" max="12060" width="8.44140625" style="2" customWidth="1"/>
    <col min="12061" max="12062" width="7.88671875" style="2" customWidth="1"/>
    <col min="12063" max="12063" width="8.109375" style="2" customWidth="1"/>
    <col min="12064" max="12064" width="9" style="2" customWidth="1"/>
    <col min="12065" max="12067" width="9.88671875" style="2" bestFit="1" customWidth="1"/>
    <col min="12068" max="12068" width="9.88671875" style="2" customWidth="1"/>
    <col min="12069" max="12069" width="9.44140625" style="2" customWidth="1"/>
    <col min="12070" max="12070" width="9.5546875" style="2" customWidth="1"/>
    <col min="12071" max="12072" width="11.5546875" style="2" bestFit="1" customWidth="1"/>
    <col min="12073" max="12074" width="9.88671875" style="2" bestFit="1" customWidth="1"/>
    <col min="12075" max="12076" width="10.5546875" style="2" bestFit="1" customWidth="1"/>
    <col min="12077" max="12077" width="10.5546875" style="2" customWidth="1"/>
    <col min="12078" max="12078" width="10.5546875" style="2" bestFit="1" customWidth="1"/>
    <col min="12079" max="12079" width="9.88671875" style="2" bestFit="1" customWidth="1"/>
    <col min="12080" max="12080" width="10.5546875" style="2" bestFit="1" customWidth="1"/>
    <col min="12081" max="12081" width="10.88671875" style="2" bestFit="1" customWidth="1"/>
    <col min="12082" max="12082" width="9.6640625" style="2" customWidth="1"/>
    <col min="12083" max="12083" width="9.88671875" style="2" bestFit="1" customWidth="1"/>
    <col min="12084" max="12088" width="9.6640625" style="2" customWidth="1"/>
    <col min="12089" max="12089" width="10.88671875" style="2" bestFit="1" customWidth="1"/>
    <col min="12090" max="12097" width="9.6640625" style="2" customWidth="1"/>
    <col min="12098" max="12099" width="9.88671875" style="2" bestFit="1" customWidth="1"/>
    <col min="12100" max="12100" width="10.88671875" style="2" bestFit="1" customWidth="1"/>
    <col min="12101" max="12101" width="9.88671875" style="2" bestFit="1" customWidth="1"/>
    <col min="12102" max="12102" width="10.88671875" style="2" bestFit="1" customWidth="1"/>
    <col min="12103" max="12104" width="9.88671875" style="2" bestFit="1" customWidth="1"/>
    <col min="12105" max="12108" width="8.6640625" style="2"/>
    <col min="12109" max="12109" width="10.88671875" style="2" bestFit="1" customWidth="1"/>
    <col min="12110" max="12110" width="8.6640625" style="2"/>
    <col min="12111" max="12111" width="13.109375" style="2" bestFit="1" customWidth="1"/>
    <col min="12112" max="12112" width="9.88671875" style="2" bestFit="1" customWidth="1"/>
    <col min="12113" max="12114" width="10.88671875" style="2" bestFit="1" customWidth="1"/>
    <col min="12115" max="12115" width="9.88671875" style="2" bestFit="1" customWidth="1"/>
    <col min="12116" max="12116" width="10.33203125" style="2" bestFit="1" customWidth="1"/>
    <col min="12117" max="12117" width="8.6640625" style="2"/>
    <col min="12118" max="12118" width="10.88671875" style="2" bestFit="1" customWidth="1"/>
    <col min="12119" max="12120" width="11.5546875" style="2" bestFit="1" customWidth="1"/>
    <col min="12121" max="12124" width="10.88671875" style="2" bestFit="1" customWidth="1"/>
    <col min="12125" max="12125" width="12.6640625" style="2" bestFit="1" customWidth="1"/>
    <col min="12126" max="12126" width="10.5546875" style="2" bestFit="1" customWidth="1"/>
    <col min="12127" max="12127" width="9.88671875" style="2" bestFit="1" customWidth="1"/>
    <col min="12128" max="12128" width="10.88671875" style="2" customWidth="1"/>
    <col min="12129" max="12130" width="9.88671875" style="2" bestFit="1" customWidth="1"/>
    <col min="12131" max="12131" width="10.88671875" style="2" bestFit="1" customWidth="1"/>
    <col min="12132" max="12133" width="8.6640625" style="2"/>
    <col min="12134" max="12134" width="10.88671875" style="2" bestFit="1" customWidth="1"/>
    <col min="12135" max="12135" width="11.88671875" style="2" bestFit="1" customWidth="1"/>
    <col min="12136" max="12138" width="8.6640625" style="2"/>
    <col min="12139" max="12140" width="10.88671875" style="2" bestFit="1" customWidth="1"/>
    <col min="12141" max="12141" width="8.6640625" style="2"/>
    <col min="12142" max="12142" width="10.88671875" style="2" bestFit="1" customWidth="1"/>
    <col min="12143" max="12144" width="8.6640625" style="2"/>
    <col min="12145" max="12145" width="10.88671875" style="2" bestFit="1" customWidth="1"/>
    <col min="12146" max="12288" width="8.6640625" style="2"/>
    <col min="12289" max="12289" width="21.5546875" style="2" customWidth="1"/>
    <col min="12290" max="12290" width="35" style="2" customWidth="1"/>
    <col min="12291" max="12292" width="8.44140625" style="2" customWidth="1"/>
    <col min="12293" max="12300" width="9.88671875" style="2" bestFit="1" customWidth="1"/>
    <col min="12301" max="12301" width="10.88671875" style="2" bestFit="1" customWidth="1"/>
    <col min="12302" max="12302" width="8.44140625" style="2" customWidth="1"/>
    <col min="12303" max="12303" width="8.6640625" style="2"/>
    <col min="12304" max="12305" width="10.88671875" style="2" bestFit="1" customWidth="1"/>
    <col min="12306" max="12306" width="9" style="2" customWidth="1"/>
    <col min="12307" max="12307" width="8.6640625" style="2"/>
    <col min="12308" max="12308" width="8.44140625" style="2" customWidth="1"/>
    <col min="12309" max="12309" width="9.109375" style="2" customWidth="1"/>
    <col min="12310" max="12310" width="9" style="2" customWidth="1"/>
    <col min="12311" max="12311" width="7.5546875" style="2" customWidth="1"/>
    <col min="12312" max="12312" width="8" style="2" customWidth="1"/>
    <col min="12313" max="12313" width="7.88671875" style="2" customWidth="1"/>
    <col min="12314" max="12314" width="7.5546875" style="2" customWidth="1"/>
    <col min="12315" max="12315" width="8.5546875" style="2" customWidth="1"/>
    <col min="12316" max="12316" width="8.44140625" style="2" customWidth="1"/>
    <col min="12317" max="12318" width="7.88671875" style="2" customWidth="1"/>
    <col min="12319" max="12319" width="8.109375" style="2" customWidth="1"/>
    <col min="12320" max="12320" width="9" style="2" customWidth="1"/>
    <col min="12321" max="12323" width="9.88671875" style="2" bestFit="1" customWidth="1"/>
    <col min="12324" max="12324" width="9.88671875" style="2" customWidth="1"/>
    <col min="12325" max="12325" width="9.44140625" style="2" customWidth="1"/>
    <col min="12326" max="12326" width="9.5546875" style="2" customWidth="1"/>
    <col min="12327" max="12328" width="11.5546875" style="2" bestFit="1" customWidth="1"/>
    <col min="12329" max="12330" width="9.88671875" style="2" bestFit="1" customWidth="1"/>
    <col min="12331" max="12332" width="10.5546875" style="2" bestFit="1" customWidth="1"/>
    <col min="12333" max="12333" width="10.5546875" style="2" customWidth="1"/>
    <col min="12334" max="12334" width="10.5546875" style="2" bestFit="1" customWidth="1"/>
    <col min="12335" max="12335" width="9.88671875" style="2" bestFit="1" customWidth="1"/>
    <col min="12336" max="12336" width="10.5546875" style="2" bestFit="1" customWidth="1"/>
    <col min="12337" max="12337" width="10.88671875" style="2" bestFit="1" customWidth="1"/>
    <col min="12338" max="12338" width="9.6640625" style="2" customWidth="1"/>
    <col min="12339" max="12339" width="9.88671875" style="2" bestFit="1" customWidth="1"/>
    <col min="12340" max="12344" width="9.6640625" style="2" customWidth="1"/>
    <col min="12345" max="12345" width="10.88671875" style="2" bestFit="1" customWidth="1"/>
    <col min="12346" max="12353" width="9.6640625" style="2" customWidth="1"/>
    <col min="12354" max="12355" width="9.88671875" style="2" bestFit="1" customWidth="1"/>
    <col min="12356" max="12356" width="10.88671875" style="2" bestFit="1" customWidth="1"/>
    <col min="12357" max="12357" width="9.88671875" style="2" bestFit="1" customWidth="1"/>
    <col min="12358" max="12358" width="10.88671875" style="2" bestFit="1" customWidth="1"/>
    <col min="12359" max="12360" width="9.88671875" style="2" bestFit="1" customWidth="1"/>
    <col min="12361" max="12364" width="8.6640625" style="2"/>
    <col min="12365" max="12365" width="10.88671875" style="2" bestFit="1" customWidth="1"/>
    <col min="12366" max="12366" width="8.6640625" style="2"/>
    <col min="12367" max="12367" width="13.109375" style="2" bestFit="1" customWidth="1"/>
    <col min="12368" max="12368" width="9.88671875" style="2" bestFit="1" customWidth="1"/>
    <col min="12369" max="12370" width="10.88671875" style="2" bestFit="1" customWidth="1"/>
    <col min="12371" max="12371" width="9.88671875" style="2" bestFit="1" customWidth="1"/>
    <col min="12372" max="12372" width="10.33203125" style="2" bestFit="1" customWidth="1"/>
    <col min="12373" max="12373" width="8.6640625" style="2"/>
    <col min="12374" max="12374" width="10.88671875" style="2" bestFit="1" customWidth="1"/>
    <col min="12375" max="12376" width="11.5546875" style="2" bestFit="1" customWidth="1"/>
    <col min="12377" max="12380" width="10.88671875" style="2" bestFit="1" customWidth="1"/>
    <col min="12381" max="12381" width="12.6640625" style="2" bestFit="1" customWidth="1"/>
    <col min="12382" max="12382" width="10.5546875" style="2" bestFit="1" customWidth="1"/>
    <col min="12383" max="12383" width="9.88671875" style="2" bestFit="1" customWidth="1"/>
    <col min="12384" max="12384" width="10.88671875" style="2" customWidth="1"/>
    <col min="12385" max="12386" width="9.88671875" style="2" bestFit="1" customWidth="1"/>
    <col min="12387" max="12387" width="10.88671875" style="2" bestFit="1" customWidth="1"/>
    <col min="12388" max="12389" width="8.6640625" style="2"/>
    <col min="12390" max="12390" width="10.88671875" style="2" bestFit="1" customWidth="1"/>
    <col min="12391" max="12391" width="11.88671875" style="2" bestFit="1" customWidth="1"/>
    <col min="12392" max="12394" width="8.6640625" style="2"/>
    <col min="12395" max="12396" width="10.88671875" style="2" bestFit="1" customWidth="1"/>
    <col min="12397" max="12397" width="8.6640625" style="2"/>
    <col min="12398" max="12398" width="10.88671875" style="2" bestFit="1" customWidth="1"/>
    <col min="12399" max="12400" width="8.6640625" style="2"/>
    <col min="12401" max="12401" width="10.88671875" style="2" bestFit="1" customWidth="1"/>
    <col min="12402" max="12544" width="8.6640625" style="2"/>
    <col min="12545" max="12545" width="21.5546875" style="2" customWidth="1"/>
    <col min="12546" max="12546" width="35" style="2" customWidth="1"/>
    <col min="12547" max="12548" width="8.44140625" style="2" customWidth="1"/>
    <col min="12549" max="12556" width="9.88671875" style="2" bestFit="1" customWidth="1"/>
    <col min="12557" max="12557" width="10.88671875" style="2" bestFit="1" customWidth="1"/>
    <col min="12558" max="12558" width="8.44140625" style="2" customWidth="1"/>
    <col min="12559" max="12559" width="8.6640625" style="2"/>
    <col min="12560" max="12561" width="10.88671875" style="2" bestFit="1" customWidth="1"/>
    <col min="12562" max="12562" width="9" style="2" customWidth="1"/>
    <col min="12563" max="12563" width="8.6640625" style="2"/>
    <col min="12564" max="12564" width="8.44140625" style="2" customWidth="1"/>
    <col min="12565" max="12565" width="9.109375" style="2" customWidth="1"/>
    <col min="12566" max="12566" width="9" style="2" customWidth="1"/>
    <col min="12567" max="12567" width="7.5546875" style="2" customWidth="1"/>
    <col min="12568" max="12568" width="8" style="2" customWidth="1"/>
    <col min="12569" max="12569" width="7.88671875" style="2" customWidth="1"/>
    <col min="12570" max="12570" width="7.5546875" style="2" customWidth="1"/>
    <col min="12571" max="12571" width="8.5546875" style="2" customWidth="1"/>
    <col min="12572" max="12572" width="8.44140625" style="2" customWidth="1"/>
    <col min="12573" max="12574" width="7.88671875" style="2" customWidth="1"/>
    <col min="12575" max="12575" width="8.109375" style="2" customWidth="1"/>
    <col min="12576" max="12576" width="9" style="2" customWidth="1"/>
    <col min="12577" max="12579" width="9.88671875" style="2" bestFit="1" customWidth="1"/>
    <col min="12580" max="12580" width="9.88671875" style="2" customWidth="1"/>
    <col min="12581" max="12581" width="9.44140625" style="2" customWidth="1"/>
    <col min="12582" max="12582" width="9.5546875" style="2" customWidth="1"/>
    <col min="12583" max="12584" width="11.5546875" style="2" bestFit="1" customWidth="1"/>
    <col min="12585" max="12586" width="9.88671875" style="2" bestFit="1" customWidth="1"/>
    <col min="12587" max="12588" width="10.5546875" style="2" bestFit="1" customWidth="1"/>
    <col min="12589" max="12589" width="10.5546875" style="2" customWidth="1"/>
    <col min="12590" max="12590" width="10.5546875" style="2" bestFit="1" customWidth="1"/>
    <col min="12591" max="12591" width="9.88671875" style="2" bestFit="1" customWidth="1"/>
    <col min="12592" max="12592" width="10.5546875" style="2" bestFit="1" customWidth="1"/>
    <col min="12593" max="12593" width="10.88671875" style="2" bestFit="1" customWidth="1"/>
    <col min="12594" max="12594" width="9.6640625" style="2" customWidth="1"/>
    <col min="12595" max="12595" width="9.88671875" style="2" bestFit="1" customWidth="1"/>
    <col min="12596" max="12600" width="9.6640625" style="2" customWidth="1"/>
    <col min="12601" max="12601" width="10.88671875" style="2" bestFit="1" customWidth="1"/>
    <col min="12602" max="12609" width="9.6640625" style="2" customWidth="1"/>
    <col min="12610" max="12611" width="9.88671875" style="2" bestFit="1" customWidth="1"/>
    <col min="12612" max="12612" width="10.88671875" style="2" bestFit="1" customWidth="1"/>
    <col min="12613" max="12613" width="9.88671875" style="2" bestFit="1" customWidth="1"/>
    <col min="12614" max="12614" width="10.88671875" style="2" bestFit="1" customWidth="1"/>
    <col min="12615" max="12616" width="9.88671875" style="2" bestFit="1" customWidth="1"/>
    <col min="12617" max="12620" width="8.6640625" style="2"/>
    <col min="12621" max="12621" width="10.88671875" style="2" bestFit="1" customWidth="1"/>
    <col min="12622" max="12622" width="8.6640625" style="2"/>
    <col min="12623" max="12623" width="13.109375" style="2" bestFit="1" customWidth="1"/>
    <col min="12624" max="12624" width="9.88671875" style="2" bestFit="1" customWidth="1"/>
    <col min="12625" max="12626" width="10.88671875" style="2" bestFit="1" customWidth="1"/>
    <col min="12627" max="12627" width="9.88671875" style="2" bestFit="1" customWidth="1"/>
    <col min="12628" max="12628" width="10.33203125" style="2" bestFit="1" customWidth="1"/>
    <col min="12629" max="12629" width="8.6640625" style="2"/>
    <col min="12630" max="12630" width="10.88671875" style="2" bestFit="1" customWidth="1"/>
    <col min="12631" max="12632" width="11.5546875" style="2" bestFit="1" customWidth="1"/>
    <col min="12633" max="12636" width="10.88671875" style="2" bestFit="1" customWidth="1"/>
    <col min="12637" max="12637" width="12.6640625" style="2" bestFit="1" customWidth="1"/>
    <col min="12638" max="12638" width="10.5546875" style="2" bestFit="1" customWidth="1"/>
    <col min="12639" max="12639" width="9.88671875" style="2" bestFit="1" customWidth="1"/>
    <col min="12640" max="12640" width="10.88671875" style="2" customWidth="1"/>
    <col min="12641" max="12642" width="9.88671875" style="2" bestFit="1" customWidth="1"/>
    <col min="12643" max="12643" width="10.88671875" style="2" bestFit="1" customWidth="1"/>
    <col min="12644" max="12645" width="8.6640625" style="2"/>
    <col min="12646" max="12646" width="10.88671875" style="2" bestFit="1" customWidth="1"/>
    <col min="12647" max="12647" width="11.88671875" style="2" bestFit="1" customWidth="1"/>
    <col min="12648" max="12650" width="8.6640625" style="2"/>
    <col min="12651" max="12652" width="10.88671875" style="2" bestFit="1" customWidth="1"/>
    <col min="12653" max="12653" width="8.6640625" style="2"/>
    <col min="12654" max="12654" width="10.88671875" style="2" bestFit="1" customWidth="1"/>
    <col min="12655" max="12656" width="8.6640625" style="2"/>
    <col min="12657" max="12657" width="10.88671875" style="2" bestFit="1" customWidth="1"/>
    <col min="12658" max="12800" width="8.6640625" style="2"/>
    <col min="12801" max="12801" width="21.5546875" style="2" customWidth="1"/>
    <col min="12802" max="12802" width="35" style="2" customWidth="1"/>
    <col min="12803" max="12804" width="8.44140625" style="2" customWidth="1"/>
    <col min="12805" max="12812" width="9.88671875" style="2" bestFit="1" customWidth="1"/>
    <col min="12813" max="12813" width="10.88671875" style="2" bestFit="1" customWidth="1"/>
    <col min="12814" max="12814" width="8.44140625" style="2" customWidth="1"/>
    <col min="12815" max="12815" width="8.6640625" style="2"/>
    <col min="12816" max="12817" width="10.88671875" style="2" bestFit="1" customWidth="1"/>
    <col min="12818" max="12818" width="9" style="2" customWidth="1"/>
    <col min="12819" max="12819" width="8.6640625" style="2"/>
    <col min="12820" max="12820" width="8.44140625" style="2" customWidth="1"/>
    <col min="12821" max="12821" width="9.109375" style="2" customWidth="1"/>
    <col min="12822" max="12822" width="9" style="2" customWidth="1"/>
    <col min="12823" max="12823" width="7.5546875" style="2" customWidth="1"/>
    <col min="12824" max="12824" width="8" style="2" customWidth="1"/>
    <col min="12825" max="12825" width="7.88671875" style="2" customWidth="1"/>
    <col min="12826" max="12826" width="7.5546875" style="2" customWidth="1"/>
    <col min="12827" max="12827" width="8.5546875" style="2" customWidth="1"/>
    <col min="12828" max="12828" width="8.44140625" style="2" customWidth="1"/>
    <col min="12829" max="12830" width="7.88671875" style="2" customWidth="1"/>
    <col min="12831" max="12831" width="8.109375" style="2" customWidth="1"/>
    <col min="12832" max="12832" width="9" style="2" customWidth="1"/>
    <col min="12833" max="12835" width="9.88671875" style="2" bestFit="1" customWidth="1"/>
    <col min="12836" max="12836" width="9.88671875" style="2" customWidth="1"/>
    <col min="12837" max="12837" width="9.44140625" style="2" customWidth="1"/>
    <col min="12838" max="12838" width="9.5546875" style="2" customWidth="1"/>
    <col min="12839" max="12840" width="11.5546875" style="2" bestFit="1" customWidth="1"/>
    <col min="12841" max="12842" width="9.88671875" style="2" bestFit="1" customWidth="1"/>
    <col min="12843" max="12844" width="10.5546875" style="2" bestFit="1" customWidth="1"/>
    <col min="12845" max="12845" width="10.5546875" style="2" customWidth="1"/>
    <col min="12846" max="12846" width="10.5546875" style="2" bestFit="1" customWidth="1"/>
    <col min="12847" max="12847" width="9.88671875" style="2" bestFit="1" customWidth="1"/>
    <col min="12848" max="12848" width="10.5546875" style="2" bestFit="1" customWidth="1"/>
    <col min="12849" max="12849" width="10.88671875" style="2" bestFit="1" customWidth="1"/>
    <col min="12850" max="12850" width="9.6640625" style="2" customWidth="1"/>
    <col min="12851" max="12851" width="9.88671875" style="2" bestFit="1" customWidth="1"/>
    <col min="12852" max="12856" width="9.6640625" style="2" customWidth="1"/>
    <col min="12857" max="12857" width="10.88671875" style="2" bestFit="1" customWidth="1"/>
    <col min="12858" max="12865" width="9.6640625" style="2" customWidth="1"/>
    <col min="12866" max="12867" width="9.88671875" style="2" bestFit="1" customWidth="1"/>
    <col min="12868" max="12868" width="10.88671875" style="2" bestFit="1" customWidth="1"/>
    <col min="12869" max="12869" width="9.88671875" style="2" bestFit="1" customWidth="1"/>
    <col min="12870" max="12870" width="10.88671875" style="2" bestFit="1" customWidth="1"/>
    <col min="12871" max="12872" width="9.88671875" style="2" bestFit="1" customWidth="1"/>
    <col min="12873" max="12876" width="8.6640625" style="2"/>
    <col min="12877" max="12877" width="10.88671875" style="2" bestFit="1" customWidth="1"/>
    <col min="12878" max="12878" width="8.6640625" style="2"/>
    <col min="12879" max="12879" width="13.109375" style="2" bestFit="1" customWidth="1"/>
    <col min="12880" max="12880" width="9.88671875" style="2" bestFit="1" customWidth="1"/>
    <col min="12881" max="12882" width="10.88671875" style="2" bestFit="1" customWidth="1"/>
    <col min="12883" max="12883" width="9.88671875" style="2" bestFit="1" customWidth="1"/>
    <col min="12884" max="12884" width="10.33203125" style="2" bestFit="1" customWidth="1"/>
    <col min="12885" max="12885" width="8.6640625" style="2"/>
    <col min="12886" max="12886" width="10.88671875" style="2" bestFit="1" customWidth="1"/>
    <col min="12887" max="12888" width="11.5546875" style="2" bestFit="1" customWidth="1"/>
    <col min="12889" max="12892" width="10.88671875" style="2" bestFit="1" customWidth="1"/>
    <col min="12893" max="12893" width="12.6640625" style="2" bestFit="1" customWidth="1"/>
    <col min="12894" max="12894" width="10.5546875" style="2" bestFit="1" customWidth="1"/>
    <col min="12895" max="12895" width="9.88671875" style="2" bestFit="1" customWidth="1"/>
    <col min="12896" max="12896" width="10.88671875" style="2" customWidth="1"/>
    <col min="12897" max="12898" width="9.88671875" style="2" bestFit="1" customWidth="1"/>
    <col min="12899" max="12899" width="10.88671875" style="2" bestFit="1" customWidth="1"/>
    <col min="12900" max="12901" width="8.6640625" style="2"/>
    <col min="12902" max="12902" width="10.88671875" style="2" bestFit="1" customWidth="1"/>
    <col min="12903" max="12903" width="11.88671875" style="2" bestFit="1" customWidth="1"/>
    <col min="12904" max="12906" width="8.6640625" style="2"/>
    <col min="12907" max="12908" width="10.88671875" style="2" bestFit="1" customWidth="1"/>
    <col min="12909" max="12909" width="8.6640625" style="2"/>
    <col min="12910" max="12910" width="10.88671875" style="2" bestFit="1" customWidth="1"/>
    <col min="12911" max="12912" width="8.6640625" style="2"/>
    <col min="12913" max="12913" width="10.88671875" style="2" bestFit="1" customWidth="1"/>
    <col min="12914" max="13056" width="8.6640625" style="2"/>
    <col min="13057" max="13057" width="21.5546875" style="2" customWidth="1"/>
    <col min="13058" max="13058" width="35" style="2" customWidth="1"/>
    <col min="13059" max="13060" width="8.44140625" style="2" customWidth="1"/>
    <col min="13061" max="13068" width="9.88671875" style="2" bestFit="1" customWidth="1"/>
    <col min="13069" max="13069" width="10.88671875" style="2" bestFit="1" customWidth="1"/>
    <col min="13070" max="13070" width="8.44140625" style="2" customWidth="1"/>
    <col min="13071" max="13071" width="8.6640625" style="2"/>
    <col min="13072" max="13073" width="10.88671875" style="2" bestFit="1" customWidth="1"/>
    <col min="13074" max="13074" width="9" style="2" customWidth="1"/>
    <col min="13075" max="13075" width="8.6640625" style="2"/>
    <col min="13076" max="13076" width="8.44140625" style="2" customWidth="1"/>
    <col min="13077" max="13077" width="9.109375" style="2" customWidth="1"/>
    <col min="13078" max="13078" width="9" style="2" customWidth="1"/>
    <col min="13079" max="13079" width="7.5546875" style="2" customWidth="1"/>
    <col min="13080" max="13080" width="8" style="2" customWidth="1"/>
    <col min="13081" max="13081" width="7.88671875" style="2" customWidth="1"/>
    <col min="13082" max="13082" width="7.5546875" style="2" customWidth="1"/>
    <col min="13083" max="13083" width="8.5546875" style="2" customWidth="1"/>
    <col min="13084" max="13084" width="8.44140625" style="2" customWidth="1"/>
    <col min="13085" max="13086" width="7.88671875" style="2" customWidth="1"/>
    <col min="13087" max="13087" width="8.109375" style="2" customWidth="1"/>
    <col min="13088" max="13088" width="9" style="2" customWidth="1"/>
    <col min="13089" max="13091" width="9.88671875" style="2" bestFit="1" customWidth="1"/>
    <col min="13092" max="13092" width="9.88671875" style="2" customWidth="1"/>
    <col min="13093" max="13093" width="9.44140625" style="2" customWidth="1"/>
    <col min="13094" max="13094" width="9.5546875" style="2" customWidth="1"/>
    <col min="13095" max="13096" width="11.5546875" style="2" bestFit="1" customWidth="1"/>
    <col min="13097" max="13098" width="9.88671875" style="2" bestFit="1" customWidth="1"/>
    <col min="13099" max="13100" width="10.5546875" style="2" bestFit="1" customWidth="1"/>
    <col min="13101" max="13101" width="10.5546875" style="2" customWidth="1"/>
    <col min="13102" max="13102" width="10.5546875" style="2" bestFit="1" customWidth="1"/>
    <col min="13103" max="13103" width="9.88671875" style="2" bestFit="1" customWidth="1"/>
    <col min="13104" max="13104" width="10.5546875" style="2" bestFit="1" customWidth="1"/>
    <col min="13105" max="13105" width="10.88671875" style="2" bestFit="1" customWidth="1"/>
    <col min="13106" max="13106" width="9.6640625" style="2" customWidth="1"/>
    <col min="13107" max="13107" width="9.88671875" style="2" bestFit="1" customWidth="1"/>
    <col min="13108" max="13112" width="9.6640625" style="2" customWidth="1"/>
    <col min="13113" max="13113" width="10.88671875" style="2" bestFit="1" customWidth="1"/>
    <col min="13114" max="13121" width="9.6640625" style="2" customWidth="1"/>
    <col min="13122" max="13123" width="9.88671875" style="2" bestFit="1" customWidth="1"/>
    <col min="13124" max="13124" width="10.88671875" style="2" bestFit="1" customWidth="1"/>
    <col min="13125" max="13125" width="9.88671875" style="2" bestFit="1" customWidth="1"/>
    <col min="13126" max="13126" width="10.88671875" style="2" bestFit="1" customWidth="1"/>
    <col min="13127" max="13128" width="9.88671875" style="2" bestFit="1" customWidth="1"/>
    <col min="13129" max="13132" width="8.6640625" style="2"/>
    <col min="13133" max="13133" width="10.88671875" style="2" bestFit="1" customWidth="1"/>
    <col min="13134" max="13134" width="8.6640625" style="2"/>
    <col min="13135" max="13135" width="13.109375" style="2" bestFit="1" customWidth="1"/>
    <col min="13136" max="13136" width="9.88671875" style="2" bestFit="1" customWidth="1"/>
    <col min="13137" max="13138" width="10.88671875" style="2" bestFit="1" customWidth="1"/>
    <col min="13139" max="13139" width="9.88671875" style="2" bestFit="1" customWidth="1"/>
    <col min="13140" max="13140" width="10.33203125" style="2" bestFit="1" customWidth="1"/>
    <col min="13141" max="13141" width="8.6640625" style="2"/>
    <col min="13142" max="13142" width="10.88671875" style="2" bestFit="1" customWidth="1"/>
    <col min="13143" max="13144" width="11.5546875" style="2" bestFit="1" customWidth="1"/>
    <col min="13145" max="13148" width="10.88671875" style="2" bestFit="1" customWidth="1"/>
    <col min="13149" max="13149" width="12.6640625" style="2" bestFit="1" customWidth="1"/>
    <col min="13150" max="13150" width="10.5546875" style="2" bestFit="1" customWidth="1"/>
    <col min="13151" max="13151" width="9.88671875" style="2" bestFit="1" customWidth="1"/>
    <col min="13152" max="13152" width="10.88671875" style="2" customWidth="1"/>
    <col min="13153" max="13154" width="9.88671875" style="2" bestFit="1" customWidth="1"/>
    <col min="13155" max="13155" width="10.88671875" style="2" bestFit="1" customWidth="1"/>
    <col min="13156" max="13157" width="8.6640625" style="2"/>
    <col min="13158" max="13158" width="10.88671875" style="2" bestFit="1" customWidth="1"/>
    <col min="13159" max="13159" width="11.88671875" style="2" bestFit="1" customWidth="1"/>
    <col min="13160" max="13162" width="8.6640625" style="2"/>
    <col min="13163" max="13164" width="10.88671875" style="2" bestFit="1" customWidth="1"/>
    <col min="13165" max="13165" width="8.6640625" style="2"/>
    <col min="13166" max="13166" width="10.88671875" style="2" bestFit="1" customWidth="1"/>
    <col min="13167" max="13168" width="8.6640625" style="2"/>
    <col min="13169" max="13169" width="10.88671875" style="2" bestFit="1" customWidth="1"/>
    <col min="13170" max="13312" width="8.6640625" style="2"/>
    <col min="13313" max="13313" width="21.5546875" style="2" customWidth="1"/>
    <col min="13314" max="13314" width="35" style="2" customWidth="1"/>
    <col min="13315" max="13316" width="8.44140625" style="2" customWidth="1"/>
    <col min="13317" max="13324" width="9.88671875" style="2" bestFit="1" customWidth="1"/>
    <col min="13325" max="13325" width="10.88671875" style="2" bestFit="1" customWidth="1"/>
    <col min="13326" max="13326" width="8.44140625" style="2" customWidth="1"/>
    <col min="13327" max="13327" width="8.6640625" style="2"/>
    <col min="13328" max="13329" width="10.88671875" style="2" bestFit="1" customWidth="1"/>
    <col min="13330" max="13330" width="9" style="2" customWidth="1"/>
    <col min="13331" max="13331" width="8.6640625" style="2"/>
    <col min="13332" max="13332" width="8.44140625" style="2" customWidth="1"/>
    <col min="13333" max="13333" width="9.109375" style="2" customWidth="1"/>
    <col min="13334" max="13334" width="9" style="2" customWidth="1"/>
    <col min="13335" max="13335" width="7.5546875" style="2" customWidth="1"/>
    <col min="13336" max="13336" width="8" style="2" customWidth="1"/>
    <col min="13337" max="13337" width="7.88671875" style="2" customWidth="1"/>
    <col min="13338" max="13338" width="7.5546875" style="2" customWidth="1"/>
    <col min="13339" max="13339" width="8.5546875" style="2" customWidth="1"/>
    <col min="13340" max="13340" width="8.44140625" style="2" customWidth="1"/>
    <col min="13341" max="13342" width="7.88671875" style="2" customWidth="1"/>
    <col min="13343" max="13343" width="8.109375" style="2" customWidth="1"/>
    <col min="13344" max="13344" width="9" style="2" customWidth="1"/>
    <col min="13345" max="13347" width="9.88671875" style="2" bestFit="1" customWidth="1"/>
    <col min="13348" max="13348" width="9.88671875" style="2" customWidth="1"/>
    <col min="13349" max="13349" width="9.44140625" style="2" customWidth="1"/>
    <col min="13350" max="13350" width="9.5546875" style="2" customWidth="1"/>
    <col min="13351" max="13352" width="11.5546875" style="2" bestFit="1" customWidth="1"/>
    <col min="13353" max="13354" width="9.88671875" style="2" bestFit="1" customWidth="1"/>
    <col min="13355" max="13356" width="10.5546875" style="2" bestFit="1" customWidth="1"/>
    <col min="13357" max="13357" width="10.5546875" style="2" customWidth="1"/>
    <col min="13358" max="13358" width="10.5546875" style="2" bestFit="1" customWidth="1"/>
    <col min="13359" max="13359" width="9.88671875" style="2" bestFit="1" customWidth="1"/>
    <col min="13360" max="13360" width="10.5546875" style="2" bestFit="1" customWidth="1"/>
    <col min="13361" max="13361" width="10.88671875" style="2" bestFit="1" customWidth="1"/>
    <col min="13362" max="13362" width="9.6640625" style="2" customWidth="1"/>
    <col min="13363" max="13363" width="9.88671875" style="2" bestFit="1" customWidth="1"/>
    <col min="13364" max="13368" width="9.6640625" style="2" customWidth="1"/>
    <col min="13369" max="13369" width="10.88671875" style="2" bestFit="1" customWidth="1"/>
    <col min="13370" max="13377" width="9.6640625" style="2" customWidth="1"/>
    <col min="13378" max="13379" width="9.88671875" style="2" bestFit="1" customWidth="1"/>
    <col min="13380" max="13380" width="10.88671875" style="2" bestFit="1" customWidth="1"/>
    <col min="13381" max="13381" width="9.88671875" style="2" bestFit="1" customWidth="1"/>
    <col min="13382" max="13382" width="10.88671875" style="2" bestFit="1" customWidth="1"/>
    <col min="13383" max="13384" width="9.88671875" style="2" bestFit="1" customWidth="1"/>
    <col min="13385" max="13388" width="8.6640625" style="2"/>
    <col min="13389" max="13389" width="10.88671875" style="2" bestFit="1" customWidth="1"/>
    <col min="13390" max="13390" width="8.6640625" style="2"/>
    <col min="13391" max="13391" width="13.109375" style="2" bestFit="1" customWidth="1"/>
    <col min="13392" max="13392" width="9.88671875" style="2" bestFit="1" customWidth="1"/>
    <col min="13393" max="13394" width="10.88671875" style="2" bestFit="1" customWidth="1"/>
    <col min="13395" max="13395" width="9.88671875" style="2" bestFit="1" customWidth="1"/>
    <col min="13396" max="13396" width="10.33203125" style="2" bestFit="1" customWidth="1"/>
    <col min="13397" max="13397" width="8.6640625" style="2"/>
    <col min="13398" max="13398" width="10.88671875" style="2" bestFit="1" customWidth="1"/>
    <col min="13399" max="13400" width="11.5546875" style="2" bestFit="1" customWidth="1"/>
    <col min="13401" max="13404" width="10.88671875" style="2" bestFit="1" customWidth="1"/>
    <col min="13405" max="13405" width="12.6640625" style="2" bestFit="1" customWidth="1"/>
    <col min="13406" max="13406" width="10.5546875" style="2" bestFit="1" customWidth="1"/>
    <col min="13407" max="13407" width="9.88671875" style="2" bestFit="1" customWidth="1"/>
    <col min="13408" max="13408" width="10.88671875" style="2" customWidth="1"/>
    <col min="13409" max="13410" width="9.88671875" style="2" bestFit="1" customWidth="1"/>
    <col min="13411" max="13411" width="10.88671875" style="2" bestFit="1" customWidth="1"/>
    <col min="13412" max="13413" width="8.6640625" style="2"/>
    <col min="13414" max="13414" width="10.88671875" style="2" bestFit="1" customWidth="1"/>
    <col min="13415" max="13415" width="11.88671875" style="2" bestFit="1" customWidth="1"/>
    <col min="13416" max="13418" width="8.6640625" style="2"/>
    <col min="13419" max="13420" width="10.88671875" style="2" bestFit="1" customWidth="1"/>
    <col min="13421" max="13421" width="8.6640625" style="2"/>
    <col min="13422" max="13422" width="10.88671875" style="2" bestFit="1" customWidth="1"/>
    <col min="13423" max="13424" width="8.6640625" style="2"/>
    <col min="13425" max="13425" width="10.88671875" style="2" bestFit="1" customWidth="1"/>
    <col min="13426" max="13568" width="8.6640625" style="2"/>
    <col min="13569" max="13569" width="21.5546875" style="2" customWidth="1"/>
    <col min="13570" max="13570" width="35" style="2" customWidth="1"/>
    <col min="13571" max="13572" width="8.44140625" style="2" customWidth="1"/>
    <col min="13573" max="13580" width="9.88671875" style="2" bestFit="1" customWidth="1"/>
    <col min="13581" max="13581" width="10.88671875" style="2" bestFit="1" customWidth="1"/>
    <col min="13582" max="13582" width="8.44140625" style="2" customWidth="1"/>
    <col min="13583" max="13583" width="8.6640625" style="2"/>
    <col min="13584" max="13585" width="10.88671875" style="2" bestFit="1" customWidth="1"/>
    <col min="13586" max="13586" width="9" style="2" customWidth="1"/>
    <col min="13587" max="13587" width="8.6640625" style="2"/>
    <col min="13588" max="13588" width="8.44140625" style="2" customWidth="1"/>
    <col min="13589" max="13589" width="9.109375" style="2" customWidth="1"/>
    <col min="13590" max="13590" width="9" style="2" customWidth="1"/>
    <col min="13591" max="13591" width="7.5546875" style="2" customWidth="1"/>
    <col min="13592" max="13592" width="8" style="2" customWidth="1"/>
    <col min="13593" max="13593" width="7.88671875" style="2" customWidth="1"/>
    <col min="13594" max="13594" width="7.5546875" style="2" customWidth="1"/>
    <col min="13595" max="13595" width="8.5546875" style="2" customWidth="1"/>
    <col min="13596" max="13596" width="8.44140625" style="2" customWidth="1"/>
    <col min="13597" max="13598" width="7.88671875" style="2" customWidth="1"/>
    <col min="13599" max="13599" width="8.109375" style="2" customWidth="1"/>
    <col min="13600" max="13600" width="9" style="2" customWidth="1"/>
    <col min="13601" max="13603" width="9.88671875" style="2" bestFit="1" customWidth="1"/>
    <col min="13604" max="13604" width="9.88671875" style="2" customWidth="1"/>
    <col min="13605" max="13605" width="9.44140625" style="2" customWidth="1"/>
    <col min="13606" max="13606" width="9.5546875" style="2" customWidth="1"/>
    <col min="13607" max="13608" width="11.5546875" style="2" bestFit="1" customWidth="1"/>
    <col min="13609" max="13610" width="9.88671875" style="2" bestFit="1" customWidth="1"/>
    <col min="13611" max="13612" width="10.5546875" style="2" bestFit="1" customWidth="1"/>
    <col min="13613" max="13613" width="10.5546875" style="2" customWidth="1"/>
    <col min="13614" max="13614" width="10.5546875" style="2" bestFit="1" customWidth="1"/>
    <col min="13615" max="13615" width="9.88671875" style="2" bestFit="1" customWidth="1"/>
    <col min="13616" max="13616" width="10.5546875" style="2" bestFit="1" customWidth="1"/>
    <col min="13617" max="13617" width="10.88671875" style="2" bestFit="1" customWidth="1"/>
    <col min="13618" max="13618" width="9.6640625" style="2" customWidth="1"/>
    <col min="13619" max="13619" width="9.88671875" style="2" bestFit="1" customWidth="1"/>
    <col min="13620" max="13624" width="9.6640625" style="2" customWidth="1"/>
    <col min="13625" max="13625" width="10.88671875" style="2" bestFit="1" customWidth="1"/>
    <col min="13626" max="13633" width="9.6640625" style="2" customWidth="1"/>
    <col min="13634" max="13635" width="9.88671875" style="2" bestFit="1" customWidth="1"/>
    <col min="13636" max="13636" width="10.88671875" style="2" bestFit="1" customWidth="1"/>
    <col min="13637" max="13637" width="9.88671875" style="2" bestFit="1" customWidth="1"/>
    <col min="13638" max="13638" width="10.88671875" style="2" bestFit="1" customWidth="1"/>
    <col min="13639" max="13640" width="9.88671875" style="2" bestFit="1" customWidth="1"/>
    <col min="13641" max="13644" width="8.6640625" style="2"/>
    <col min="13645" max="13645" width="10.88671875" style="2" bestFit="1" customWidth="1"/>
    <col min="13646" max="13646" width="8.6640625" style="2"/>
    <col min="13647" max="13647" width="13.109375" style="2" bestFit="1" customWidth="1"/>
    <col min="13648" max="13648" width="9.88671875" style="2" bestFit="1" customWidth="1"/>
    <col min="13649" max="13650" width="10.88671875" style="2" bestFit="1" customWidth="1"/>
    <col min="13651" max="13651" width="9.88671875" style="2" bestFit="1" customWidth="1"/>
    <col min="13652" max="13652" width="10.33203125" style="2" bestFit="1" customWidth="1"/>
    <col min="13653" max="13653" width="8.6640625" style="2"/>
    <col min="13654" max="13654" width="10.88671875" style="2" bestFit="1" customWidth="1"/>
    <col min="13655" max="13656" width="11.5546875" style="2" bestFit="1" customWidth="1"/>
    <col min="13657" max="13660" width="10.88671875" style="2" bestFit="1" customWidth="1"/>
    <col min="13661" max="13661" width="12.6640625" style="2" bestFit="1" customWidth="1"/>
    <col min="13662" max="13662" width="10.5546875" style="2" bestFit="1" customWidth="1"/>
    <col min="13663" max="13663" width="9.88671875" style="2" bestFit="1" customWidth="1"/>
    <col min="13664" max="13664" width="10.88671875" style="2" customWidth="1"/>
    <col min="13665" max="13666" width="9.88671875" style="2" bestFit="1" customWidth="1"/>
    <col min="13667" max="13667" width="10.88671875" style="2" bestFit="1" customWidth="1"/>
    <col min="13668" max="13669" width="8.6640625" style="2"/>
    <col min="13670" max="13670" width="10.88671875" style="2" bestFit="1" customWidth="1"/>
    <col min="13671" max="13671" width="11.88671875" style="2" bestFit="1" customWidth="1"/>
    <col min="13672" max="13674" width="8.6640625" style="2"/>
    <col min="13675" max="13676" width="10.88671875" style="2" bestFit="1" customWidth="1"/>
    <col min="13677" max="13677" width="8.6640625" style="2"/>
    <col min="13678" max="13678" width="10.88671875" style="2" bestFit="1" customWidth="1"/>
    <col min="13679" max="13680" width="8.6640625" style="2"/>
    <col min="13681" max="13681" width="10.88671875" style="2" bestFit="1" customWidth="1"/>
    <col min="13682" max="13824" width="8.6640625" style="2"/>
    <col min="13825" max="13825" width="21.5546875" style="2" customWidth="1"/>
    <col min="13826" max="13826" width="35" style="2" customWidth="1"/>
    <col min="13827" max="13828" width="8.44140625" style="2" customWidth="1"/>
    <col min="13829" max="13836" width="9.88671875" style="2" bestFit="1" customWidth="1"/>
    <col min="13837" max="13837" width="10.88671875" style="2" bestFit="1" customWidth="1"/>
    <col min="13838" max="13838" width="8.44140625" style="2" customWidth="1"/>
    <col min="13839" max="13839" width="8.6640625" style="2"/>
    <col min="13840" max="13841" width="10.88671875" style="2" bestFit="1" customWidth="1"/>
    <col min="13842" max="13842" width="9" style="2" customWidth="1"/>
    <col min="13843" max="13843" width="8.6640625" style="2"/>
    <col min="13844" max="13844" width="8.44140625" style="2" customWidth="1"/>
    <col min="13845" max="13845" width="9.109375" style="2" customWidth="1"/>
    <col min="13846" max="13846" width="9" style="2" customWidth="1"/>
    <col min="13847" max="13847" width="7.5546875" style="2" customWidth="1"/>
    <col min="13848" max="13848" width="8" style="2" customWidth="1"/>
    <col min="13849" max="13849" width="7.88671875" style="2" customWidth="1"/>
    <col min="13850" max="13850" width="7.5546875" style="2" customWidth="1"/>
    <col min="13851" max="13851" width="8.5546875" style="2" customWidth="1"/>
    <col min="13852" max="13852" width="8.44140625" style="2" customWidth="1"/>
    <col min="13853" max="13854" width="7.88671875" style="2" customWidth="1"/>
    <col min="13855" max="13855" width="8.109375" style="2" customWidth="1"/>
    <col min="13856" max="13856" width="9" style="2" customWidth="1"/>
    <col min="13857" max="13859" width="9.88671875" style="2" bestFit="1" customWidth="1"/>
    <col min="13860" max="13860" width="9.88671875" style="2" customWidth="1"/>
    <col min="13861" max="13861" width="9.44140625" style="2" customWidth="1"/>
    <col min="13862" max="13862" width="9.5546875" style="2" customWidth="1"/>
    <col min="13863" max="13864" width="11.5546875" style="2" bestFit="1" customWidth="1"/>
    <col min="13865" max="13866" width="9.88671875" style="2" bestFit="1" customWidth="1"/>
    <col min="13867" max="13868" width="10.5546875" style="2" bestFit="1" customWidth="1"/>
    <col min="13869" max="13869" width="10.5546875" style="2" customWidth="1"/>
    <col min="13870" max="13870" width="10.5546875" style="2" bestFit="1" customWidth="1"/>
    <col min="13871" max="13871" width="9.88671875" style="2" bestFit="1" customWidth="1"/>
    <col min="13872" max="13872" width="10.5546875" style="2" bestFit="1" customWidth="1"/>
    <col min="13873" max="13873" width="10.88671875" style="2" bestFit="1" customWidth="1"/>
    <col min="13874" max="13874" width="9.6640625" style="2" customWidth="1"/>
    <col min="13875" max="13875" width="9.88671875" style="2" bestFit="1" customWidth="1"/>
    <col min="13876" max="13880" width="9.6640625" style="2" customWidth="1"/>
    <col min="13881" max="13881" width="10.88671875" style="2" bestFit="1" customWidth="1"/>
    <col min="13882" max="13889" width="9.6640625" style="2" customWidth="1"/>
    <col min="13890" max="13891" width="9.88671875" style="2" bestFit="1" customWidth="1"/>
    <col min="13892" max="13892" width="10.88671875" style="2" bestFit="1" customWidth="1"/>
    <col min="13893" max="13893" width="9.88671875" style="2" bestFit="1" customWidth="1"/>
    <col min="13894" max="13894" width="10.88671875" style="2" bestFit="1" customWidth="1"/>
    <col min="13895" max="13896" width="9.88671875" style="2" bestFit="1" customWidth="1"/>
    <col min="13897" max="13900" width="8.6640625" style="2"/>
    <col min="13901" max="13901" width="10.88671875" style="2" bestFit="1" customWidth="1"/>
    <col min="13902" max="13902" width="8.6640625" style="2"/>
    <col min="13903" max="13903" width="13.109375" style="2" bestFit="1" customWidth="1"/>
    <col min="13904" max="13904" width="9.88671875" style="2" bestFit="1" customWidth="1"/>
    <col min="13905" max="13906" width="10.88671875" style="2" bestFit="1" customWidth="1"/>
    <col min="13907" max="13907" width="9.88671875" style="2" bestFit="1" customWidth="1"/>
    <col min="13908" max="13908" width="10.33203125" style="2" bestFit="1" customWidth="1"/>
    <col min="13909" max="13909" width="8.6640625" style="2"/>
    <col min="13910" max="13910" width="10.88671875" style="2" bestFit="1" customWidth="1"/>
    <col min="13911" max="13912" width="11.5546875" style="2" bestFit="1" customWidth="1"/>
    <col min="13913" max="13916" width="10.88671875" style="2" bestFit="1" customWidth="1"/>
    <col min="13917" max="13917" width="12.6640625" style="2" bestFit="1" customWidth="1"/>
    <col min="13918" max="13918" width="10.5546875" style="2" bestFit="1" customWidth="1"/>
    <col min="13919" max="13919" width="9.88671875" style="2" bestFit="1" customWidth="1"/>
    <col min="13920" max="13920" width="10.88671875" style="2" customWidth="1"/>
    <col min="13921" max="13922" width="9.88671875" style="2" bestFit="1" customWidth="1"/>
    <col min="13923" max="13923" width="10.88671875" style="2" bestFit="1" customWidth="1"/>
    <col min="13924" max="13925" width="8.6640625" style="2"/>
    <col min="13926" max="13926" width="10.88671875" style="2" bestFit="1" customWidth="1"/>
    <col min="13927" max="13927" width="11.88671875" style="2" bestFit="1" customWidth="1"/>
    <col min="13928" max="13930" width="8.6640625" style="2"/>
    <col min="13931" max="13932" width="10.88671875" style="2" bestFit="1" customWidth="1"/>
    <col min="13933" max="13933" width="8.6640625" style="2"/>
    <col min="13934" max="13934" width="10.88671875" style="2" bestFit="1" customWidth="1"/>
    <col min="13935" max="13936" width="8.6640625" style="2"/>
    <col min="13937" max="13937" width="10.88671875" style="2" bestFit="1" customWidth="1"/>
    <col min="13938" max="14080" width="8.6640625" style="2"/>
    <col min="14081" max="14081" width="21.5546875" style="2" customWidth="1"/>
    <col min="14082" max="14082" width="35" style="2" customWidth="1"/>
    <col min="14083" max="14084" width="8.44140625" style="2" customWidth="1"/>
    <col min="14085" max="14092" width="9.88671875" style="2" bestFit="1" customWidth="1"/>
    <col min="14093" max="14093" width="10.88671875" style="2" bestFit="1" customWidth="1"/>
    <col min="14094" max="14094" width="8.44140625" style="2" customWidth="1"/>
    <col min="14095" max="14095" width="8.6640625" style="2"/>
    <col min="14096" max="14097" width="10.88671875" style="2" bestFit="1" customWidth="1"/>
    <col min="14098" max="14098" width="9" style="2" customWidth="1"/>
    <col min="14099" max="14099" width="8.6640625" style="2"/>
    <col min="14100" max="14100" width="8.44140625" style="2" customWidth="1"/>
    <col min="14101" max="14101" width="9.109375" style="2" customWidth="1"/>
    <col min="14102" max="14102" width="9" style="2" customWidth="1"/>
    <col min="14103" max="14103" width="7.5546875" style="2" customWidth="1"/>
    <col min="14104" max="14104" width="8" style="2" customWidth="1"/>
    <col min="14105" max="14105" width="7.88671875" style="2" customWidth="1"/>
    <col min="14106" max="14106" width="7.5546875" style="2" customWidth="1"/>
    <col min="14107" max="14107" width="8.5546875" style="2" customWidth="1"/>
    <col min="14108" max="14108" width="8.44140625" style="2" customWidth="1"/>
    <col min="14109" max="14110" width="7.88671875" style="2" customWidth="1"/>
    <col min="14111" max="14111" width="8.109375" style="2" customWidth="1"/>
    <col min="14112" max="14112" width="9" style="2" customWidth="1"/>
    <col min="14113" max="14115" width="9.88671875" style="2" bestFit="1" customWidth="1"/>
    <col min="14116" max="14116" width="9.88671875" style="2" customWidth="1"/>
    <col min="14117" max="14117" width="9.44140625" style="2" customWidth="1"/>
    <col min="14118" max="14118" width="9.5546875" style="2" customWidth="1"/>
    <col min="14119" max="14120" width="11.5546875" style="2" bestFit="1" customWidth="1"/>
    <col min="14121" max="14122" width="9.88671875" style="2" bestFit="1" customWidth="1"/>
    <col min="14123" max="14124" width="10.5546875" style="2" bestFit="1" customWidth="1"/>
    <col min="14125" max="14125" width="10.5546875" style="2" customWidth="1"/>
    <col min="14126" max="14126" width="10.5546875" style="2" bestFit="1" customWidth="1"/>
    <col min="14127" max="14127" width="9.88671875" style="2" bestFit="1" customWidth="1"/>
    <col min="14128" max="14128" width="10.5546875" style="2" bestFit="1" customWidth="1"/>
    <col min="14129" max="14129" width="10.88671875" style="2" bestFit="1" customWidth="1"/>
    <col min="14130" max="14130" width="9.6640625" style="2" customWidth="1"/>
    <col min="14131" max="14131" width="9.88671875" style="2" bestFit="1" customWidth="1"/>
    <col min="14132" max="14136" width="9.6640625" style="2" customWidth="1"/>
    <col min="14137" max="14137" width="10.88671875" style="2" bestFit="1" customWidth="1"/>
    <col min="14138" max="14145" width="9.6640625" style="2" customWidth="1"/>
    <col min="14146" max="14147" width="9.88671875" style="2" bestFit="1" customWidth="1"/>
    <col min="14148" max="14148" width="10.88671875" style="2" bestFit="1" customWidth="1"/>
    <col min="14149" max="14149" width="9.88671875" style="2" bestFit="1" customWidth="1"/>
    <col min="14150" max="14150" width="10.88671875" style="2" bestFit="1" customWidth="1"/>
    <col min="14151" max="14152" width="9.88671875" style="2" bestFit="1" customWidth="1"/>
    <col min="14153" max="14156" width="8.6640625" style="2"/>
    <col min="14157" max="14157" width="10.88671875" style="2" bestFit="1" customWidth="1"/>
    <col min="14158" max="14158" width="8.6640625" style="2"/>
    <col min="14159" max="14159" width="13.109375" style="2" bestFit="1" customWidth="1"/>
    <col min="14160" max="14160" width="9.88671875" style="2" bestFit="1" customWidth="1"/>
    <col min="14161" max="14162" width="10.88671875" style="2" bestFit="1" customWidth="1"/>
    <col min="14163" max="14163" width="9.88671875" style="2" bestFit="1" customWidth="1"/>
    <col min="14164" max="14164" width="10.33203125" style="2" bestFit="1" customWidth="1"/>
    <col min="14165" max="14165" width="8.6640625" style="2"/>
    <col min="14166" max="14166" width="10.88671875" style="2" bestFit="1" customWidth="1"/>
    <col min="14167" max="14168" width="11.5546875" style="2" bestFit="1" customWidth="1"/>
    <col min="14169" max="14172" width="10.88671875" style="2" bestFit="1" customWidth="1"/>
    <col min="14173" max="14173" width="12.6640625" style="2" bestFit="1" customWidth="1"/>
    <col min="14174" max="14174" width="10.5546875" style="2" bestFit="1" customWidth="1"/>
    <col min="14175" max="14175" width="9.88671875" style="2" bestFit="1" customWidth="1"/>
    <col min="14176" max="14176" width="10.88671875" style="2" customWidth="1"/>
    <col min="14177" max="14178" width="9.88671875" style="2" bestFit="1" customWidth="1"/>
    <col min="14179" max="14179" width="10.88671875" style="2" bestFit="1" customWidth="1"/>
    <col min="14180" max="14181" width="8.6640625" style="2"/>
    <col min="14182" max="14182" width="10.88671875" style="2" bestFit="1" customWidth="1"/>
    <col min="14183" max="14183" width="11.88671875" style="2" bestFit="1" customWidth="1"/>
    <col min="14184" max="14186" width="8.6640625" style="2"/>
    <col min="14187" max="14188" width="10.88671875" style="2" bestFit="1" customWidth="1"/>
    <col min="14189" max="14189" width="8.6640625" style="2"/>
    <col min="14190" max="14190" width="10.88671875" style="2" bestFit="1" customWidth="1"/>
    <col min="14191" max="14192" width="8.6640625" style="2"/>
    <col min="14193" max="14193" width="10.88671875" style="2" bestFit="1" customWidth="1"/>
    <col min="14194" max="14336" width="8.6640625" style="2"/>
    <col min="14337" max="14337" width="21.5546875" style="2" customWidth="1"/>
    <col min="14338" max="14338" width="35" style="2" customWidth="1"/>
    <col min="14339" max="14340" width="8.44140625" style="2" customWidth="1"/>
    <col min="14341" max="14348" width="9.88671875" style="2" bestFit="1" customWidth="1"/>
    <col min="14349" max="14349" width="10.88671875" style="2" bestFit="1" customWidth="1"/>
    <col min="14350" max="14350" width="8.44140625" style="2" customWidth="1"/>
    <col min="14351" max="14351" width="8.6640625" style="2"/>
    <col min="14352" max="14353" width="10.88671875" style="2" bestFit="1" customWidth="1"/>
    <col min="14354" max="14354" width="9" style="2" customWidth="1"/>
    <col min="14355" max="14355" width="8.6640625" style="2"/>
    <col min="14356" max="14356" width="8.44140625" style="2" customWidth="1"/>
    <col min="14357" max="14357" width="9.109375" style="2" customWidth="1"/>
    <col min="14358" max="14358" width="9" style="2" customWidth="1"/>
    <col min="14359" max="14359" width="7.5546875" style="2" customWidth="1"/>
    <col min="14360" max="14360" width="8" style="2" customWidth="1"/>
    <col min="14361" max="14361" width="7.88671875" style="2" customWidth="1"/>
    <col min="14362" max="14362" width="7.5546875" style="2" customWidth="1"/>
    <col min="14363" max="14363" width="8.5546875" style="2" customWidth="1"/>
    <col min="14364" max="14364" width="8.44140625" style="2" customWidth="1"/>
    <col min="14365" max="14366" width="7.88671875" style="2" customWidth="1"/>
    <col min="14367" max="14367" width="8.109375" style="2" customWidth="1"/>
    <col min="14368" max="14368" width="9" style="2" customWidth="1"/>
    <col min="14369" max="14371" width="9.88671875" style="2" bestFit="1" customWidth="1"/>
    <col min="14372" max="14372" width="9.88671875" style="2" customWidth="1"/>
    <col min="14373" max="14373" width="9.44140625" style="2" customWidth="1"/>
    <col min="14374" max="14374" width="9.5546875" style="2" customWidth="1"/>
    <col min="14375" max="14376" width="11.5546875" style="2" bestFit="1" customWidth="1"/>
    <col min="14377" max="14378" width="9.88671875" style="2" bestFit="1" customWidth="1"/>
    <col min="14379" max="14380" width="10.5546875" style="2" bestFit="1" customWidth="1"/>
    <col min="14381" max="14381" width="10.5546875" style="2" customWidth="1"/>
    <col min="14382" max="14382" width="10.5546875" style="2" bestFit="1" customWidth="1"/>
    <col min="14383" max="14383" width="9.88671875" style="2" bestFit="1" customWidth="1"/>
    <col min="14384" max="14384" width="10.5546875" style="2" bestFit="1" customWidth="1"/>
    <col min="14385" max="14385" width="10.88671875" style="2" bestFit="1" customWidth="1"/>
    <col min="14386" max="14386" width="9.6640625" style="2" customWidth="1"/>
    <col min="14387" max="14387" width="9.88671875" style="2" bestFit="1" customWidth="1"/>
    <col min="14388" max="14392" width="9.6640625" style="2" customWidth="1"/>
    <col min="14393" max="14393" width="10.88671875" style="2" bestFit="1" customWidth="1"/>
    <col min="14394" max="14401" width="9.6640625" style="2" customWidth="1"/>
    <col min="14402" max="14403" width="9.88671875" style="2" bestFit="1" customWidth="1"/>
    <col min="14404" max="14404" width="10.88671875" style="2" bestFit="1" customWidth="1"/>
    <col min="14405" max="14405" width="9.88671875" style="2" bestFit="1" customWidth="1"/>
    <col min="14406" max="14406" width="10.88671875" style="2" bestFit="1" customWidth="1"/>
    <col min="14407" max="14408" width="9.88671875" style="2" bestFit="1" customWidth="1"/>
    <col min="14409" max="14412" width="8.6640625" style="2"/>
    <col min="14413" max="14413" width="10.88671875" style="2" bestFit="1" customWidth="1"/>
    <col min="14414" max="14414" width="8.6640625" style="2"/>
    <col min="14415" max="14415" width="13.109375" style="2" bestFit="1" customWidth="1"/>
    <col min="14416" max="14416" width="9.88671875" style="2" bestFit="1" customWidth="1"/>
    <col min="14417" max="14418" width="10.88671875" style="2" bestFit="1" customWidth="1"/>
    <col min="14419" max="14419" width="9.88671875" style="2" bestFit="1" customWidth="1"/>
    <col min="14420" max="14420" width="10.33203125" style="2" bestFit="1" customWidth="1"/>
    <col min="14421" max="14421" width="8.6640625" style="2"/>
    <col min="14422" max="14422" width="10.88671875" style="2" bestFit="1" customWidth="1"/>
    <col min="14423" max="14424" width="11.5546875" style="2" bestFit="1" customWidth="1"/>
    <col min="14425" max="14428" width="10.88671875" style="2" bestFit="1" customWidth="1"/>
    <col min="14429" max="14429" width="12.6640625" style="2" bestFit="1" customWidth="1"/>
    <col min="14430" max="14430" width="10.5546875" style="2" bestFit="1" customWidth="1"/>
    <col min="14431" max="14431" width="9.88671875" style="2" bestFit="1" customWidth="1"/>
    <col min="14432" max="14432" width="10.88671875" style="2" customWidth="1"/>
    <col min="14433" max="14434" width="9.88671875" style="2" bestFit="1" customWidth="1"/>
    <col min="14435" max="14435" width="10.88671875" style="2" bestFit="1" customWidth="1"/>
    <col min="14436" max="14437" width="8.6640625" style="2"/>
    <col min="14438" max="14438" width="10.88671875" style="2" bestFit="1" customWidth="1"/>
    <col min="14439" max="14439" width="11.88671875" style="2" bestFit="1" customWidth="1"/>
    <col min="14440" max="14442" width="8.6640625" style="2"/>
    <col min="14443" max="14444" width="10.88671875" style="2" bestFit="1" customWidth="1"/>
    <col min="14445" max="14445" width="8.6640625" style="2"/>
    <col min="14446" max="14446" width="10.88671875" style="2" bestFit="1" customWidth="1"/>
    <col min="14447" max="14448" width="8.6640625" style="2"/>
    <col min="14449" max="14449" width="10.88671875" style="2" bestFit="1" customWidth="1"/>
    <col min="14450" max="14592" width="8.6640625" style="2"/>
    <col min="14593" max="14593" width="21.5546875" style="2" customWidth="1"/>
    <col min="14594" max="14594" width="35" style="2" customWidth="1"/>
    <col min="14595" max="14596" width="8.44140625" style="2" customWidth="1"/>
    <col min="14597" max="14604" width="9.88671875" style="2" bestFit="1" customWidth="1"/>
    <col min="14605" max="14605" width="10.88671875" style="2" bestFit="1" customWidth="1"/>
    <col min="14606" max="14606" width="8.44140625" style="2" customWidth="1"/>
    <col min="14607" max="14607" width="8.6640625" style="2"/>
    <col min="14608" max="14609" width="10.88671875" style="2" bestFit="1" customWidth="1"/>
    <col min="14610" max="14610" width="9" style="2" customWidth="1"/>
    <col min="14611" max="14611" width="8.6640625" style="2"/>
    <col min="14612" max="14612" width="8.44140625" style="2" customWidth="1"/>
    <col min="14613" max="14613" width="9.109375" style="2" customWidth="1"/>
    <col min="14614" max="14614" width="9" style="2" customWidth="1"/>
    <col min="14615" max="14615" width="7.5546875" style="2" customWidth="1"/>
    <col min="14616" max="14616" width="8" style="2" customWidth="1"/>
    <col min="14617" max="14617" width="7.88671875" style="2" customWidth="1"/>
    <col min="14618" max="14618" width="7.5546875" style="2" customWidth="1"/>
    <col min="14619" max="14619" width="8.5546875" style="2" customWidth="1"/>
    <col min="14620" max="14620" width="8.44140625" style="2" customWidth="1"/>
    <col min="14621" max="14622" width="7.88671875" style="2" customWidth="1"/>
    <col min="14623" max="14623" width="8.109375" style="2" customWidth="1"/>
    <col min="14624" max="14624" width="9" style="2" customWidth="1"/>
    <col min="14625" max="14627" width="9.88671875" style="2" bestFit="1" customWidth="1"/>
    <col min="14628" max="14628" width="9.88671875" style="2" customWidth="1"/>
    <col min="14629" max="14629" width="9.44140625" style="2" customWidth="1"/>
    <col min="14630" max="14630" width="9.5546875" style="2" customWidth="1"/>
    <col min="14631" max="14632" width="11.5546875" style="2" bestFit="1" customWidth="1"/>
    <col min="14633" max="14634" width="9.88671875" style="2" bestFit="1" customWidth="1"/>
    <col min="14635" max="14636" width="10.5546875" style="2" bestFit="1" customWidth="1"/>
    <col min="14637" max="14637" width="10.5546875" style="2" customWidth="1"/>
    <col min="14638" max="14638" width="10.5546875" style="2" bestFit="1" customWidth="1"/>
    <col min="14639" max="14639" width="9.88671875" style="2" bestFit="1" customWidth="1"/>
    <col min="14640" max="14640" width="10.5546875" style="2" bestFit="1" customWidth="1"/>
    <col min="14641" max="14641" width="10.88671875" style="2" bestFit="1" customWidth="1"/>
    <col min="14642" max="14642" width="9.6640625" style="2" customWidth="1"/>
    <col min="14643" max="14643" width="9.88671875" style="2" bestFit="1" customWidth="1"/>
    <col min="14644" max="14648" width="9.6640625" style="2" customWidth="1"/>
    <col min="14649" max="14649" width="10.88671875" style="2" bestFit="1" customWidth="1"/>
    <col min="14650" max="14657" width="9.6640625" style="2" customWidth="1"/>
    <col min="14658" max="14659" width="9.88671875" style="2" bestFit="1" customWidth="1"/>
    <col min="14660" max="14660" width="10.88671875" style="2" bestFit="1" customWidth="1"/>
    <col min="14661" max="14661" width="9.88671875" style="2" bestFit="1" customWidth="1"/>
    <col min="14662" max="14662" width="10.88671875" style="2" bestFit="1" customWidth="1"/>
    <col min="14663" max="14664" width="9.88671875" style="2" bestFit="1" customWidth="1"/>
    <col min="14665" max="14668" width="8.6640625" style="2"/>
    <col min="14669" max="14669" width="10.88671875" style="2" bestFit="1" customWidth="1"/>
    <col min="14670" max="14670" width="8.6640625" style="2"/>
    <col min="14671" max="14671" width="13.109375" style="2" bestFit="1" customWidth="1"/>
    <col min="14672" max="14672" width="9.88671875" style="2" bestFit="1" customWidth="1"/>
    <col min="14673" max="14674" width="10.88671875" style="2" bestFit="1" customWidth="1"/>
    <col min="14675" max="14675" width="9.88671875" style="2" bestFit="1" customWidth="1"/>
    <col min="14676" max="14676" width="10.33203125" style="2" bestFit="1" customWidth="1"/>
    <col min="14677" max="14677" width="8.6640625" style="2"/>
    <col min="14678" max="14678" width="10.88671875" style="2" bestFit="1" customWidth="1"/>
    <col min="14679" max="14680" width="11.5546875" style="2" bestFit="1" customWidth="1"/>
    <col min="14681" max="14684" width="10.88671875" style="2" bestFit="1" customWidth="1"/>
    <col min="14685" max="14685" width="12.6640625" style="2" bestFit="1" customWidth="1"/>
    <col min="14686" max="14686" width="10.5546875" style="2" bestFit="1" customWidth="1"/>
    <col min="14687" max="14687" width="9.88671875" style="2" bestFit="1" customWidth="1"/>
    <col min="14688" max="14688" width="10.88671875" style="2" customWidth="1"/>
    <col min="14689" max="14690" width="9.88671875" style="2" bestFit="1" customWidth="1"/>
    <col min="14691" max="14691" width="10.88671875" style="2" bestFit="1" customWidth="1"/>
    <col min="14692" max="14693" width="8.6640625" style="2"/>
    <col min="14694" max="14694" width="10.88671875" style="2" bestFit="1" customWidth="1"/>
    <col min="14695" max="14695" width="11.88671875" style="2" bestFit="1" customWidth="1"/>
    <col min="14696" max="14698" width="8.6640625" style="2"/>
    <col min="14699" max="14700" width="10.88671875" style="2" bestFit="1" customWidth="1"/>
    <col min="14701" max="14701" width="8.6640625" style="2"/>
    <col min="14702" max="14702" width="10.88671875" style="2" bestFit="1" customWidth="1"/>
    <col min="14703" max="14704" width="8.6640625" style="2"/>
    <col min="14705" max="14705" width="10.88671875" style="2" bestFit="1" customWidth="1"/>
    <col min="14706" max="14848" width="8.6640625" style="2"/>
    <col min="14849" max="14849" width="21.5546875" style="2" customWidth="1"/>
    <col min="14850" max="14850" width="35" style="2" customWidth="1"/>
    <col min="14851" max="14852" width="8.44140625" style="2" customWidth="1"/>
    <col min="14853" max="14860" width="9.88671875" style="2" bestFit="1" customWidth="1"/>
    <col min="14861" max="14861" width="10.88671875" style="2" bestFit="1" customWidth="1"/>
    <col min="14862" max="14862" width="8.44140625" style="2" customWidth="1"/>
    <col min="14863" max="14863" width="8.6640625" style="2"/>
    <col min="14864" max="14865" width="10.88671875" style="2" bestFit="1" customWidth="1"/>
    <col min="14866" max="14866" width="9" style="2" customWidth="1"/>
    <col min="14867" max="14867" width="8.6640625" style="2"/>
    <col min="14868" max="14868" width="8.44140625" style="2" customWidth="1"/>
    <col min="14869" max="14869" width="9.109375" style="2" customWidth="1"/>
    <col min="14870" max="14870" width="9" style="2" customWidth="1"/>
    <col min="14871" max="14871" width="7.5546875" style="2" customWidth="1"/>
    <col min="14872" max="14872" width="8" style="2" customWidth="1"/>
    <col min="14873" max="14873" width="7.88671875" style="2" customWidth="1"/>
    <col min="14874" max="14874" width="7.5546875" style="2" customWidth="1"/>
    <col min="14875" max="14875" width="8.5546875" style="2" customWidth="1"/>
    <col min="14876" max="14876" width="8.44140625" style="2" customWidth="1"/>
    <col min="14877" max="14878" width="7.88671875" style="2" customWidth="1"/>
    <col min="14879" max="14879" width="8.109375" style="2" customWidth="1"/>
    <col min="14880" max="14880" width="9" style="2" customWidth="1"/>
    <col min="14881" max="14883" width="9.88671875" style="2" bestFit="1" customWidth="1"/>
    <col min="14884" max="14884" width="9.88671875" style="2" customWidth="1"/>
    <col min="14885" max="14885" width="9.44140625" style="2" customWidth="1"/>
    <col min="14886" max="14886" width="9.5546875" style="2" customWidth="1"/>
    <col min="14887" max="14888" width="11.5546875" style="2" bestFit="1" customWidth="1"/>
    <col min="14889" max="14890" width="9.88671875" style="2" bestFit="1" customWidth="1"/>
    <col min="14891" max="14892" width="10.5546875" style="2" bestFit="1" customWidth="1"/>
    <col min="14893" max="14893" width="10.5546875" style="2" customWidth="1"/>
    <col min="14894" max="14894" width="10.5546875" style="2" bestFit="1" customWidth="1"/>
    <col min="14895" max="14895" width="9.88671875" style="2" bestFit="1" customWidth="1"/>
    <col min="14896" max="14896" width="10.5546875" style="2" bestFit="1" customWidth="1"/>
    <col min="14897" max="14897" width="10.88671875" style="2" bestFit="1" customWidth="1"/>
    <col min="14898" max="14898" width="9.6640625" style="2" customWidth="1"/>
    <col min="14899" max="14899" width="9.88671875" style="2" bestFit="1" customWidth="1"/>
    <col min="14900" max="14904" width="9.6640625" style="2" customWidth="1"/>
    <col min="14905" max="14905" width="10.88671875" style="2" bestFit="1" customWidth="1"/>
    <col min="14906" max="14913" width="9.6640625" style="2" customWidth="1"/>
    <col min="14914" max="14915" width="9.88671875" style="2" bestFit="1" customWidth="1"/>
    <col min="14916" max="14916" width="10.88671875" style="2" bestFit="1" customWidth="1"/>
    <col min="14917" max="14917" width="9.88671875" style="2" bestFit="1" customWidth="1"/>
    <col min="14918" max="14918" width="10.88671875" style="2" bestFit="1" customWidth="1"/>
    <col min="14919" max="14920" width="9.88671875" style="2" bestFit="1" customWidth="1"/>
    <col min="14921" max="14924" width="8.6640625" style="2"/>
    <col min="14925" max="14925" width="10.88671875" style="2" bestFit="1" customWidth="1"/>
    <col min="14926" max="14926" width="8.6640625" style="2"/>
    <col min="14927" max="14927" width="13.109375" style="2" bestFit="1" customWidth="1"/>
    <col min="14928" max="14928" width="9.88671875" style="2" bestFit="1" customWidth="1"/>
    <col min="14929" max="14930" width="10.88671875" style="2" bestFit="1" customWidth="1"/>
    <col min="14931" max="14931" width="9.88671875" style="2" bestFit="1" customWidth="1"/>
    <col min="14932" max="14932" width="10.33203125" style="2" bestFit="1" customWidth="1"/>
    <col min="14933" max="14933" width="8.6640625" style="2"/>
    <col min="14934" max="14934" width="10.88671875" style="2" bestFit="1" customWidth="1"/>
    <col min="14935" max="14936" width="11.5546875" style="2" bestFit="1" customWidth="1"/>
    <col min="14937" max="14940" width="10.88671875" style="2" bestFit="1" customWidth="1"/>
    <col min="14941" max="14941" width="12.6640625" style="2" bestFit="1" customWidth="1"/>
    <col min="14942" max="14942" width="10.5546875" style="2" bestFit="1" customWidth="1"/>
    <col min="14943" max="14943" width="9.88671875" style="2" bestFit="1" customWidth="1"/>
    <col min="14944" max="14944" width="10.88671875" style="2" customWidth="1"/>
    <col min="14945" max="14946" width="9.88671875" style="2" bestFit="1" customWidth="1"/>
    <col min="14947" max="14947" width="10.88671875" style="2" bestFit="1" customWidth="1"/>
    <col min="14948" max="14949" width="8.6640625" style="2"/>
    <col min="14950" max="14950" width="10.88671875" style="2" bestFit="1" customWidth="1"/>
    <col min="14951" max="14951" width="11.88671875" style="2" bestFit="1" customWidth="1"/>
    <col min="14952" max="14954" width="8.6640625" style="2"/>
    <col min="14955" max="14956" width="10.88671875" style="2" bestFit="1" customWidth="1"/>
    <col min="14957" max="14957" width="8.6640625" style="2"/>
    <col min="14958" max="14958" width="10.88671875" style="2" bestFit="1" customWidth="1"/>
    <col min="14959" max="14960" width="8.6640625" style="2"/>
    <col min="14961" max="14961" width="10.88671875" style="2" bestFit="1" customWidth="1"/>
    <col min="14962" max="15104" width="8.6640625" style="2"/>
    <col min="15105" max="15105" width="21.5546875" style="2" customWidth="1"/>
    <col min="15106" max="15106" width="35" style="2" customWidth="1"/>
    <col min="15107" max="15108" width="8.44140625" style="2" customWidth="1"/>
    <col min="15109" max="15116" width="9.88671875" style="2" bestFit="1" customWidth="1"/>
    <col min="15117" max="15117" width="10.88671875" style="2" bestFit="1" customWidth="1"/>
    <col min="15118" max="15118" width="8.44140625" style="2" customWidth="1"/>
    <col min="15119" max="15119" width="8.6640625" style="2"/>
    <col min="15120" max="15121" width="10.88671875" style="2" bestFit="1" customWidth="1"/>
    <col min="15122" max="15122" width="9" style="2" customWidth="1"/>
    <col min="15123" max="15123" width="8.6640625" style="2"/>
    <col min="15124" max="15124" width="8.44140625" style="2" customWidth="1"/>
    <col min="15125" max="15125" width="9.109375" style="2" customWidth="1"/>
    <col min="15126" max="15126" width="9" style="2" customWidth="1"/>
    <col min="15127" max="15127" width="7.5546875" style="2" customWidth="1"/>
    <col min="15128" max="15128" width="8" style="2" customWidth="1"/>
    <col min="15129" max="15129" width="7.88671875" style="2" customWidth="1"/>
    <col min="15130" max="15130" width="7.5546875" style="2" customWidth="1"/>
    <col min="15131" max="15131" width="8.5546875" style="2" customWidth="1"/>
    <col min="15132" max="15132" width="8.44140625" style="2" customWidth="1"/>
    <col min="15133" max="15134" width="7.88671875" style="2" customWidth="1"/>
    <col min="15135" max="15135" width="8.109375" style="2" customWidth="1"/>
    <col min="15136" max="15136" width="9" style="2" customWidth="1"/>
    <col min="15137" max="15139" width="9.88671875" style="2" bestFit="1" customWidth="1"/>
    <col min="15140" max="15140" width="9.88671875" style="2" customWidth="1"/>
    <col min="15141" max="15141" width="9.44140625" style="2" customWidth="1"/>
    <col min="15142" max="15142" width="9.5546875" style="2" customWidth="1"/>
    <col min="15143" max="15144" width="11.5546875" style="2" bestFit="1" customWidth="1"/>
    <col min="15145" max="15146" width="9.88671875" style="2" bestFit="1" customWidth="1"/>
    <col min="15147" max="15148" width="10.5546875" style="2" bestFit="1" customWidth="1"/>
    <col min="15149" max="15149" width="10.5546875" style="2" customWidth="1"/>
    <col min="15150" max="15150" width="10.5546875" style="2" bestFit="1" customWidth="1"/>
    <col min="15151" max="15151" width="9.88671875" style="2" bestFit="1" customWidth="1"/>
    <col min="15152" max="15152" width="10.5546875" style="2" bestFit="1" customWidth="1"/>
    <col min="15153" max="15153" width="10.88671875" style="2" bestFit="1" customWidth="1"/>
    <col min="15154" max="15154" width="9.6640625" style="2" customWidth="1"/>
    <col min="15155" max="15155" width="9.88671875" style="2" bestFit="1" customWidth="1"/>
    <col min="15156" max="15160" width="9.6640625" style="2" customWidth="1"/>
    <col min="15161" max="15161" width="10.88671875" style="2" bestFit="1" customWidth="1"/>
    <col min="15162" max="15169" width="9.6640625" style="2" customWidth="1"/>
    <col min="15170" max="15171" width="9.88671875" style="2" bestFit="1" customWidth="1"/>
    <col min="15172" max="15172" width="10.88671875" style="2" bestFit="1" customWidth="1"/>
    <col min="15173" max="15173" width="9.88671875" style="2" bestFit="1" customWidth="1"/>
    <col min="15174" max="15174" width="10.88671875" style="2" bestFit="1" customWidth="1"/>
    <col min="15175" max="15176" width="9.88671875" style="2" bestFit="1" customWidth="1"/>
    <col min="15177" max="15180" width="8.6640625" style="2"/>
    <col min="15181" max="15181" width="10.88671875" style="2" bestFit="1" customWidth="1"/>
    <col min="15182" max="15182" width="8.6640625" style="2"/>
    <col min="15183" max="15183" width="13.109375" style="2" bestFit="1" customWidth="1"/>
    <col min="15184" max="15184" width="9.88671875" style="2" bestFit="1" customWidth="1"/>
    <col min="15185" max="15186" width="10.88671875" style="2" bestFit="1" customWidth="1"/>
    <col min="15187" max="15187" width="9.88671875" style="2" bestFit="1" customWidth="1"/>
    <col min="15188" max="15188" width="10.33203125" style="2" bestFit="1" customWidth="1"/>
    <col min="15189" max="15189" width="8.6640625" style="2"/>
    <col min="15190" max="15190" width="10.88671875" style="2" bestFit="1" customWidth="1"/>
    <col min="15191" max="15192" width="11.5546875" style="2" bestFit="1" customWidth="1"/>
    <col min="15193" max="15196" width="10.88671875" style="2" bestFit="1" customWidth="1"/>
    <col min="15197" max="15197" width="12.6640625" style="2" bestFit="1" customWidth="1"/>
    <col min="15198" max="15198" width="10.5546875" style="2" bestFit="1" customWidth="1"/>
    <col min="15199" max="15199" width="9.88671875" style="2" bestFit="1" customWidth="1"/>
    <col min="15200" max="15200" width="10.88671875" style="2" customWidth="1"/>
    <col min="15201" max="15202" width="9.88671875" style="2" bestFit="1" customWidth="1"/>
    <col min="15203" max="15203" width="10.88671875" style="2" bestFit="1" customWidth="1"/>
    <col min="15204" max="15205" width="8.6640625" style="2"/>
    <col min="15206" max="15206" width="10.88671875" style="2" bestFit="1" customWidth="1"/>
    <col min="15207" max="15207" width="11.88671875" style="2" bestFit="1" customWidth="1"/>
    <col min="15208" max="15210" width="8.6640625" style="2"/>
    <col min="15211" max="15212" width="10.88671875" style="2" bestFit="1" customWidth="1"/>
    <col min="15213" max="15213" width="8.6640625" style="2"/>
    <col min="15214" max="15214" width="10.88671875" style="2" bestFit="1" customWidth="1"/>
    <col min="15215" max="15216" width="8.6640625" style="2"/>
    <col min="15217" max="15217" width="10.88671875" style="2" bestFit="1" customWidth="1"/>
    <col min="15218" max="15360" width="8.6640625" style="2"/>
    <col min="15361" max="15361" width="21.5546875" style="2" customWidth="1"/>
    <col min="15362" max="15362" width="35" style="2" customWidth="1"/>
    <col min="15363" max="15364" width="8.44140625" style="2" customWidth="1"/>
    <col min="15365" max="15372" width="9.88671875" style="2" bestFit="1" customWidth="1"/>
    <col min="15373" max="15373" width="10.88671875" style="2" bestFit="1" customWidth="1"/>
    <col min="15374" max="15374" width="8.44140625" style="2" customWidth="1"/>
    <col min="15375" max="15375" width="8.6640625" style="2"/>
    <col min="15376" max="15377" width="10.88671875" style="2" bestFit="1" customWidth="1"/>
    <col min="15378" max="15378" width="9" style="2" customWidth="1"/>
    <col min="15379" max="15379" width="8.6640625" style="2"/>
    <col min="15380" max="15380" width="8.44140625" style="2" customWidth="1"/>
    <col min="15381" max="15381" width="9.109375" style="2" customWidth="1"/>
    <col min="15382" max="15382" width="9" style="2" customWidth="1"/>
    <col min="15383" max="15383" width="7.5546875" style="2" customWidth="1"/>
    <col min="15384" max="15384" width="8" style="2" customWidth="1"/>
    <col min="15385" max="15385" width="7.88671875" style="2" customWidth="1"/>
    <col min="15386" max="15386" width="7.5546875" style="2" customWidth="1"/>
    <col min="15387" max="15387" width="8.5546875" style="2" customWidth="1"/>
    <col min="15388" max="15388" width="8.44140625" style="2" customWidth="1"/>
    <col min="15389" max="15390" width="7.88671875" style="2" customWidth="1"/>
    <col min="15391" max="15391" width="8.109375" style="2" customWidth="1"/>
    <col min="15392" max="15392" width="9" style="2" customWidth="1"/>
    <col min="15393" max="15395" width="9.88671875" style="2" bestFit="1" customWidth="1"/>
    <col min="15396" max="15396" width="9.88671875" style="2" customWidth="1"/>
    <col min="15397" max="15397" width="9.44140625" style="2" customWidth="1"/>
    <col min="15398" max="15398" width="9.5546875" style="2" customWidth="1"/>
    <col min="15399" max="15400" width="11.5546875" style="2" bestFit="1" customWidth="1"/>
    <col min="15401" max="15402" width="9.88671875" style="2" bestFit="1" customWidth="1"/>
    <col min="15403" max="15404" width="10.5546875" style="2" bestFit="1" customWidth="1"/>
    <col min="15405" max="15405" width="10.5546875" style="2" customWidth="1"/>
    <col min="15406" max="15406" width="10.5546875" style="2" bestFit="1" customWidth="1"/>
    <col min="15407" max="15407" width="9.88671875" style="2" bestFit="1" customWidth="1"/>
    <col min="15408" max="15408" width="10.5546875" style="2" bestFit="1" customWidth="1"/>
    <col min="15409" max="15409" width="10.88671875" style="2" bestFit="1" customWidth="1"/>
    <col min="15410" max="15410" width="9.6640625" style="2" customWidth="1"/>
    <col min="15411" max="15411" width="9.88671875" style="2" bestFit="1" customWidth="1"/>
    <col min="15412" max="15416" width="9.6640625" style="2" customWidth="1"/>
    <col min="15417" max="15417" width="10.88671875" style="2" bestFit="1" customWidth="1"/>
    <col min="15418" max="15425" width="9.6640625" style="2" customWidth="1"/>
    <col min="15426" max="15427" width="9.88671875" style="2" bestFit="1" customWidth="1"/>
    <col min="15428" max="15428" width="10.88671875" style="2" bestFit="1" customWidth="1"/>
    <col min="15429" max="15429" width="9.88671875" style="2" bestFit="1" customWidth="1"/>
    <col min="15430" max="15430" width="10.88671875" style="2" bestFit="1" customWidth="1"/>
    <col min="15431" max="15432" width="9.88671875" style="2" bestFit="1" customWidth="1"/>
    <col min="15433" max="15436" width="8.6640625" style="2"/>
    <col min="15437" max="15437" width="10.88671875" style="2" bestFit="1" customWidth="1"/>
    <col min="15438" max="15438" width="8.6640625" style="2"/>
    <col min="15439" max="15439" width="13.109375" style="2" bestFit="1" customWidth="1"/>
    <col min="15440" max="15440" width="9.88671875" style="2" bestFit="1" customWidth="1"/>
    <col min="15441" max="15442" width="10.88671875" style="2" bestFit="1" customWidth="1"/>
    <col min="15443" max="15443" width="9.88671875" style="2" bestFit="1" customWidth="1"/>
    <col min="15444" max="15444" width="10.33203125" style="2" bestFit="1" customWidth="1"/>
    <col min="15445" max="15445" width="8.6640625" style="2"/>
    <col min="15446" max="15446" width="10.88671875" style="2" bestFit="1" customWidth="1"/>
    <col min="15447" max="15448" width="11.5546875" style="2" bestFit="1" customWidth="1"/>
    <col min="15449" max="15452" width="10.88671875" style="2" bestFit="1" customWidth="1"/>
    <col min="15453" max="15453" width="12.6640625" style="2" bestFit="1" customWidth="1"/>
    <col min="15454" max="15454" width="10.5546875" style="2" bestFit="1" customWidth="1"/>
    <col min="15455" max="15455" width="9.88671875" style="2" bestFit="1" customWidth="1"/>
    <col min="15456" max="15456" width="10.88671875" style="2" customWidth="1"/>
    <col min="15457" max="15458" width="9.88671875" style="2" bestFit="1" customWidth="1"/>
    <col min="15459" max="15459" width="10.88671875" style="2" bestFit="1" customWidth="1"/>
    <col min="15460" max="15461" width="8.6640625" style="2"/>
    <col min="15462" max="15462" width="10.88671875" style="2" bestFit="1" customWidth="1"/>
    <col min="15463" max="15463" width="11.88671875" style="2" bestFit="1" customWidth="1"/>
    <col min="15464" max="15466" width="8.6640625" style="2"/>
    <col min="15467" max="15468" width="10.88671875" style="2" bestFit="1" customWidth="1"/>
    <col min="15469" max="15469" width="8.6640625" style="2"/>
    <col min="15470" max="15470" width="10.88671875" style="2" bestFit="1" customWidth="1"/>
    <col min="15471" max="15472" width="8.6640625" style="2"/>
    <col min="15473" max="15473" width="10.88671875" style="2" bestFit="1" customWidth="1"/>
    <col min="15474" max="15616" width="8.6640625" style="2"/>
    <col min="15617" max="15617" width="21.5546875" style="2" customWidth="1"/>
    <col min="15618" max="15618" width="35" style="2" customWidth="1"/>
    <col min="15619" max="15620" width="8.44140625" style="2" customWidth="1"/>
    <col min="15621" max="15628" width="9.88671875" style="2" bestFit="1" customWidth="1"/>
    <col min="15629" max="15629" width="10.88671875" style="2" bestFit="1" customWidth="1"/>
    <col min="15630" max="15630" width="8.44140625" style="2" customWidth="1"/>
    <col min="15631" max="15631" width="8.6640625" style="2"/>
    <col min="15632" max="15633" width="10.88671875" style="2" bestFit="1" customWidth="1"/>
    <col min="15634" max="15634" width="9" style="2" customWidth="1"/>
    <col min="15635" max="15635" width="8.6640625" style="2"/>
    <col min="15636" max="15636" width="8.44140625" style="2" customWidth="1"/>
    <col min="15637" max="15637" width="9.109375" style="2" customWidth="1"/>
    <col min="15638" max="15638" width="9" style="2" customWidth="1"/>
    <col min="15639" max="15639" width="7.5546875" style="2" customWidth="1"/>
    <col min="15640" max="15640" width="8" style="2" customWidth="1"/>
    <col min="15641" max="15641" width="7.88671875" style="2" customWidth="1"/>
    <col min="15642" max="15642" width="7.5546875" style="2" customWidth="1"/>
    <col min="15643" max="15643" width="8.5546875" style="2" customWidth="1"/>
    <col min="15644" max="15644" width="8.44140625" style="2" customWidth="1"/>
    <col min="15645" max="15646" width="7.88671875" style="2" customWidth="1"/>
    <col min="15647" max="15647" width="8.109375" style="2" customWidth="1"/>
    <col min="15648" max="15648" width="9" style="2" customWidth="1"/>
    <col min="15649" max="15651" width="9.88671875" style="2" bestFit="1" customWidth="1"/>
    <col min="15652" max="15652" width="9.88671875" style="2" customWidth="1"/>
    <col min="15653" max="15653" width="9.44140625" style="2" customWidth="1"/>
    <col min="15654" max="15654" width="9.5546875" style="2" customWidth="1"/>
    <col min="15655" max="15656" width="11.5546875" style="2" bestFit="1" customWidth="1"/>
    <col min="15657" max="15658" width="9.88671875" style="2" bestFit="1" customWidth="1"/>
    <col min="15659" max="15660" width="10.5546875" style="2" bestFit="1" customWidth="1"/>
    <col min="15661" max="15661" width="10.5546875" style="2" customWidth="1"/>
    <col min="15662" max="15662" width="10.5546875" style="2" bestFit="1" customWidth="1"/>
    <col min="15663" max="15663" width="9.88671875" style="2" bestFit="1" customWidth="1"/>
    <col min="15664" max="15664" width="10.5546875" style="2" bestFit="1" customWidth="1"/>
    <col min="15665" max="15665" width="10.88671875" style="2" bestFit="1" customWidth="1"/>
    <col min="15666" max="15666" width="9.6640625" style="2" customWidth="1"/>
    <col min="15667" max="15667" width="9.88671875" style="2" bestFit="1" customWidth="1"/>
    <col min="15668" max="15672" width="9.6640625" style="2" customWidth="1"/>
    <col min="15673" max="15673" width="10.88671875" style="2" bestFit="1" customWidth="1"/>
    <col min="15674" max="15681" width="9.6640625" style="2" customWidth="1"/>
    <col min="15682" max="15683" width="9.88671875" style="2" bestFit="1" customWidth="1"/>
    <col min="15684" max="15684" width="10.88671875" style="2" bestFit="1" customWidth="1"/>
    <col min="15685" max="15685" width="9.88671875" style="2" bestFit="1" customWidth="1"/>
    <col min="15686" max="15686" width="10.88671875" style="2" bestFit="1" customWidth="1"/>
    <col min="15687" max="15688" width="9.88671875" style="2" bestFit="1" customWidth="1"/>
    <col min="15689" max="15692" width="8.6640625" style="2"/>
    <col min="15693" max="15693" width="10.88671875" style="2" bestFit="1" customWidth="1"/>
    <col min="15694" max="15694" width="8.6640625" style="2"/>
    <col min="15695" max="15695" width="13.109375" style="2" bestFit="1" customWidth="1"/>
    <col min="15696" max="15696" width="9.88671875" style="2" bestFit="1" customWidth="1"/>
    <col min="15697" max="15698" width="10.88671875" style="2" bestFit="1" customWidth="1"/>
    <col min="15699" max="15699" width="9.88671875" style="2" bestFit="1" customWidth="1"/>
    <col min="15700" max="15700" width="10.33203125" style="2" bestFit="1" customWidth="1"/>
    <col min="15701" max="15701" width="8.6640625" style="2"/>
    <col min="15702" max="15702" width="10.88671875" style="2" bestFit="1" customWidth="1"/>
    <col min="15703" max="15704" width="11.5546875" style="2" bestFit="1" customWidth="1"/>
    <col min="15705" max="15708" width="10.88671875" style="2" bestFit="1" customWidth="1"/>
    <col min="15709" max="15709" width="12.6640625" style="2" bestFit="1" customWidth="1"/>
    <col min="15710" max="15710" width="10.5546875" style="2" bestFit="1" customWidth="1"/>
    <col min="15711" max="15711" width="9.88671875" style="2" bestFit="1" customWidth="1"/>
    <col min="15712" max="15712" width="10.88671875" style="2" customWidth="1"/>
    <col min="15713" max="15714" width="9.88671875" style="2" bestFit="1" customWidth="1"/>
    <col min="15715" max="15715" width="10.88671875" style="2" bestFit="1" customWidth="1"/>
    <col min="15716" max="15717" width="8.6640625" style="2"/>
    <col min="15718" max="15718" width="10.88671875" style="2" bestFit="1" customWidth="1"/>
    <col min="15719" max="15719" width="11.88671875" style="2" bestFit="1" customWidth="1"/>
    <col min="15720" max="15722" width="8.6640625" style="2"/>
    <col min="15723" max="15724" width="10.88671875" style="2" bestFit="1" customWidth="1"/>
    <col min="15725" max="15725" width="8.6640625" style="2"/>
    <col min="15726" max="15726" width="10.88671875" style="2" bestFit="1" customWidth="1"/>
    <col min="15727" max="15728" width="8.6640625" style="2"/>
    <col min="15729" max="15729" width="10.88671875" style="2" bestFit="1" customWidth="1"/>
    <col min="15730" max="15872" width="8.6640625" style="2"/>
    <col min="15873" max="15873" width="21.5546875" style="2" customWidth="1"/>
    <col min="15874" max="15874" width="35" style="2" customWidth="1"/>
    <col min="15875" max="15876" width="8.44140625" style="2" customWidth="1"/>
    <col min="15877" max="15884" width="9.88671875" style="2" bestFit="1" customWidth="1"/>
    <col min="15885" max="15885" width="10.88671875" style="2" bestFit="1" customWidth="1"/>
    <col min="15886" max="15886" width="8.44140625" style="2" customWidth="1"/>
    <col min="15887" max="15887" width="8.6640625" style="2"/>
    <col min="15888" max="15889" width="10.88671875" style="2" bestFit="1" customWidth="1"/>
    <col min="15890" max="15890" width="9" style="2" customWidth="1"/>
    <col min="15891" max="15891" width="8.6640625" style="2"/>
    <col min="15892" max="15892" width="8.44140625" style="2" customWidth="1"/>
    <col min="15893" max="15893" width="9.109375" style="2" customWidth="1"/>
    <col min="15894" max="15894" width="9" style="2" customWidth="1"/>
    <col min="15895" max="15895" width="7.5546875" style="2" customWidth="1"/>
    <col min="15896" max="15896" width="8" style="2" customWidth="1"/>
    <col min="15897" max="15897" width="7.88671875" style="2" customWidth="1"/>
    <col min="15898" max="15898" width="7.5546875" style="2" customWidth="1"/>
    <col min="15899" max="15899" width="8.5546875" style="2" customWidth="1"/>
    <col min="15900" max="15900" width="8.44140625" style="2" customWidth="1"/>
    <col min="15901" max="15902" width="7.88671875" style="2" customWidth="1"/>
    <col min="15903" max="15903" width="8.109375" style="2" customWidth="1"/>
    <col min="15904" max="15904" width="9" style="2" customWidth="1"/>
    <col min="15905" max="15907" width="9.88671875" style="2" bestFit="1" customWidth="1"/>
    <col min="15908" max="15908" width="9.88671875" style="2" customWidth="1"/>
    <col min="15909" max="15909" width="9.44140625" style="2" customWidth="1"/>
    <col min="15910" max="15910" width="9.5546875" style="2" customWidth="1"/>
    <col min="15911" max="15912" width="11.5546875" style="2" bestFit="1" customWidth="1"/>
    <col min="15913" max="15914" width="9.88671875" style="2" bestFit="1" customWidth="1"/>
    <col min="15915" max="15916" width="10.5546875" style="2" bestFit="1" customWidth="1"/>
    <col min="15917" max="15917" width="10.5546875" style="2" customWidth="1"/>
    <col min="15918" max="15918" width="10.5546875" style="2" bestFit="1" customWidth="1"/>
    <col min="15919" max="15919" width="9.88671875" style="2" bestFit="1" customWidth="1"/>
    <col min="15920" max="15920" width="10.5546875" style="2" bestFit="1" customWidth="1"/>
    <col min="15921" max="15921" width="10.88671875" style="2" bestFit="1" customWidth="1"/>
    <col min="15922" max="15922" width="9.6640625" style="2" customWidth="1"/>
    <col min="15923" max="15923" width="9.88671875" style="2" bestFit="1" customWidth="1"/>
    <col min="15924" max="15928" width="9.6640625" style="2" customWidth="1"/>
    <col min="15929" max="15929" width="10.88671875" style="2" bestFit="1" customWidth="1"/>
    <col min="15930" max="15937" width="9.6640625" style="2" customWidth="1"/>
    <col min="15938" max="15939" width="9.88671875" style="2" bestFit="1" customWidth="1"/>
    <col min="15940" max="15940" width="10.88671875" style="2" bestFit="1" customWidth="1"/>
    <col min="15941" max="15941" width="9.88671875" style="2" bestFit="1" customWidth="1"/>
    <col min="15942" max="15942" width="10.88671875" style="2" bestFit="1" customWidth="1"/>
    <col min="15943" max="15944" width="9.88671875" style="2" bestFit="1" customWidth="1"/>
    <col min="15945" max="15948" width="8.6640625" style="2"/>
    <col min="15949" max="15949" width="10.88671875" style="2" bestFit="1" customWidth="1"/>
    <col min="15950" max="15950" width="8.6640625" style="2"/>
    <col min="15951" max="15951" width="13.109375" style="2" bestFit="1" customWidth="1"/>
    <col min="15952" max="15952" width="9.88671875" style="2" bestFit="1" customWidth="1"/>
    <col min="15953" max="15954" width="10.88671875" style="2" bestFit="1" customWidth="1"/>
    <col min="15955" max="15955" width="9.88671875" style="2" bestFit="1" customWidth="1"/>
    <col min="15956" max="15956" width="10.33203125" style="2" bestFit="1" customWidth="1"/>
    <col min="15957" max="15957" width="8.6640625" style="2"/>
    <col min="15958" max="15958" width="10.88671875" style="2" bestFit="1" customWidth="1"/>
    <col min="15959" max="15960" width="11.5546875" style="2" bestFit="1" customWidth="1"/>
    <col min="15961" max="15964" width="10.88671875" style="2" bestFit="1" customWidth="1"/>
    <col min="15965" max="15965" width="12.6640625" style="2" bestFit="1" customWidth="1"/>
    <col min="15966" max="15966" width="10.5546875" style="2" bestFit="1" customWidth="1"/>
    <col min="15967" max="15967" width="9.88671875" style="2" bestFit="1" customWidth="1"/>
    <col min="15968" max="15968" width="10.88671875" style="2" customWidth="1"/>
    <col min="15969" max="15970" width="9.88671875" style="2" bestFit="1" customWidth="1"/>
    <col min="15971" max="15971" width="10.88671875" style="2" bestFit="1" customWidth="1"/>
    <col min="15972" max="15973" width="8.6640625" style="2"/>
    <col min="15974" max="15974" width="10.88671875" style="2" bestFit="1" customWidth="1"/>
    <col min="15975" max="15975" width="11.88671875" style="2" bestFit="1" customWidth="1"/>
    <col min="15976" max="15978" width="8.6640625" style="2"/>
    <col min="15979" max="15980" width="10.88671875" style="2" bestFit="1" customWidth="1"/>
    <col min="15981" max="15981" width="8.6640625" style="2"/>
    <col min="15982" max="15982" width="10.88671875" style="2" bestFit="1" customWidth="1"/>
    <col min="15983" max="15984" width="8.6640625" style="2"/>
    <col min="15985" max="15985" width="10.88671875" style="2" bestFit="1" customWidth="1"/>
    <col min="15986" max="16128" width="8.6640625" style="2"/>
    <col min="16129" max="16129" width="21.5546875" style="2" customWidth="1"/>
    <col min="16130" max="16130" width="35" style="2" customWidth="1"/>
    <col min="16131" max="16132" width="8.44140625" style="2" customWidth="1"/>
    <col min="16133" max="16140" width="9.88671875" style="2" bestFit="1" customWidth="1"/>
    <col min="16141" max="16141" width="10.88671875" style="2" bestFit="1" customWidth="1"/>
    <col min="16142" max="16142" width="8.44140625" style="2" customWidth="1"/>
    <col min="16143" max="16143" width="8.6640625" style="2"/>
    <col min="16144" max="16145" width="10.88671875" style="2" bestFit="1" customWidth="1"/>
    <col min="16146" max="16146" width="9" style="2" customWidth="1"/>
    <col min="16147" max="16147" width="8.6640625" style="2"/>
    <col min="16148" max="16148" width="8.44140625" style="2" customWidth="1"/>
    <col min="16149" max="16149" width="9.109375" style="2" customWidth="1"/>
    <col min="16150" max="16150" width="9" style="2" customWidth="1"/>
    <col min="16151" max="16151" width="7.5546875" style="2" customWidth="1"/>
    <col min="16152" max="16152" width="8" style="2" customWidth="1"/>
    <col min="16153" max="16153" width="7.88671875" style="2" customWidth="1"/>
    <col min="16154" max="16154" width="7.5546875" style="2" customWidth="1"/>
    <col min="16155" max="16155" width="8.5546875" style="2" customWidth="1"/>
    <col min="16156" max="16156" width="8.44140625" style="2" customWidth="1"/>
    <col min="16157" max="16158" width="7.88671875" style="2" customWidth="1"/>
    <col min="16159" max="16159" width="8.109375" style="2" customWidth="1"/>
    <col min="16160" max="16160" width="9" style="2" customWidth="1"/>
    <col min="16161" max="16163" width="9.88671875" style="2" bestFit="1" customWidth="1"/>
    <col min="16164" max="16164" width="9.88671875" style="2" customWidth="1"/>
    <col min="16165" max="16165" width="9.44140625" style="2" customWidth="1"/>
    <col min="16166" max="16166" width="9.5546875" style="2" customWidth="1"/>
    <col min="16167" max="16168" width="11.5546875" style="2" bestFit="1" customWidth="1"/>
    <col min="16169" max="16170" width="9.88671875" style="2" bestFit="1" customWidth="1"/>
    <col min="16171" max="16172" width="10.5546875" style="2" bestFit="1" customWidth="1"/>
    <col min="16173" max="16173" width="10.5546875" style="2" customWidth="1"/>
    <col min="16174" max="16174" width="10.5546875" style="2" bestFit="1" customWidth="1"/>
    <col min="16175" max="16175" width="9.88671875" style="2" bestFit="1" customWidth="1"/>
    <col min="16176" max="16176" width="10.5546875" style="2" bestFit="1" customWidth="1"/>
    <col min="16177" max="16177" width="10.88671875" style="2" bestFit="1" customWidth="1"/>
    <col min="16178" max="16178" width="9.6640625" style="2" customWidth="1"/>
    <col min="16179" max="16179" width="9.88671875" style="2" bestFit="1" customWidth="1"/>
    <col min="16180" max="16184" width="9.6640625" style="2" customWidth="1"/>
    <col min="16185" max="16185" width="10.88671875" style="2" bestFit="1" customWidth="1"/>
    <col min="16186" max="16193" width="9.6640625" style="2" customWidth="1"/>
    <col min="16194" max="16195" width="9.88671875" style="2" bestFit="1" customWidth="1"/>
    <col min="16196" max="16196" width="10.88671875" style="2" bestFit="1" customWidth="1"/>
    <col min="16197" max="16197" width="9.88671875" style="2" bestFit="1" customWidth="1"/>
    <col min="16198" max="16198" width="10.88671875" style="2" bestFit="1" customWidth="1"/>
    <col min="16199" max="16200" width="9.88671875" style="2" bestFit="1" customWidth="1"/>
    <col min="16201" max="16204" width="8.6640625" style="2"/>
    <col min="16205" max="16205" width="10.88671875" style="2" bestFit="1" customWidth="1"/>
    <col min="16206" max="16206" width="8.6640625" style="2"/>
    <col min="16207" max="16207" width="13.109375" style="2" bestFit="1" customWidth="1"/>
    <col min="16208" max="16208" width="9.88671875" style="2" bestFit="1" customWidth="1"/>
    <col min="16209" max="16210" width="10.88671875" style="2" bestFit="1" customWidth="1"/>
    <col min="16211" max="16211" width="9.88671875" style="2" bestFit="1" customWidth="1"/>
    <col min="16212" max="16212" width="10.33203125" style="2" bestFit="1" customWidth="1"/>
    <col min="16213" max="16213" width="8.6640625" style="2"/>
    <col min="16214" max="16214" width="10.88671875" style="2" bestFit="1" customWidth="1"/>
    <col min="16215" max="16216" width="11.5546875" style="2" bestFit="1" customWidth="1"/>
    <col min="16217" max="16220" width="10.88671875" style="2" bestFit="1" customWidth="1"/>
    <col min="16221" max="16221" width="12.6640625" style="2" bestFit="1" customWidth="1"/>
    <col min="16222" max="16222" width="10.5546875" style="2" bestFit="1" customWidth="1"/>
    <col min="16223" max="16223" width="9.88671875" style="2" bestFit="1" customWidth="1"/>
    <col min="16224" max="16224" width="10.88671875" style="2" customWidth="1"/>
    <col min="16225" max="16226" width="9.88671875" style="2" bestFit="1" customWidth="1"/>
    <col min="16227" max="16227" width="10.88671875" style="2" bestFit="1" customWidth="1"/>
    <col min="16228" max="16229" width="8.6640625" style="2"/>
    <col min="16230" max="16230" width="10.88671875" style="2" bestFit="1" customWidth="1"/>
    <col min="16231" max="16231" width="11.88671875" style="2" bestFit="1" customWidth="1"/>
    <col min="16232" max="16234" width="8.6640625" style="2"/>
    <col min="16235" max="16236" width="10.88671875" style="2" bestFit="1" customWidth="1"/>
    <col min="16237" max="16237" width="8.6640625" style="2"/>
    <col min="16238" max="16238" width="10.88671875" style="2" bestFit="1" customWidth="1"/>
    <col min="16239" max="16240" width="8.6640625" style="2"/>
    <col min="16241" max="16241" width="10.88671875" style="2" bestFit="1" customWidth="1"/>
    <col min="16242" max="16384" width="8.6640625" style="2"/>
  </cols>
  <sheetData>
    <row r="1" spans="1:115" s="25" customFormat="1" ht="18" x14ac:dyDescent="0.3">
      <c r="A1" s="34" t="s">
        <v>1</v>
      </c>
      <c r="B1" s="35"/>
      <c r="C1" s="35"/>
      <c r="D1" s="35"/>
      <c r="E1" s="35"/>
      <c r="F1" s="35"/>
      <c r="G1" s="35"/>
      <c r="H1" s="35"/>
      <c r="I1" s="35"/>
      <c r="J1" s="35"/>
      <c r="AW1" s="26"/>
      <c r="BT1" s="27"/>
    </row>
    <row r="2" spans="1:115" x14ac:dyDescent="0.3">
      <c r="A2" s="5" t="s">
        <v>2</v>
      </c>
      <c r="B2" s="6" t="s">
        <v>3</v>
      </c>
      <c r="C2" s="7" t="s">
        <v>4</v>
      </c>
      <c r="D2" s="7" t="s">
        <v>5</v>
      </c>
      <c r="E2" s="7" t="s">
        <v>6</v>
      </c>
      <c r="F2" s="7" t="s">
        <v>7</v>
      </c>
      <c r="G2" s="7" t="s">
        <v>8</v>
      </c>
      <c r="H2" s="7" t="s">
        <v>9</v>
      </c>
      <c r="I2" s="7" t="s">
        <v>10</v>
      </c>
      <c r="J2" s="7" t="s">
        <v>11</v>
      </c>
      <c r="K2" s="7" t="s">
        <v>12</v>
      </c>
      <c r="L2" s="7" t="s">
        <v>13</v>
      </c>
      <c r="M2" s="7" t="s">
        <v>4</v>
      </c>
      <c r="N2" s="7" t="s">
        <v>5</v>
      </c>
      <c r="O2" s="7" t="s">
        <v>6</v>
      </c>
      <c r="P2" s="7" t="s">
        <v>7</v>
      </c>
      <c r="Q2" s="7" t="s">
        <v>8</v>
      </c>
      <c r="R2" s="7" t="s">
        <v>9</v>
      </c>
      <c r="S2" s="7" t="s">
        <v>10</v>
      </c>
      <c r="T2" s="7" t="s">
        <v>11</v>
      </c>
      <c r="U2" s="7" t="s">
        <v>12</v>
      </c>
      <c r="V2" s="7" t="s">
        <v>13</v>
      </c>
      <c r="W2" s="7" t="s">
        <v>14</v>
      </c>
      <c r="X2" s="7" t="s">
        <v>15</v>
      </c>
      <c r="Y2" s="7" t="s">
        <v>16</v>
      </c>
      <c r="Z2" s="7" t="s">
        <v>17</v>
      </c>
      <c r="AA2" s="7" t="s">
        <v>18</v>
      </c>
      <c r="AB2" s="7" t="s">
        <v>19</v>
      </c>
      <c r="AC2" s="7" t="s">
        <v>20</v>
      </c>
      <c r="AD2" s="7" t="s">
        <v>21</v>
      </c>
      <c r="AE2" s="8" t="s">
        <v>22</v>
      </c>
      <c r="AF2" s="7" t="s">
        <v>23</v>
      </c>
      <c r="AG2" s="7" t="s">
        <v>14</v>
      </c>
      <c r="AH2" s="7" t="s">
        <v>15</v>
      </c>
      <c r="AI2" s="7" t="s">
        <v>16</v>
      </c>
      <c r="AJ2" s="7" t="s">
        <v>17</v>
      </c>
      <c r="AK2" s="7" t="s">
        <v>14</v>
      </c>
      <c r="AL2" s="7" t="s">
        <v>15</v>
      </c>
      <c r="AM2" s="7" t="s">
        <v>16</v>
      </c>
      <c r="AN2" s="7" t="s">
        <v>17</v>
      </c>
      <c r="AO2" s="7" t="s">
        <v>18</v>
      </c>
      <c r="AP2" s="7" t="s">
        <v>19</v>
      </c>
      <c r="AQ2" s="7" t="s">
        <v>20</v>
      </c>
      <c r="AR2" s="7" t="s">
        <v>21</v>
      </c>
      <c r="AS2" s="7" t="s">
        <v>12</v>
      </c>
      <c r="AT2" s="7" t="s">
        <v>23</v>
      </c>
      <c r="AU2" s="7" t="s">
        <v>14</v>
      </c>
      <c r="AV2" s="7" t="s">
        <v>15</v>
      </c>
      <c r="AW2" s="9" t="s">
        <v>6</v>
      </c>
      <c r="AX2" s="7" t="s">
        <v>7</v>
      </c>
      <c r="AY2" s="2" t="s">
        <v>8</v>
      </c>
      <c r="AZ2" s="2" t="s">
        <v>9</v>
      </c>
      <c r="BA2" s="2" t="s">
        <v>10</v>
      </c>
      <c r="BB2" s="2" t="s">
        <v>11</v>
      </c>
      <c r="BC2" s="2" t="s">
        <v>12</v>
      </c>
      <c r="BD2" s="2" t="s">
        <v>13</v>
      </c>
      <c r="BE2" s="2" t="s">
        <v>4</v>
      </c>
      <c r="BF2" s="2" t="s">
        <v>5</v>
      </c>
      <c r="BG2" s="2" t="s">
        <v>7</v>
      </c>
      <c r="BH2" s="2" t="s">
        <v>8</v>
      </c>
      <c r="BI2" s="2" t="s">
        <v>9</v>
      </c>
      <c r="BJ2" s="2" t="s">
        <v>10</v>
      </c>
      <c r="BK2" s="2" t="s">
        <v>11</v>
      </c>
      <c r="BL2" s="2" t="s">
        <v>12</v>
      </c>
      <c r="BM2" s="2" t="s">
        <v>13</v>
      </c>
      <c r="BN2" s="2" t="s">
        <v>4</v>
      </c>
      <c r="BO2" s="2" t="s">
        <v>5</v>
      </c>
      <c r="BP2" s="2" t="s">
        <v>6</v>
      </c>
      <c r="BQ2" s="2" t="s">
        <v>7</v>
      </c>
      <c r="BR2" s="2" t="s">
        <v>8</v>
      </c>
      <c r="BS2" s="2" t="s">
        <v>9</v>
      </c>
      <c r="BT2" s="4" t="s">
        <v>10</v>
      </c>
      <c r="BU2" s="2" t="s">
        <v>11</v>
      </c>
      <c r="BV2" s="2" t="s">
        <v>12</v>
      </c>
      <c r="BW2" s="2" t="s">
        <v>13</v>
      </c>
      <c r="BX2" s="2" t="s">
        <v>4</v>
      </c>
      <c r="BY2" s="2" t="s">
        <v>5</v>
      </c>
      <c r="BZ2" s="2" t="s">
        <v>6</v>
      </c>
      <c r="CA2" s="2" t="s">
        <v>7</v>
      </c>
      <c r="CB2" s="2" t="s">
        <v>8</v>
      </c>
      <c r="CC2" s="2" t="s">
        <v>9</v>
      </c>
      <c r="CD2" s="2" t="s">
        <v>10</v>
      </c>
      <c r="CE2" s="2" t="s">
        <v>11</v>
      </c>
      <c r="CF2" s="2" t="s">
        <v>12</v>
      </c>
      <c r="CG2" s="2" t="s">
        <v>13</v>
      </c>
      <c r="CH2" s="2" t="s">
        <v>4</v>
      </c>
      <c r="CI2" s="2" t="s">
        <v>5</v>
      </c>
      <c r="CJ2" s="2" t="s">
        <v>6</v>
      </c>
      <c r="CK2" s="2" t="s">
        <v>7</v>
      </c>
      <c r="CL2" s="2" t="s">
        <v>8</v>
      </c>
      <c r="CM2" s="2" t="s">
        <v>9</v>
      </c>
      <c r="CN2" s="2" t="s">
        <v>10</v>
      </c>
      <c r="CO2" s="2" t="s">
        <v>11</v>
      </c>
      <c r="CP2" s="2" t="s">
        <v>12</v>
      </c>
      <c r="CQ2" s="2" t="s">
        <v>13</v>
      </c>
      <c r="CR2" s="2" t="s">
        <v>4</v>
      </c>
      <c r="CS2" s="2" t="s">
        <v>5</v>
      </c>
      <c r="CT2" s="2" t="s">
        <v>6</v>
      </c>
      <c r="CU2" s="2" t="s">
        <v>7</v>
      </c>
      <c r="CV2" s="2" t="s">
        <v>8</v>
      </c>
      <c r="CW2" s="2" t="s">
        <v>9</v>
      </c>
      <c r="CX2" s="2" t="s">
        <v>10</v>
      </c>
      <c r="CY2" s="2" t="s">
        <v>11</v>
      </c>
      <c r="CZ2" s="2" t="s">
        <v>12</v>
      </c>
      <c r="DA2" s="2" t="s">
        <v>13</v>
      </c>
      <c r="DB2" s="2" t="s">
        <v>4</v>
      </c>
      <c r="DC2" s="2" t="s">
        <v>5</v>
      </c>
      <c r="DD2" s="2" t="s">
        <v>6</v>
      </c>
      <c r="DE2" s="2" t="s">
        <v>7</v>
      </c>
      <c r="DF2" s="2" t="s">
        <v>8</v>
      </c>
      <c r="DG2" s="2" t="s">
        <v>9</v>
      </c>
      <c r="DH2" s="2" t="s">
        <v>10</v>
      </c>
      <c r="DI2" s="2" t="s">
        <v>11</v>
      </c>
      <c r="DJ2" s="2" t="s">
        <v>12</v>
      </c>
      <c r="DK2" s="2" t="s">
        <v>13</v>
      </c>
    </row>
    <row r="3" spans="1:115" x14ac:dyDescent="0.3">
      <c r="A3" s="10" t="s">
        <v>24</v>
      </c>
      <c r="C3" s="7"/>
      <c r="D3" s="7"/>
      <c r="E3" s="7"/>
      <c r="F3" s="7"/>
      <c r="G3" s="7"/>
      <c r="H3" s="7"/>
      <c r="I3" s="7"/>
      <c r="J3" s="7"/>
      <c r="K3" s="7"/>
      <c r="L3" s="7"/>
      <c r="M3" s="7"/>
      <c r="N3" s="7"/>
      <c r="O3" s="7"/>
      <c r="P3" s="7"/>
      <c r="Q3" s="7"/>
      <c r="R3" s="7"/>
      <c r="S3" s="7"/>
      <c r="T3" s="7"/>
      <c r="U3" s="7"/>
      <c r="V3" s="7"/>
      <c r="W3" s="7"/>
      <c r="X3" s="7"/>
      <c r="Y3" s="7"/>
      <c r="Z3" s="7"/>
      <c r="AA3" s="7"/>
      <c r="AB3" s="7"/>
      <c r="AC3" s="7"/>
      <c r="AD3" s="7"/>
      <c r="AE3" s="8"/>
      <c r="AF3" s="7"/>
      <c r="AG3" s="7"/>
      <c r="AH3" s="7"/>
      <c r="AI3" s="7"/>
      <c r="AJ3" s="7"/>
      <c r="AK3" s="7"/>
      <c r="AL3" s="7"/>
      <c r="AM3" s="7"/>
      <c r="AN3" s="7"/>
      <c r="AO3" s="7"/>
      <c r="AP3" s="7"/>
      <c r="AQ3" s="7"/>
      <c r="AR3" s="7"/>
      <c r="AS3" s="7"/>
      <c r="AT3" s="7"/>
      <c r="AU3" s="7"/>
      <c r="AV3" s="7"/>
      <c r="AW3" s="9"/>
      <c r="AX3" s="7"/>
    </row>
    <row r="4" spans="1:115" s="13" customFormat="1" ht="13.2" x14ac:dyDescent="0.3">
      <c r="A4" s="12" t="s">
        <v>25</v>
      </c>
      <c r="C4" s="14">
        <v>40190</v>
      </c>
      <c r="D4" s="14">
        <v>40190</v>
      </c>
      <c r="E4" s="14">
        <v>40190</v>
      </c>
      <c r="F4" s="14">
        <v>40190</v>
      </c>
      <c r="G4" s="14">
        <v>40186</v>
      </c>
      <c r="H4" s="14">
        <v>40186</v>
      </c>
      <c r="I4" s="14">
        <v>40186</v>
      </c>
      <c r="J4" s="14">
        <v>40183</v>
      </c>
      <c r="K4" s="14">
        <v>40183</v>
      </c>
      <c r="L4" s="14">
        <v>40183</v>
      </c>
      <c r="M4" s="14">
        <v>40217</v>
      </c>
      <c r="N4" s="14">
        <v>40217</v>
      </c>
      <c r="O4" s="14">
        <v>40217</v>
      </c>
      <c r="P4" s="14">
        <v>40217</v>
      </c>
      <c r="Q4" s="14">
        <v>40218</v>
      </c>
      <c r="R4" s="14">
        <v>40218</v>
      </c>
      <c r="S4" s="14">
        <v>40218</v>
      </c>
      <c r="T4" s="14">
        <v>40214</v>
      </c>
      <c r="U4" s="14">
        <v>40214</v>
      </c>
      <c r="V4" s="14">
        <v>40214</v>
      </c>
      <c r="W4" s="14">
        <v>40239</v>
      </c>
      <c r="X4" s="14">
        <v>40239</v>
      </c>
      <c r="Y4" s="14">
        <v>40239</v>
      </c>
      <c r="Z4" s="14">
        <v>40239</v>
      </c>
      <c r="AA4" s="14">
        <v>40242</v>
      </c>
      <c r="AB4" s="14">
        <v>40242</v>
      </c>
      <c r="AC4" s="14">
        <v>40242</v>
      </c>
      <c r="AD4" s="14">
        <v>40245</v>
      </c>
      <c r="AE4" s="14">
        <v>40245</v>
      </c>
      <c r="AF4" s="14">
        <v>40245</v>
      </c>
      <c r="AG4" s="14">
        <v>40254</v>
      </c>
      <c r="AH4" s="14">
        <v>40254</v>
      </c>
      <c r="AI4" s="14">
        <v>40254</v>
      </c>
      <c r="AJ4" s="14">
        <v>40254</v>
      </c>
      <c r="AK4" s="14">
        <v>40268</v>
      </c>
      <c r="AL4" s="14">
        <v>40268</v>
      </c>
      <c r="AM4" s="14">
        <v>40268</v>
      </c>
      <c r="AN4" s="14">
        <v>40268</v>
      </c>
      <c r="AO4" s="14">
        <v>40269</v>
      </c>
      <c r="AP4" s="14">
        <v>40269</v>
      </c>
      <c r="AQ4" s="13">
        <v>40269</v>
      </c>
      <c r="AR4" s="13">
        <v>40274</v>
      </c>
      <c r="AT4" s="13">
        <v>40274</v>
      </c>
      <c r="AU4" s="13">
        <v>40302</v>
      </c>
      <c r="AV4" s="13">
        <v>40302</v>
      </c>
      <c r="AW4" s="13">
        <v>40302</v>
      </c>
      <c r="AX4" s="13">
        <v>40302</v>
      </c>
      <c r="AY4" s="13">
        <v>40303</v>
      </c>
      <c r="AZ4" s="13">
        <v>40303</v>
      </c>
      <c r="BA4" s="13">
        <v>40303</v>
      </c>
      <c r="BB4" s="13">
        <v>40301</v>
      </c>
      <c r="BC4" s="13">
        <v>40301</v>
      </c>
      <c r="BD4" s="13">
        <v>40301</v>
      </c>
      <c r="BE4" s="13">
        <v>40367</v>
      </c>
      <c r="BF4" s="13">
        <v>40367</v>
      </c>
      <c r="BG4" s="13">
        <v>40367</v>
      </c>
      <c r="BH4" s="13">
        <v>40368</v>
      </c>
      <c r="BI4" s="13">
        <v>40368</v>
      </c>
      <c r="BJ4" s="13">
        <v>40368</v>
      </c>
      <c r="BN4" s="13">
        <v>40393</v>
      </c>
      <c r="BO4" s="13">
        <v>40393</v>
      </c>
      <c r="BP4" s="13">
        <v>40393</v>
      </c>
      <c r="BQ4" s="13">
        <v>40393</v>
      </c>
      <c r="BS4" s="13">
        <v>40394</v>
      </c>
      <c r="BT4" s="13">
        <v>40394</v>
      </c>
      <c r="BY4" s="13">
        <v>40421</v>
      </c>
      <c r="CA4" s="13">
        <v>40421</v>
      </c>
      <c r="CB4" s="13">
        <v>40422</v>
      </c>
      <c r="CC4" s="13">
        <v>40422</v>
      </c>
      <c r="CD4" s="13">
        <v>40422</v>
      </c>
      <c r="CE4" s="13">
        <v>40422</v>
      </c>
      <c r="CH4" s="13">
        <v>40463</v>
      </c>
      <c r="CI4" s="13">
        <v>40463</v>
      </c>
      <c r="CJ4" s="13">
        <v>40463</v>
      </c>
      <c r="CK4" s="13">
        <v>40463</v>
      </c>
      <c r="CL4" s="13">
        <v>40463</v>
      </c>
      <c r="CM4" s="13">
        <v>40463</v>
      </c>
      <c r="CN4" s="13">
        <v>40464</v>
      </c>
      <c r="CO4" s="13">
        <v>40457</v>
      </c>
      <c r="CP4" s="13">
        <v>40457</v>
      </c>
      <c r="CQ4" s="13">
        <v>40457</v>
      </c>
      <c r="CR4" s="13">
        <v>40483</v>
      </c>
      <c r="CS4" s="13">
        <v>40483</v>
      </c>
      <c r="CT4" s="13">
        <v>40483</v>
      </c>
      <c r="CU4" s="13">
        <v>40483</v>
      </c>
      <c r="CV4" s="13">
        <v>40487</v>
      </c>
      <c r="CW4" s="13">
        <v>40487</v>
      </c>
      <c r="CX4" s="13">
        <v>40485</v>
      </c>
      <c r="CY4" s="13">
        <v>40485</v>
      </c>
      <c r="CZ4" s="13">
        <v>40485</v>
      </c>
      <c r="DB4" s="13">
        <v>40514</v>
      </c>
      <c r="DC4" s="13">
        <v>40514</v>
      </c>
      <c r="DD4" s="13">
        <v>40514</v>
      </c>
      <c r="DE4" s="13">
        <v>40514</v>
      </c>
      <c r="DF4" s="13">
        <v>40515</v>
      </c>
      <c r="DG4" s="13">
        <v>40515</v>
      </c>
      <c r="DH4" s="13">
        <v>40511</v>
      </c>
      <c r="DI4" s="13">
        <v>40511</v>
      </c>
      <c r="DJ4" s="13">
        <v>40511</v>
      </c>
    </row>
    <row r="5" spans="1:115" x14ac:dyDescent="0.3">
      <c r="B5" s="11" t="s">
        <v>26</v>
      </c>
      <c r="C5" s="15">
        <f>1*200/50*1000</f>
        <v>4000</v>
      </c>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4"/>
      <c r="AR5" s="4"/>
      <c r="AS5" s="4"/>
      <c r="AT5" s="4"/>
      <c r="AU5" s="4"/>
      <c r="AV5" s="4"/>
      <c r="AW5" s="4">
        <f>3*200/50*1000</f>
        <v>12000</v>
      </c>
      <c r="AX5" s="4"/>
      <c r="AY5" s="4"/>
      <c r="AZ5" s="4"/>
      <c r="BA5" s="4"/>
      <c r="BB5" s="4"/>
      <c r="BC5" s="4"/>
      <c r="BD5" s="4"/>
      <c r="BE5" s="4"/>
      <c r="BF5" s="4"/>
      <c r="BG5" s="4"/>
      <c r="BH5" s="4"/>
      <c r="BI5" s="4"/>
      <c r="BJ5" s="4"/>
      <c r="BK5" s="4"/>
      <c r="BL5" s="4"/>
      <c r="BM5" s="4"/>
      <c r="BN5" s="4"/>
      <c r="BO5" s="4"/>
      <c r="BP5" s="4"/>
      <c r="BQ5" s="4"/>
      <c r="BR5" s="4"/>
      <c r="BS5" s="4"/>
      <c r="BU5" s="4"/>
      <c r="BV5" s="4"/>
      <c r="BW5" s="4"/>
      <c r="BX5" s="4"/>
      <c r="BY5" s="4"/>
      <c r="BZ5" s="4"/>
      <c r="CA5" s="4"/>
      <c r="CB5" s="4"/>
      <c r="CC5" s="4"/>
      <c r="CD5" s="4"/>
      <c r="CE5" s="4"/>
      <c r="CF5" s="4"/>
      <c r="CG5" s="4"/>
      <c r="CH5" s="4"/>
      <c r="CI5" s="4"/>
      <c r="CJ5" s="4"/>
      <c r="CK5" s="4"/>
      <c r="CL5" s="4"/>
      <c r="CM5" s="4"/>
      <c r="CN5" s="4"/>
      <c r="CO5" s="4"/>
      <c r="CP5" s="4"/>
      <c r="CQ5" s="4"/>
      <c r="CR5" s="4"/>
      <c r="CS5" s="4"/>
      <c r="CT5" s="4"/>
    </row>
    <row r="6" spans="1:115" x14ac:dyDescent="0.3">
      <c r="A6" s="16" t="s">
        <v>27</v>
      </c>
      <c r="B6" s="17" t="s">
        <v>28</v>
      </c>
      <c r="C6" s="4">
        <f>1*200/50*1000</f>
        <v>4000</v>
      </c>
      <c r="D6" s="4"/>
      <c r="E6" s="4"/>
      <c r="F6" s="4"/>
      <c r="G6" s="4"/>
      <c r="H6" s="4"/>
      <c r="I6" s="4"/>
      <c r="J6" s="4"/>
      <c r="K6" s="4"/>
      <c r="L6" s="4"/>
      <c r="M6" s="4"/>
      <c r="N6" s="4"/>
      <c r="O6" s="4"/>
      <c r="P6" s="4"/>
      <c r="Q6" s="4">
        <v>424</v>
      </c>
      <c r="R6" s="4"/>
      <c r="S6" s="4"/>
      <c r="T6" s="4"/>
      <c r="U6" s="4">
        <v>400</v>
      </c>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U6" s="4"/>
      <c r="BV6" s="4"/>
      <c r="BW6" s="4"/>
      <c r="BX6" s="4"/>
      <c r="BY6" s="4"/>
      <c r="BZ6" s="4"/>
      <c r="CA6" s="4"/>
      <c r="CB6" s="4"/>
      <c r="CC6" s="4"/>
      <c r="CD6" s="4"/>
      <c r="CE6" s="4"/>
      <c r="CF6" s="4"/>
      <c r="CG6" s="4"/>
      <c r="CH6" s="4"/>
      <c r="CI6" s="4"/>
      <c r="CJ6" s="4"/>
      <c r="CK6" s="4"/>
      <c r="CL6" s="4"/>
      <c r="CM6" s="4"/>
      <c r="CN6" s="4"/>
      <c r="CO6" s="4"/>
      <c r="CP6" s="4"/>
      <c r="CQ6" s="4"/>
      <c r="CR6" s="4"/>
      <c r="CS6" s="4"/>
      <c r="CT6" s="4"/>
    </row>
    <row r="7" spans="1:115" x14ac:dyDescent="0.3">
      <c r="A7" s="16" t="s">
        <v>29</v>
      </c>
      <c r="B7" s="17" t="s">
        <v>30</v>
      </c>
      <c r="C7" s="4"/>
      <c r="D7" s="4"/>
      <c r="E7" s="4"/>
      <c r="F7" s="4"/>
      <c r="G7" s="4"/>
      <c r="H7" s="4"/>
      <c r="I7" s="4"/>
      <c r="J7" s="4">
        <f>0.2*200/50*1000</f>
        <v>800</v>
      </c>
      <c r="K7" s="4">
        <f>1.1*200*1.03/50*1000</f>
        <v>4532</v>
      </c>
      <c r="L7" s="4">
        <f>0.5*200/50*1000</f>
        <v>2000</v>
      </c>
      <c r="M7" s="4">
        <v>2996</v>
      </c>
      <c r="N7" s="4">
        <v>6240</v>
      </c>
      <c r="O7" s="4">
        <v>2472</v>
      </c>
      <c r="P7" s="4">
        <v>5136</v>
      </c>
      <c r="Q7" s="4">
        <v>6784</v>
      </c>
      <c r="R7" s="4">
        <v>12064</v>
      </c>
      <c r="S7" s="4">
        <v>12000</v>
      </c>
      <c r="T7" s="4">
        <v>9200</v>
      </c>
      <c r="U7" s="4">
        <v>53600</v>
      </c>
      <c r="V7" s="4">
        <v>82400</v>
      </c>
      <c r="W7" s="4">
        <v>14008</v>
      </c>
      <c r="X7" s="4">
        <v>3164</v>
      </c>
      <c r="Y7" s="4">
        <v>6000</v>
      </c>
      <c r="Z7" s="4">
        <v>3200</v>
      </c>
      <c r="AA7" s="4">
        <v>4600</v>
      </c>
      <c r="AB7" s="4">
        <v>23976</v>
      </c>
      <c r="AC7" s="4">
        <v>2000</v>
      </c>
      <c r="AD7" s="4">
        <v>79600</v>
      </c>
      <c r="AE7" s="4">
        <v>32400</v>
      </c>
      <c r="AF7" s="4">
        <v>89856</v>
      </c>
      <c r="AG7" s="4">
        <v>800</v>
      </c>
      <c r="AH7" s="4">
        <v>3200</v>
      </c>
      <c r="AI7" s="4">
        <v>800</v>
      </c>
      <c r="AJ7" s="4"/>
      <c r="AK7" s="4">
        <v>1200</v>
      </c>
      <c r="AL7" s="4">
        <v>1248</v>
      </c>
      <c r="AM7" s="4"/>
      <c r="AN7" s="4"/>
      <c r="AO7" s="4"/>
      <c r="AP7" s="4">
        <v>1600</v>
      </c>
      <c r="AQ7" s="4">
        <v>33200</v>
      </c>
      <c r="AR7" s="4"/>
      <c r="AS7" s="4"/>
      <c r="AT7" s="4">
        <v>12400</v>
      </c>
      <c r="AU7" s="4">
        <v>800</v>
      </c>
      <c r="AV7" s="4">
        <v>800</v>
      </c>
      <c r="AW7" s="4"/>
      <c r="AX7" s="4"/>
      <c r="AY7" s="4"/>
      <c r="AZ7" s="4"/>
      <c r="BA7" s="4"/>
      <c r="BB7" s="4"/>
      <c r="BC7" s="4"/>
      <c r="BD7" s="4">
        <f>1*200/50*1000</f>
        <v>4000</v>
      </c>
      <c r="BE7" s="4">
        <f>1*200/50*1000</f>
        <v>4000</v>
      </c>
      <c r="BF7" s="4"/>
      <c r="BG7" s="4"/>
      <c r="BH7" s="4"/>
      <c r="BI7" s="4"/>
      <c r="BJ7" s="4"/>
      <c r="BK7" s="4"/>
      <c r="BL7" s="4"/>
      <c r="BM7" s="4"/>
      <c r="BN7" s="4"/>
      <c r="BO7" s="4"/>
      <c r="BP7" s="4"/>
      <c r="BQ7" s="4"/>
      <c r="BR7" s="4"/>
      <c r="BS7" s="4"/>
      <c r="BU7" s="4"/>
      <c r="BV7" s="4"/>
      <c r="BW7" s="4"/>
      <c r="BX7" s="4"/>
      <c r="BY7" s="4"/>
      <c r="BZ7" s="4"/>
      <c r="CA7" s="4"/>
      <c r="CB7" s="4"/>
      <c r="CC7" s="4">
        <v>106912.44239631336</v>
      </c>
      <c r="CD7" s="4">
        <v>53571.428571428572</v>
      </c>
      <c r="CE7" s="4">
        <v>12000</v>
      </c>
      <c r="CF7" s="4"/>
      <c r="CG7" s="4"/>
      <c r="CH7" s="4"/>
      <c r="CI7" s="4"/>
      <c r="CJ7" s="4"/>
      <c r="CK7" s="4"/>
      <c r="CL7" s="4"/>
      <c r="CM7" s="4"/>
      <c r="CN7" s="4"/>
      <c r="CO7" s="4">
        <v>3773.5849056603774</v>
      </c>
      <c r="CP7" s="4">
        <v>3636.363636363636</v>
      </c>
      <c r="CQ7" s="4">
        <v>3571.4285714285711</v>
      </c>
      <c r="CR7" s="4"/>
      <c r="CS7" s="4"/>
      <c r="CT7" s="4"/>
    </row>
    <row r="8" spans="1:115" x14ac:dyDescent="0.3">
      <c r="A8" s="16" t="s">
        <v>31</v>
      </c>
      <c r="B8" s="17" t="s">
        <v>32</v>
      </c>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U8" s="4"/>
      <c r="BV8" s="4"/>
      <c r="BW8" s="4"/>
      <c r="BX8" s="4"/>
      <c r="BY8" s="4"/>
      <c r="BZ8" s="4"/>
      <c r="CA8" s="4"/>
      <c r="CB8" s="4"/>
      <c r="CC8" s="4"/>
      <c r="CD8" s="4"/>
      <c r="CE8" s="4"/>
      <c r="CF8" s="4"/>
      <c r="CG8" s="4"/>
      <c r="CH8" s="4"/>
      <c r="CI8" s="4"/>
      <c r="CJ8" s="4"/>
      <c r="CK8" s="4"/>
      <c r="CL8" s="4"/>
      <c r="CM8" s="4"/>
      <c r="CN8" s="4"/>
      <c r="CO8" s="4"/>
      <c r="CP8" s="4"/>
      <c r="CQ8" s="4"/>
      <c r="CR8" s="4"/>
      <c r="CS8" s="4"/>
      <c r="CT8" s="4"/>
    </row>
    <row r="9" spans="1:115" x14ac:dyDescent="0.3">
      <c r="A9" s="16" t="s">
        <v>33</v>
      </c>
      <c r="B9" s="17" t="s">
        <v>34</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v>3333.3333333333339</v>
      </c>
      <c r="BQ9" s="4"/>
      <c r="BR9" s="4"/>
      <c r="BS9" s="4"/>
      <c r="BU9" s="4"/>
      <c r="BV9" s="4"/>
      <c r="BW9" s="4"/>
      <c r="BX9" s="4"/>
      <c r="BY9" s="4"/>
      <c r="BZ9" s="4"/>
      <c r="CA9" s="4"/>
      <c r="CB9" s="4"/>
      <c r="CC9" s="4"/>
      <c r="CD9" s="4">
        <v>3571.4285714285711</v>
      </c>
      <c r="CE9" s="4"/>
      <c r="CF9" s="4"/>
      <c r="CG9" s="4"/>
      <c r="CH9" s="4"/>
      <c r="CI9" s="4"/>
      <c r="CJ9" s="4"/>
      <c r="CK9" s="4"/>
      <c r="CL9" s="4"/>
      <c r="CM9" s="4"/>
      <c r="CN9" s="4"/>
      <c r="CO9" s="4"/>
      <c r="CP9" s="4"/>
      <c r="CQ9" s="4"/>
      <c r="CR9" s="4"/>
      <c r="CS9" s="4"/>
      <c r="CT9" s="4"/>
    </row>
    <row r="10" spans="1:115" x14ac:dyDescent="0.3">
      <c r="A10" s="16"/>
      <c r="B10" s="17" t="s">
        <v>35</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U10" s="4"/>
      <c r="BV10" s="4"/>
      <c r="BW10" s="4"/>
      <c r="BX10" s="4"/>
      <c r="BY10" s="4"/>
      <c r="BZ10" s="4"/>
      <c r="CA10" s="4"/>
      <c r="CB10" s="4"/>
      <c r="CC10" s="4"/>
      <c r="CD10" s="4"/>
      <c r="CE10" s="4"/>
      <c r="CF10" s="4"/>
      <c r="CG10" s="4"/>
      <c r="CH10" s="4"/>
      <c r="CI10" s="4"/>
      <c r="CJ10" s="4">
        <v>22222</v>
      </c>
      <c r="CK10" s="4">
        <v>7843</v>
      </c>
      <c r="CL10" s="4"/>
      <c r="CM10" s="4"/>
      <c r="CN10" s="4"/>
      <c r="CO10" s="4"/>
      <c r="CP10" s="4"/>
      <c r="CQ10" s="4"/>
      <c r="CR10" s="4"/>
      <c r="CS10" s="4">
        <v>1695</v>
      </c>
      <c r="CT10" s="4"/>
      <c r="DJ10" s="4">
        <v>1071.4285714285713</v>
      </c>
    </row>
    <row r="11" spans="1:115" ht="17.399999999999999" x14ac:dyDescent="0.3">
      <c r="A11" s="16" t="s">
        <v>36</v>
      </c>
      <c r="B11" s="17" t="s">
        <v>37</v>
      </c>
      <c r="C11" s="18"/>
      <c r="D11" s="4"/>
      <c r="E11" s="4"/>
      <c r="F11" s="4"/>
      <c r="G11" s="4"/>
      <c r="H11" s="4"/>
      <c r="I11" s="4"/>
      <c r="J11" s="4"/>
      <c r="K11" s="4">
        <f>1.1*200*1.03/50*1000</f>
        <v>4532</v>
      </c>
      <c r="L11" s="4">
        <f>0.7*4000</f>
        <v>2800</v>
      </c>
      <c r="M11" s="4"/>
      <c r="N11" s="4">
        <v>7800</v>
      </c>
      <c r="O11" s="4">
        <v>4120</v>
      </c>
      <c r="P11" s="4">
        <v>6848</v>
      </c>
      <c r="Q11" s="4">
        <v>8132</v>
      </c>
      <c r="R11" s="4">
        <v>6240</v>
      </c>
      <c r="S11" s="4">
        <v>7200</v>
      </c>
      <c r="T11" s="4">
        <v>10800</v>
      </c>
      <c r="U11" s="4">
        <v>10000</v>
      </c>
      <c r="V11" s="4">
        <v>8800</v>
      </c>
      <c r="W11" s="4">
        <v>8240</v>
      </c>
      <c r="X11" s="4">
        <v>6780</v>
      </c>
      <c r="Y11" s="4">
        <v>14400</v>
      </c>
      <c r="Z11" s="4">
        <v>28000</v>
      </c>
      <c r="AA11" s="4">
        <v>5060</v>
      </c>
      <c r="AB11" s="4">
        <v>8436</v>
      </c>
      <c r="AC11" s="4">
        <v>2400</v>
      </c>
      <c r="AD11" s="4">
        <v>4000</v>
      </c>
      <c r="AE11" s="4">
        <v>6000</v>
      </c>
      <c r="AF11" s="4">
        <v>13312</v>
      </c>
      <c r="AG11" s="4">
        <v>9200</v>
      </c>
      <c r="AH11" s="4">
        <v>11600</v>
      </c>
      <c r="AI11" s="4">
        <v>18000</v>
      </c>
      <c r="AJ11" s="4"/>
      <c r="AK11" s="4">
        <v>20800</v>
      </c>
      <c r="AL11" s="4">
        <v>59488</v>
      </c>
      <c r="AM11" s="4">
        <v>32400</v>
      </c>
      <c r="AN11" s="4">
        <v>24400</v>
      </c>
      <c r="AO11" s="4">
        <v>56000</v>
      </c>
      <c r="AP11" s="4">
        <v>35200</v>
      </c>
      <c r="AQ11" s="4">
        <v>800</v>
      </c>
      <c r="AR11" s="4">
        <v>800</v>
      </c>
      <c r="AS11" s="4"/>
      <c r="AT11" s="4">
        <v>1600</v>
      </c>
      <c r="AU11" s="4"/>
      <c r="AV11" s="4">
        <v>400</v>
      </c>
      <c r="AW11" s="4">
        <f>0.5*200/50*1000</f>
        <v>2000</v>
      </c>
      <c r="AX11" s="4"/>
      <c r="AY11" s="4">
        <f>10*200*1.27/50*1000</f>
        <v>50800</v>
      </c>
      <c r="AZ11" s="4"/>
      <c r="BA11" s="4"/>
      <c r="BB11" s="4"/>
      <c r="BC11" s="4"/>
      <c r="BD11" s="4"/>
      <c r="BE11" s="4"/>
      <c r="BF11" s="4"/>
      <c r="BG11" s="4"/>
      <c r="BH11" s="4"/>
      <c r="BI11" s="4"/>
      <c r="BJ11" s="4"/>
      <c r="BK11" s="4"/>
      <c r="BL11" s="4"/>
      <c r="BM11" s="4"/>
      <c r="BN11" s="4"/>
      <c r="BO11" s="4"/>
      <c r="BP11" s="4">
        <v>10000</v>
      </c>
      <c r="BQ11" s="4">
        <v>3921.5686274509803</v>
      </c>
      <c r="BR11" s="4"/>
      <c r="BS11" s="4">
        <v>12000</v>
      </c>
      <c r="BT11" s="4">
        <v>1000</v>
      </c>
      <c r="BU11" s="4"/>
      <c r="BV11" s="4"/>
      <c r="BW11" s="4"/>
      <c r="BX11" s="4"/>
      <c r="BY11" s="4"/>
      <c r="BZ11" s="4"/>
      <c r="CA11" s="4">
        <v>5714.2857142857147</v>
      </c>
      <c r="CB11" s="4">
        <v>12000</v>
      </c>
      <c r="CC11" s="4">
        <v>95852.534562211978</v>
      </c>
      <c r="CD11" s="4">
        <v>92857.142857142841</v>
      </c>
      <c r="CE11" s="4"/>
      <c r="CF11" s="4"/>
      <c r="CG11" s="4"/>
      <c r="CH11" s="4"/>
      <c r="CI11" s="4"/>
      <c r="CJ11" s="4"/>
      <c r="CK11" s="4"/>
      <c r="CL11" s="4"/>
      <c r="CM11" s="4"/>
      <c r="CN11" s="4"/>
      <c r="CO11" s="4"/>
      <c r="CP11" s="4"/>
      <c r="CQ11" s="4"/>
      <c r="CR11" s="4">
        <v>923.07692307692298</v>
      </c>
      <c r="CS11" s="4">
        <v>6779.6610169491532</v>
      </c>
      <c r="CT11" s="4">
        <v>12000</v>
      </c>
      <c r="CU11" s="4">
        <v>7619.0476190476193</v>
      </c>
      <c r="CV11" s="4"/>
      <c r="CX11" s="4">
        <v>3571.4285714285711</v>
      </c>
    </row>
    <row r="12" spans="1:115" ht="17.399999999999999" x14ac:dyDescent="0.3">
      <c r="A12" s="16" t="s">
        <v>38</v>
      </c>
      <c r="B12" s="17" t="s">
        <v>39</v>
      </c>
      <c r="C12" s="18"/>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f>9*4000</f>
        <v>36000</v>
      </c>
      <c r="BK12" s="4"/>
      <c r="BL12" s="4"/>
      <c r="BM12" s="4"/>
      <c r="BN12" s="4"/>
      <c r="BO12" s="4"/>
      <c r="BP12" s="4"/>
      <c r="BQ12" s="4"/>
      <c r="BR12" s="4"/>
      <c r="BS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X12" s="4"/>
    </row>
    <row r="13" spans="1:115" x14ac:dyDescent="0.3">
      <c r="A13" s="16"/>
      <c r="B13" s="17" t="s">
        <v>40</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f>0.5*200/50*1050</f>
        <v>2100</v>
      </c>
      <c r="BE13" s="4"/>
      <c r="BF13" s="4"/>
      <c r="BG13" s="4"/>
      <c r="BH13" s="4"/>
      <c r="BI13" s="4"/>
      <c r="BJ13" s="4"/>
      <c r="BK13" s="4"/>
      <c r="BL13" s="4"/>
      <c r="BM13" s="4"/>
      <c r="BN13" s="4"/>
      <c r="BO13" s="4"/>
      <c r="BP13" s="4"/>
      <c r="BQ13" s="4"/>
      <c r="BR13" s="4"/>
      <c r="BS13" s="4"/>
      <c r="BT13" s="4">
        <v>1000</v>
      </c>
      <c r="BU13" s="4"/>
      <c r="BV13" s="4"/>
      <c r="BW13" s="4"/>
      <c r="BX13" s="4"/>
      <c r="BY13" s="4"/>
      <c r="BZ13" s="4"/>
      <c r="CA13" s="4"/>
      <c r="CB13" s="4"/>
      <c r="CC13" s="4"/>
      <c r="CD13" s="4">
        <v>85714.28571428571</v>
      </c>
      <c r="CE13" s="4">
        <v>96000</v>
      </c>
      <c r="CF13" s="4"/>
      <c r="CG13" s="4"/>
      <c r="CH13" s="4">
        <v>26415.094339622639</v>
      </c>
      <c r="CI13" s="4"/>
      <c r="CJ13" s="4"/>
      <c r="CK13" s="4"/>
      <c r="CL13" s="4"/>
      <c r="CM13" s="4"/>
      <c r="CN13" s="4"/>
      <c r="CO13" s="4"/>
      <c r="CP13" s="4"/>
      <c r="CQ13" s="4"/>
      <c r="CR13" s="4"/>
      <c r="CS13" s="4"/>
      <c r="CT13" s="4"/>
      <c r="CU13" s="4"/>
      <c r="CX13" s="4"/>
    </row>
    <row r="14" spans="1:115" x14ac:dyDescent="0.3">
      <c r="A14" s="16"/>
      <c r="B14" s="17" t="s">
        <v>41</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v>1123.2</v>
      </c>
      <c r="AG14" s="4"/>
      <c r="AH14" s="4"/>
      <c r="AI14" s="4"/>
      <c r="AJ14" s="4"/>
      <c r="AK14" s="4"/>
      <c r="AL14" s="4"/>
      <c r="AM14" s="4">
        <v>800</v>
      </c>
      <c r="AN14" s="4"/>
      <c r="AO14" s="4">
        <v>3200</v>
      </c>
      <c r="AP14" s="4"/>
      <c r="AQ14" s="4"/>
      <c r="AR14" s="4"/>
      <c r="AS14" s="4"/>
      <c r="AT14" s="4"/>
      <c r="AU14" s="4"/>
      <c r="AV14" s="4"/>
      <c r="AW14" s="4"/>
      <c r="AX14" s="4"/>
      <c r="AY14" s="4"/>
      <c r="AZ14" s="4"/>
      <c r="BA14" s="4"/>
      <c r="BB14" s="4"/>
      <c r="BC14" s="4"/>
      <c r="BD14" s="4"/>
      <c r="BE14" s="4"/>
      <c r="BF14" s="4"/>
      <c r="BG14" s="4"/>
      <c r="BH14" s="4"/>
      <c r="BI14" s="4">
        <f>4*200/50*1000</f>
        <v>16000</v>
      </c>
      <c r="BJ14" s="4"/>
      <c r="BK14" s="4"/>
      <c r="BL14" s="4"/>
      <c r="BM14" s="4"/>
      <c r="BN14" s="4"/>
      <c r="BO14" s="4"/>
      <c r="BP14" s="4"/>
      <c r="BQ14" s="4"/>
      <c r="BR14" s="4"/>
      <c r="BS14" s="4"/>
      <c r="BU14" s="4"/>
      <c r="BV14" s="4"/>
      <c r="BW14" s="4"/>
      <c r="BX14" s="4"/>
      <c r="BY14" s="4"/>
      <c r="BZ14" s="4"/>
      <c r="CA14" s="4"/>
      <c r="CB14" s="4"/>
      <c r="CC14" s="4"/>
      <c r="CD14" s="4"/>
      <c r="CE14" s="4"/>
      <c r="CF14" s="4"/>
      <c r="CG14" s="4"/>
      <c r="CH14" s="4"/>
      <c r="CI14" s="4">
        <v>9803.9215686274511</v>
      </c>
      <c r="CJ14" s="4"/>
      <c r="CK14" s="4"/>
      <c r="CL14" s="4"/>
      <c r="CM14" s="4"/>
      <c r="CN14" s="4"/>
      <c r="CO14" s="4"/>
      <c r="CP14" s="4"/>
      <c r="CQ14" s="4"/>
      <c r="CR14" s="4"/>
      <c r="CS14" s="4"/>
      <c r="CT14" s="4"/>
      <c r="CU14" s="4"/>
      <c r="CX14" s="4"/>
    </row>
    <row r="15" spans="1:115" x14ac:dyDescent="0.3">
      <c r="A15" s="16"/>
      <c r="B15" s="17" t="s">
        <v>42</v>
      </c>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v>2400</v>
      </c>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X15" s="4"/>
    </row>
    <row r="16" spans="1:115" x14ac:dyDescent="0.3">
      <c r="A16" s="16"/>
      <c r="B16" s="17" t="s">
        <v>43</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X16" s="4"/>
    </row>
    <row r="17" spans="1:115" x14ac:dyDescent="0.3">
      <c r="A17" s="16"/>
      <c r="B17" s="17" t="s">
        <v>44</v>
      </c>
      <c r="C17" s="4"/>
      <c r="D17" s="4"/>
      <c r="E17" s="4"/>
      <c r="F17" s="4"/>
      <c r="G17" s="4"/>
      <c r="H17" s="4"/>
      <c r="I17" s="4"/>
      <c r="J17" s="4"/>
      <c r="K17" s="4"/>
      <c r="L17" s="4"/>
      <c r="M17" s="4"/>
      <c r="N17" s="4"/>
      <c r="O17" s="4"/>
      <c r="P17" s="4"/>
      <c r="Q17" s="4"/>
      <c r="R17" s="4"/>
      <c r="S17" s="4"/>
      <c r="T17" s="4">
        <v>400</v>
      </c>
      <c r="U17" s="4"/>
      <c r="V17" s="4"/>
      <c r="W17" s="4"/>
      <c r="X17" s="4"/>
      <c r="Y17" s="4"/>
      <c r="Z17" s="4"/>
      <c r="AA17" s="4"/>
      <c r="AB17" s="4"/>
      <c r="AC17" s="4"/>
      <c r="AD17" s="4"/>
      <c r="AE17" s="4"/>
      <c r="AF17" s="4"/>
      <c r="AG17" s="4"/>
      <c r="AH17" s="4"/>
      <c r="AI17" s="4"/>
      <c r="AJ17" s="4"/>
      <c r="AK17" s="4"/>
      <c r="AL17" s="4"/>
      <c r="AM17" s="4"/>
      <c r="AN17" s="4"/>
      <c r="AO17" s="4">
        <v>1200</v>
      </c>
      <c r="AP17" s="4">
        <v>1200</v>
      </c>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X17" s="4"/>
    </row>
    <row r="18" spans="1:115" x14ac:dyDescent="0.3">
      <c r="A18" s="16"/>
      <c r="B18" s="17" t="s">
        <v>45</v>
      </c>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X18" s="4"/>
    </row>
    <row r="19" spans="1:115" x14ac:dyDescent="0.3">
      <c r="A19" s="16"/>
      <c r="B19" s="17" t="s">
        <v>46</v>
      </c>
      <c r="C19" s="4">
        <f>1*200/50*1000</f>
        <v>4000</v>
      </c>
      <c r="D19" s="4"/>
      <c r="E19" s="4"/>
      <c r="F19" s="4"/>
      <c r="G19" s="4"/>
      <c r="H19" s="4"/>
      <c r="I19" s="4"/>
      <c r="J19" s="4"/>
      <c r="K19" s="4"/>
      <c r="L19" s="4"/>
      <c r="M19" s="4">
        <v>428</v>
      </c>
      <c r="N19" s="4">
        <v>1560</v>
      </c>
      <c r="O19" s="4"/>
      <c r="P19" s="4"/>
      <c r="Q19" s="4">
        <v>1272</v>
      </c>
      <c r="R19" s="4">
        <v>3744</v>
      </c>
      <c r="S19" s="4">
        <v>1200</v>
      </c>
      <c r="T19" s="4">
        <v>1200</v>
      </c>
      <c r="U19" s="4">
        <v>4800</v>
      </c>
      <c r="V19" s="4">
        <v>1600</v>
      </c>
      <c r="W19" s="4">
        <v>7416</v>
      </c>
      <c r="X19" s="4">
        <v>17628</v>
      </c>
      <c r="Y19" s="4">
        <v>15600</v>
      </c>
      <c r="Z19" s="4">
        <v>13600</v>
      </c>
      <c r="AA19" s="4">
        <v>9324</v>
      </c>
      <c r="AB19" s="4">
        <v>12876</v>
      </c>
      <c r="AC19" s="4">
        <v>2000</v>
      </c>
      <c r="AD19" s="4">
        <v>5600</v>
      </c>
      <c r="AE19" s="4">
        <v>6400</v>
      </c>
      <c r="AF19" s="4">
        <v>8736</v>
      </c>
      <c r="AG19" s="4">
        <v>6400</v>
      </c>
      <c r="AH19" s="4">
        <v>2400</v>
      </c>
      <c r="AI19" s="4"/>
      <c r="AJ19" s="4"/>
      <c r="AK19" s="4">
        <v>5200</v>
      </c>
      <c r="AL19" s="4">
        <v>7072</v>
      </c>
      <c r="AM19" s="4">
        <v>5600</v>
      </c>
      <c r="AN19" s="4">
        <v>7200</v>
      </c>
      <c r="AO19" s="4">
        <v>5200</v>
      </c>
      <c r="AP19" s="4">
        <v>9200</v>
      </c>
      <c r="AQ19" s="4">
        <v>4000</v>
      </c>
      <c r="AR19" s="4"/>
      <c r="AS19" s="4"/>
      <c r="AT19" s="4">
        <v>12000</v>
      </c>
      <c r="AU19" s="4">
        <v>32800</v>
      </c>
      <c r="AV19" s="4">
        <v>2400</v>
      </c>
      <c r="AW19" s="4"/>
      <c r="AX19" s="4"/>
      <c r="AY19" s="4"/>
      <c r="AZ19" s="4"/>
      <c r="BA19" s="4"/>
      <c r="BB19" s="4"/>
      <c r="BC19" s="4"/>
      <c r="BD19" s="4">
        <f>1*200/50*1050</f>
        <v>4200</v>
      </c>
      <c r="BE19" s="4"/>
      <c r="BF19" s="4">
        <f>1.5*200*1.17/50*1000</f>
        <v>7020</v>
      </c>
      <c r="BG19" s="4">
        <f>1*200/50*1000</f>
        <v>4000</v>
      </c>
      <c r="BH19" s="4"/>
      <c r="BI19" s="4">
        <v>16000</v>
      </c>
      <c r="BJ19" s="4"/>
      <c r="BK19" s="4"/>
      <c r="BL19" s="4"/>
      <c r="BM19" s="4"/>
      <c r="BN19" s="4">
        <f>19*200/1.25/50*1000</f>
        <v>60800</v>
      </c>
      <c r="BO19" s="4">
        <v>6400</v>
      </c>
      <c r="BP19" s="4">
        <v>30000</v>
      </c>
      <c r="BQ19" s="4">
        <v>3921.5686274509803</v>
      </c>
      <c r="BR19" s="4"/>
      <c r="BS19" s="4"/>
      <c r="BU19" s="4"/>
      <c r="BV19" s="4"/>
      <c r="BW19" s="4"/>
      <c r="BX19" s="4"/>
      <c r="BY19" s="4">
        <v>600</v>
      </c>
      <c r="BZ19" s="4"/>
      <c r="CA19" s="4">
        <v>5714.2857142857147</v>
      </c>
      <c r="CB19" s="4">
        <v>124000</v>
      </c>
      <c r="CC19" s="4">
        <v>62672.811059907835</v>
      </c>
      <c r="CD19" s="4">
        <v>67857.142857142841</v>
      </c>
      <c r="CE19" s="4">
        <v>36000</v>
      </c>
      <c r="CF19" s="4"/>
      <c r="CG19" s="4"/>
      <c r="CH19" s="4">
        <v>11320.754716981133</v>
      </c>
      <c r="CI19" s="4">
        <v>47058.823529411769</v>
      </c>
      <c r="CJ19" s="4">
        <v>96296.296296296292</v>
      </c>
      <c r="CK19" s="4">
        <v>50980.392156862741</v>
      </c>
      <c r="CL19" s="4">
        <v>69090.909090909074</v>
      </c>
      <c r="CM19" s="4">
        <v>84000</v>
      </c>
      <c r="CN19" s="4">
        <v>8000</v>
      </c>
      <c r="CO19" s="4">
        <v>3773.5849056603774</v>
      </c>
      <c r="CP19" s="4"/>
      <c r="CQ19" s="4">
        <v>32142.857142857138</v>
      </c>
      <c r="CR19" s="4">
        <v>21538.461538461535</v>
      </c>
      <c r="CS19" s="4">
        <v>40677.966101694918</v>
      </c>
      <c r="CT19" s="4">
        <v>40000</v>
      </c>
      <c r="CU19" s="4">
        <v>26666.666666666664</v>
      </c>
      <c r="CV19" s="4"/>
      <c r="CW19" s="4">
        <v>5906.040268456376</v>
      </c>
      <c r="CX19" s="4">
        <v>7142.8571428571422</v>
      </c>
      <c r="CY19" s="4">
        <v>23529.411764705885</v>
      </c>
      <c r="CZ19" s="4">
        <v>7843.1372549019607</v>
      </c>
      <c r="DA19" s="4"/>
      <c r="DB19" s="4">
        <v>10714.285714285714</v>
      </c>
      <c r="DC19" s="4"/>
      <c r="DD19" s="4">
        <v>3773.5849056603774</v>
      </c>
      <c r="DE19" s="4">
        <v>18181.81818181818</v>
      </c>
      <c r="DF19" s="4">
        <v>3846.1538461538457</v>
      </c>
      <c r="DG19" s="4">
        <v>19230.76923076923</v>
      </c>
      <c r="DH19" s="4">
        <v>40000</v>
      </c>
      <c r="DI19" s="4">
        <v>8000</v>
      </c>
      <c r="DJ19" s="4">
        <v>10714.285714285714</v>
      </c>
      <c r="DK19" s="4"/>
    </row>
    <row r="20" spans="1:115" x14ac:dyDescent="0.3">
      <c r="A20" s="16" t="s">
        <v>47</v>
      </c>
      <c r="B20" s="17" t="s">
        <v>48</v>
      </c>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v>400</v>
      </c>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W20" s="4"/>
      <c r="CX20" s="4"/>
      <c r="CY20" s="4"/>
      <c r="CZ20" s="4"/>
      <c r="DA20" s="4"/>
      <c r="DB20" s="4"/>
      <c r="DD20" s="4"/>
      <c r="DE20" s="4"/>
      <c r="DF20" s="4"/>
      <c r="DG20" s="4"/>
      <c r="DH20" s="4"/>
      <c r="DI20" s="4"/>
      <c r="DJ20" s="4"/>
    </row>
    <row r="21" spans="1:115" x14ac:dyDescent="0.3">
      <c r="A21" s="16" t="s">
        <v>49</v>
      </c>
      <c r="B21" s="17" t="s">
        <v>50</v>
      </c>
      <c r="C21" s="4"/>
      <c r="D21" s="4"/>
      <c r="E21" s="4">
        <f>0.25*200/50*1000</f>
        <v>1000</v>
      </c>
      <c r="F21" s="4"/>
      <c r="G21" s="4"/>
      <c r="H21" s="4"/>
      <c r="I21" s="4"/>
      <c r="J21" s="4"/>
      <c r="K21" s="4"/>
      <c r="L21" s="4"/>
      <c r="M21" s="4"/>
      <c r="N21" s="4"/>
      <c r="O21" s="4"/>
      <c r="P21" s="4"/>
      <c r="Q21" s="4">
        <v>424</v>
      </c>
      <c r="R21" s="4"/>
      <c r="S21" s="4"/>
      <c r="T21" s="4"/>
      <c r="U21" s="4"/>
      <c r="V21" s="4"/>
      <c r="W21" s="4"/>
      <c r="X21" s="4"/>
      <c r="Y21" s="4"/>
      <c r="Z21" s="4"/>
      <c r="AA21" s="4"/>
      <c r="AB21" s="4"/>
      <c r="AC21" s="4"/>
      <c r="AD21" s="4">
        <v>400</v>
      </c>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f>2*200*1.17/50*1000</f>
        <v>9360</v>
      </c>
      <c r="BG21" s="4"/>
      <c r="BH21" s="4"/>
      <c r="BI21" s="4"/>
      <c r="BJ21" s="4"/>
      <c r="BK21" s="4"/>
      <c r="BL21" s="4"/>
      <c r="BM21" s="4"/>
      <c r="BN21" s="4"/>
      <c r="BO21" s="4"/>
      <c r="BP21" s="4"/>
      <c r="BQ21" s="4"/>
      <c r="BR21" s="4"/>
      <c r="BS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W21" s="4">
        <v>80.536912751677846</v>
      </c>
      <c r="CX21" s="4"/>
      <c r="CY21" s="4"/>
      <c r="CZ21" s="4"/>
      <c r="DA21" s="4"/>
      <c r="DB21" s="4"/>
      <c r="DC21" s="4">
        <v>3571.4285714285711</v>
      </c>
      <c r="DD21" s="4"/>
      <c r="DE21" s="4"/>
      <c r="DF21" s="4"/>
      <c r="DG21" s="4"/>
      <c r="DH21" s="4"/>
      <c r="DI21" s="4"/>
      <c r="DJ21" s="4"/>
    </row>
    <row r="22" spans="1:115" ht="15.6" x14ac:dyDescent="0.3">
      <c r="A22" s="16" t="s">
        <v>51</v>
      </c>
      <c r="B22" s="17" t="s">
        <v>52</v>
      </c>
      <c r="C22" s="19"/>
      <c r="D22" s="4"/>
      <c r="E22" s="4">
        <v>2000</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f>1*200/50*1.27*1000</f>
        <v>5080</v>
      </c>
      <c r="AZ22" s="4"/>
      <c r="BA22" s="4"/>
      <c r="BB22" s="4"/>
      <c r="BC22" s="4"/>
      <c r="BD22" s="4"/>
      <c r="BE22" s="4"/>
      <c r="BF22" s="4"/>
      <c r="BG22" s="4"/>
      <c r="BH22" s="4"/>
      <c r="BI22" s="4"/>
      <c r="BJ22" s="4"/>
      <c r="BK22" s="4"/>
      <c r="BL22" s="4"/>
      <c r="BM22" s="4"/>
      <c r="BN22" s="4"/>
      <c r="BO22" s="4"/>
      <c r="BP22" s="4"/>
      <c r="BQ22" s="4"/>
      <c r="BR22" s="4"/>
      <c r="BS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W22" s="4"/>
      <c r="CX22" s="4"/>
      <c r="CY22" s="4"/>
      <c r="CZ22" s="4"/>
      <c r="DA22" s="4"/>
      <c r="DB22" s="4"/>
      <c r="DC22" s="4"/>
      <c r="DD22" s="4"/>
      <c r="DE22" s="4"/>
      <c r="DF22" s="4">
        <v>1153.846153846154</v>
      </c>
      <c r="DG22" s="4"/>
      <c r="DH22" s="4"/>
      <c r="DI22" s="4"/>
      <c r="DJ22" s="4"/>
    </row>
    <row r="23" spans="1:115" x14ac:dyDescent="0.3">
      <c r="A23" s="16"/>
      <c r="B23" s="17" t="s">
        <v>53</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W23" s="4"/>
      <c r="CX23" s="4"/>
      <c r="CY23" s="4"/>
      <c r="CZ23" s="4"/>
      <c r="DA23" s="4"/>
      <c r="DB23" s="4"/>
      <c r="DC23" s="4"/>
      <c r="DD23" s="4"/>
      <c r="DE23" s="4"/>
      <c r="DF23" s="4"/>
      <c r="DG23" s="4"/>
      <c r="DH23" s="4"/>
      <c r="DI23" s="4"/>
      <c r="DJ23" s="4"/>
    </row>
    <row r="24" spans="1:115" x14ac:dyDescent="0.3">
      <c r="A24" s="16"/>
      <c r="B24" s="17" t="s">
        <v>54</v>
      </c>
      <c r="C24" s="4"/>
      <c r="D24" s="4"/>
      <c r="E24" s="4"/>
      <c r="F24" s="4"/>
      <c r="G24" s="4"/>
      <c r="H24" s="4">
        <f>2*200/45*1000</f>
        <v>8888.8888888888887</v>
      </c>
      <c r="I24" s="4"/>
      <c r="J24" s="4">
        <f>0.4*200/50*1000</f>
        <v>1600</v>
      </c>
      <c r="K24" s="4">
        <f>0.3*200*1.03/50*1000</f>
        <v>1236</v>
      </c>
      <c r="L24" s="4">
        <f>0.2*4000</f>
        <v>800</v>
      </c>
      <c r="M24" s="4"/>
      <c r="N24" s="4"/>
      <c r="O24" s="4"/>
      <c r="P24" s="4"/>
      <c r="Q24" s="4">
        <v>424</v>
      </c>
      <c r="R24" s="4">
        <v>832</v>
      </c>
      <c r="S24" s="4">
        <v>800</v>
      </c>
      <c r="T24" s="4">
        <v>800</v>
      </c>
      <c r="U24" s="4">
        <v>400</v>
      </c>
      <c r="V24" s="4">
        <v>800</v>
      </c>
      <c r="W24" s="4">
        <v>412</v>
      </c>
      <c r="X24" s="4">
        <v>452</v>
      </c>
      <c r="Y24" s="4">
        <v>400</v>
      </c>
      <c r="Z24" s="4"/>
      <c r="AA24" s="4"/>
      <c r="AB24" s="4"/>
      <c r="AC24" s="4"/>
      <c r="AD24" s="4"/>
      <c r="AE24" s="4">
        <v>400</v>
      </c>
      <c r="AF24" s="4">
        <v>416</v>
      </c>
      <c r="AG24" s="4"/>
      <c r="AH24" s="4"/>
      <c r="AI24" s="4"/>
      <c r="AJ24" s="4"/>
      <c r="AK24" s="4">
        <v>400</v>
      </c>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W24" s="4">
        <v>268.45637583892619</v>
      </c>
      <c r="CX24" s="4"/>
      <c r="CY24" s="4">
        <v>1176.4705882352941</v>
      </c>
      <c r="CZ24" s="4"/>
      <c r="DA24" s="4"/>
      <c r="DB24" s="4"/>
      <c r="DC24" s="4"/>
      <c r="DD24" s="4"/>
      <c r="DE24" s="4"/>
      <c r="DF24" s="4"/>
      <c r="DG24" s="4"/>
      <c r="DH24" s="4">
        <v>800</v>
      </c>
      <c r="DI24" s="4">
        <v>2000</v>
      </c>
      <c r="DJ24" s="4">
        <v>714.28571428571422</v>
      </c>
    </row>
    <row r="25" spans="1:115" x14ac:dyDescent="0.3">
      <c r="A25" s="16"/>
      <c r="B25" s="17" t="s">
        <v>55</v>
      </c>
      <c r="C25" s="4"/>
      <c r="D25" s="4"/>
      <c r="E25" s="4"/>
      <c r="F25" s="4">
        <v>1000</v>
      </c>
      <c r="G25" s="4"/>
      <c r="H25" s="4"/>
      <c r="I25" s="4">
        <f>0.2*200*1.04/50*1000</f>
        <v>832.00000000000011</v>
      </c>
      <c r="J25" s="4"/>
      <c r="K25" s="4">
        <v>2472</v>
      </c>
      <c r="L25" s="4">
        <v>2800</v>
      </c>
      <c r="M25" s="4">
        <v>428</v>
      </c>
      <c r="N25" s="4">
        <v>1560</v>
      </c>
      <c r="O25" s="4">
        <v>824</v>
      </c>
      <c r="P25" s="4">
        <v>1712</v>
      </c>
      <c r="Q25" s="4">
        <v>848</v>
      </c>
      <c r="R25" s="4">
        <v>2080</v>
      </c>
      <c r="S25" s="4">
        <v>2000</v>
      </c>
      <c r="T25" s="4">
        <v>3200</v>
      </c>
      <c r="U25" s="4">
        <v>5200</v>
      </c>
      <c r="V25" s="4">
        <v>2000</v>
      </c>
      <c r="W25" s="4">
        <v>2060</v>
      </c>
      <c r="X25" s="4">
        <v>904</v>
      </c>
      <c r="Y25" s="4"/>
      <c r="Z25" s="4">
        <v>2000</v>
      </c>
      <c r="AA25" s="4">
        <v>1380</v>
      </c>
      <c r="AB25" s="4">
        <v>2220</v>
      </c>
      <c r="AC25" s="4">
        <v>400</v>
      </c>
      <c r="AD25" s="4">
        <v>400</v>
      </c>
      <c r="AE25" s="4">
        <v>1200</v>
      </c>
      <c r="AF25" s="4">
        <v>2912</v>
      </c>
      <c r="AG25" s="4">
        <v>800</v>
      </c>
      <c r="AH25" s="4">
        <v>1200</v>
      </c>
      <c r="AI25" s="4">
        <v>800</v>
      </c>
      <c r="AJ25" s="4"/>
      <c r="AK25" s="4">
        <v>1200</v>
      </c>
      <c r="AL25" s="4">
        <v>1248</v>
      </c>
      <c r="AM25" s="4">
        <v>800</v>
      </c>
      <c r="AN25" s="4">
        <v>800</v>
      </c>
      <c r="AO25" s="4">
        <v>400</v>
      </c>
      <c r="AP25" s="4">
        <v>3200</v>
      </c>
      <c r="AQ25" s="4">
        <v>1200</v>
      </c>
      <c r="AR25" s="4"/>
      <c r="AS25" s="4"/>
      <c r="AT25" s="4">
        <v>1200</v>
      </c>
      <c r="AU25" s="4">
        <v>1600</v>
      </c>
      <c r="AV25" s="4">
        <v>800</v>
      </c>
      <c r="AW25" s="4"/>
      <c r="AX25" s="4"/>
      <c r="AY25" s="4"/>
      <c r="AZ25" s="4"/>
      <c r="BA25" s="4"/>
      <c r="BB25" s="4"/>
      <c r="BC25" s="4"/>
      <c r="BD25" s="4">
        <f>1*200/50*1050</f>
        <v>4200</v>
      </c>
      <c r="BE25" s="4"/>
      <c r="BF25" s="4"/>
      <c r="BG25" s="4">
        <v>4000</v>
      </c>
      <c r="BH25" s="4"/>
      <c r="BI25" s="4"/>
      <c r="BJ25" s="4"/>
      <c r="BK25" s="4"/>
      <c r="BL25" s="4"/>
      <c r="BM25" s="4"/>
      <c r="BN25" s="4"/>
      <c r="BO25" s="4"/>
      <c r="BP25" s="4"/>
      <c r="BQ25" s="4"/>
      <c r="BR25" s="4"/>
      <c r="BS25" s="4">
        <v>24000</v>
      </c>
      <c r="BU25" s="4"/>
      <c r="BV25" s="4"/>
      <c r="BW25" s="4"/>
      <c r="BX25" s="4"/>
      <c r="BY25" s="4"/>
      <c r="BZ25" s="4"/>
      <c r="CA25" s="4"/>
      <c r="CB25" s="4"/>
      <c r="CC25" s="4"/>
      <c r="CD25" s="4"/>
      <c r="CE25" s="4"/>
      <c r="CF25" s="4"/>
      <c r="CG25" s="4"/>
      <c r="CH25" s="4"/>
      <c r="CI25" s="4"/>
      <c r="CJ25" s="4"/>
      <c r="CK25" s="4"/>
      <c r="CL25" s="4">
        <v>3636.363636363636</v>
      </c>
      <c r="CM25" s="4"/>
      <c r="CN25" s="4"/>
      <c r="CO25" s="4"/>
      <c r="CP25" s="4"/>
      <c r="CQ25" s="4"/>
      <c r="CR25" s="4"/>
      <c r="CS25" s="4"/>
      <c r="CT25" s="4"/>
      <c r="CU25" s="4"/>
      <c r="CW25" s="4"/>
      <c r="CX25" s="4"/>
      <c r="CY25" s="4"/>
      <c r="CZ25" s="4"/>
      <c r="DA25" s="4"/>
      <c r="DB25" s="4"/>
      <c r="DC25" s="4"/>
      <c r="DD25" s="4"/>
      <c r="DE25" s="4"/>
      <c r="DF25" s="4"/>
      <c r="DG25" s="4"/>
      <c r="DH25" s="4"/>
      <c r="DI25" s="4"/>
      <c r="DJ25" s="4"/>
    </row>
    <row r="26" spans="1:115" x14ac:dyDescent="0.3">
      <c r="A26" s="16" t="s">
        <v>56</v>
      </c>
      <c r="B26" s="17" t="s">
        <v>57</v>
      </c>
      <c r="C26" s="4"/>
      <c r="D26" s="4"/>
      <c r="E26" s="4">
        <v>2000</v>
      </c>
      <c r="F26" s="4"/>
      <c r="G26" s="4"/>
      <c r="H26" s="4"/>
      <c r="I26" s="4"/>
      <c r="J26" s="4"/>
      <c r="K26" s="4"/>
      <c r="L26" s="4"/>
      <c r="M26" s="4"/>
      <c r="N26" s="4"/>
      <c r="O26" s="4">
        <v>412</v>
      </c>
      <c r="P26" s="4"/>
      <c r="Q26" s="4"/>
      <c r="R26" s="4"/>
      <c r="S26" s="4">
        <v>400</v>
      </c>
      <c r="T26" s="4"/>
      <c r="U26" s="4">
        <v>800</v>
      </c>
      <c r="V26" s="4">
        <v>1600</v>
      </c>
      <c r="W26" s="4">
        <v>412</v>
      </c>
      <c r="X26" s="4">
        <v>5424</v>
      </c>
      <c r="Y26" s="4">
        <v>3600</v>
      </c>
      <c r="Z26" s="4">
        <v>34800</v>
      </c>
      <c r="AA26" s="4">
        <v>12880</v>
      </c>
      <c r="AB26" s="4">
        <v>20868</v>
      </c>
      <c r="AC26" s="4"/>
      <c r="AD26" s="4">
        <v>400</v>
      </c>
      <c r="AE26" s="4">
        <v>320</v>
      </c>
      <c r="AF26" s="4">
        <v>1664</v>
      </c>
      <c r="AG26" s="4">
        <v>800</v>
      </c>
      <c r="AH26" s="4">
        <v>800</v>
      </c>
      <c r="AI26" s="4"/>
      <c r="AJ26" s="4"/>
      <c r="AK26" s="4"/>
      <c r="AL26" s="4">
        <v>3328</v>
      </c>
      <c r="AM26" s="4">
        <v>400</v>
      </c>
      <c r="AN26" s="4">
        <v>400</v>
      </c>
      <c r="AO26" s="4">
        <v>800</v>
      </c>
      <c r="AP26" s="4">
        <v>1200</v>
      </c>
      <c r="AQ26" s="4">
        <v>800</v>
      </c>
      <c r="AR26" s="4"/>
      <c r="AS26" s="4"/>
      <c r="AT26" s="4">
        <v>400</v>
      </c>
      <c r="AU26" s="4">
        <v>800</v>
      </c>
      <c r="AV26" s="4">
        <v>800</v>
      </c>
      <c r="AW26" s="4"/>
      <c r="AX26" s="4"/>
      <c r="AY26" s="4"/>
      <c r="AZ26" s="4"/>
      <c r="BA26" s="4"/>
      <c r="BB26" s="4"/>
      <c r="BC26" s="4"/>
      <c r="BD26" s="4"/>
      <c r="BE26" s="4">
        <f>4*200/50*1000</f>
        <v>16000</v>
      </c>
      <c r="BF26" s="4">
        <f>25*200*1.17/50*1000</f>
        <v>117000</v>
      </c>
      <c r="BG26" s="4">
        <f>10*200/50*1000</f>
        <v>40000</v>
      </c>
      <c r="BH26" s="4">
        <f>28*200*1.01/50*1000</f>
        <v>113120</v>
      </c>
      <c r="BI26" s="4">
        <f>18*200/50*1000</f>
        <v>72000</v>
      </c>
      <c r="BJ26" s="4"/>
      <c r="BK26" s="4"/>
      <c r="BL26" s="4"/>
      <c r="BM26" s="4"/>
      <c r="BN26" s="4">
        <f>82*200/1.25/50*1000</f>
        <v>262400</v>
      </c>
      <c r="BO26" s="4">
        <v>28800</v>
      </c>
      <c r="BP26" s="4">
        <v>16666.666666666668</v>
      </c>
      <c r="BQ26" s="4"/>
      <c r="BR26" s="4"/>
      <c r="BS26" s="4"/>
      <c r="BU26" s="4"/>
      <c r="BV26" s="4"/>
      <c r="BW26" s="4"/>
      <c r="BX26" s="4"/>
      <c r="BY26" s="4"/>
      <c r="BZ26" s="4"/>
      <c r="CA26" s="4">
        <v>8571.4285714285725</v>
      </c>
      <c r="CB26" s="4"/>
      <c r="CC26" s="4"/>
      <c r="CD26" s="4">
        <v>7142.8571428571422</v>
      </c>
      <c r="CE26" s="4"/>
      <c r="CF26" s="4"/>
      <c r="CG26" s="4"/>
      <c r="CH26" s="4"/>
      <c r="CI26" s="4"/>
      <c r="CJ26" s="4"/>
      <c r="CK26" s="4"/>
      <c r="CL26" s="4"/>
      <c r="CM26" s="4"/>
      <c r="CN26" s="4"/>
      <c r="CO26" s="4"/>
      <c r="CP26" s="4"/>
      <c r="CQ26" s="4">
        <v>3571.4285714285711</v>
      </c>
      <c r="CR26" s="4"/>
      <c r="CS26" s="4"/>
      <c r="CT26" s="4"/>
      <c r="CU26" s="4"/>
      <c r="CW26" s="4"/>
      <c r="CX26" s="4"/>
      <c r="CY26" s="4"/>
      <c r="CZ26" s="4">
        <v>3921.5686274509803</v>
      </c>
      <c r="DA26" s="4"/>
      <c r="DB26" s="4"/>
      <c r="DC26" s="4"/>
      <c r="DD26" s="4"/>
      <c r="DE26" s="4"/>
      <c r="DF26" s="4"/>
      <c r="DG26" s="4"/>
      <c r="DH26" s="4"/>
      <c r="DI26" s="4"/>
      <c r="DJ26" s="4"/>
    </row>
    <row r="27" spans="1:115" x14ac:dyDescent="0.3">
      <c r="A27" s="16" t="s">
        <v>58</v>
      </c>
      <c r="B27" s="17" t="s">
        <v>59</v>
      </c>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W27" s="4"/>
      <c r="CX27" s="4"/>
      <c r="CY27" s="4"/>
      <c r="CZ27" s="4"/>
      <c r="DA27" s="4"/>
      <c r="DB27" s="4"/>
      <c r="DC27" s="4"/>
      <c r="DD27" s="4"/>
      <c r="DE27" s="4"/>
      <c r="DF27" s="4"/>
      <c r="DG27" s="4"/>
      <c r="DH27" s="4"/>
      <c r="DI27" s="4"/>
      <c r="DJ27" s="4"/>
    </row>
    <row r="28" spans="1:115" x14ac:dyDescent="0.3">
      <c r="A28" s="16" t="s">
        <v>60</v>
      </c>
      <c r="B28" s="17" t="s">
        <v>61</v>
      </c>
      <c r="C28" s="4"/>
      <c r="D28" s="4"/>
      <c r="E28" s="4"/>
      <c r="F28" s="4"/>
      <c r="G28" s="4"/>
      <c r="H28" s="4"/>
      <c r="I28" s="4"/>
      <c r="J28" s="4">
        <f>0.4*200/50*1000</f>
        <v>1600</v>
      </c>
      <c r="K28" s="4">
        <v>2472</v>
      </c>
      <c r="L28" s="4"/>
      <c r="M28" s="4">
        <v>2996</v>
      </c>
      <c r="N28" s="4">
        <v>6760</v>
      </c>
      <c r="O28" s="4">
        <v>3708</v>
      </c>
      <c r="P28" s="4">
        <v>5136</v>
      </c>
      <c r="Q28" s="4">
        <v>1272</v>
      </c>
      <c r="R28" s="4">
        <v>832</v>
      </c>
      <c r="S28" s="4">
        <v>2000</v>
      </c>
      <c r="T28" s="4">
        <v>800</v>
      </c>
      <c r="U28" s="4">
        <v>2400</v>
      </c>
      <c r="V28" s="4"/>
      <c r="W28" s="4">
        <v>4944</v>
      </c>
      <c r="X28" s="4">
        <v>2260</v>
      </c>
      <c r="Y28" s="4">
        <v>800</v>
      </c>
      <c r="Z28" s="4"/>
      <c r="AA28" s="4">
        <v>920</v>
      </c>
      <c r="AB28" s="4">
        <v>444</v>
      </c>
      <c r="AC28" s="4">
        <v>1200</v>
      </c>
      <c r="AD28" s="4"/>
      <c r="AE28" s="4"/>
      <c r="AF28" s="4">
        <v>416</v>
      </c>
      <c r="AG28" s="4">
        <v>2400</v>
      </c>
      <c r="AH28" s="4">
        <v>1200</v>
      </c>
      <c r="AI28" s="4">
        <v>1200</v>
      </c>
      <c r="AJ28" s="4"/>
      <c r="AK28" s="4">
        <v>3200</v>
      </c>
      <c r="AL28" s="4">
        <v>6688</v>
      </c>
      <c r="AM28" s="4">
        <v>2000</v>
      </c>
      <c r="AN28" s="4">
        <v>2000</v>
      </c>
      <c r="AO28" s="4">
        <v>6800</v>
      </c>
      <c r="AP28" s="4">
        <v>1200</v>
      </c>
      <c r="AQ28" s="4">
        <v>1600</v>
      </c>
      <c r="AR28" s="4">
        <v>800</v>
      </c>
      <c r="AS28" s="4"/>
      <c r="AT28" s="4">
        <v>400</v>
      </c>
      <c r="AU28" s="4">
        <v>80400</v>
      </c>
      <c r="AV28" s="4">
        <v>66000</v>
      </c>
      <c r="AW28" s="4"/>
      <c r="AX28" s="4"/>
      <c r="AY28" s="4">
        <f>181*200/50*1.27*1000</f>
        <v>919480</v>
      </c>
      <c r="AZ28" s="4"/>
      <c r="BA28" s="4"/>
      <c r="BB28" s="4"/>
      <c r="BC28" s="4"/>
      <c r="BD28" s="4">
        <f>2*200/50*1050</f>
        <v>8400</v>
      </c>
      <c r="BE28" s="4">
        <f>2*200/50*1000</f>
        <v>8000</v>
      </c>
      <c r="BF28" s="4">
        <f>1*200*1.17/50*1000</f>
        <v>4680</v>
      </c>
      <c r="BG28" s="4"/>
      <c r="BH28" s="4">
        <f>5*200*1.01/50*1000</f>
        <v>20200</v>
      </c>
      <c r="BI28" s="4"/>
      <c r="BJ28" s="4">
        <f>4*4000</f>
        <v>16000</v>
      </c>
      <c r="BK28" s="4"/>
      <c r="BL28" s="4"/>
      <c r="BM28" s="4"/>
      <c r="BN28" s="4"/>
      <c r="BO28" s="4"/>
      <c r="BP28" s="4">
        <v>10000</v>
      </c>
      <c r="BQ28" s="4"/>
      <c r="BR28" s="4"/>
      <c r="BS28" s="4">
        <v>8000</v>
      </c>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W28" s="4"/>
      <c r="CX28" s="4"/>
      <c r="CY28" s="4"/>
      <c r="CZ28" s="4"/>
      <c r="DA28" s="4"/>
      <c r="DB28" s="4"/>
      <c r="DC28" s="4"/>
      <c r="DD28" s="4"/>
      <c r="DE28" s="4"/>
      <c r="DF28" s="4"/>
      <c r="DG28" s="4"/>
      <c r="DH28" s="4"/>
      <c r="DI28" s="4"/>
      <c r="DJ28" s="4"/>
    </row>
    <row r="29" spans="1:115" x14ac:dyDescent="0.3">
      <c r="A29" s="16" t="s">
        <v>62</v>
      </c>
      <c r="B29" s="20" t="s">
        <v>63</v>
      </c>
      <c r="C29" s="4"/>
      <c r="D29" s="4"/>
      <c r="E29" s="4"/>
      <c r="F29" s="4"/>
      <c r="G29" s="4">
        <f>0.25*200/42*1000</f>
        <v>1190.4761904761904</v>
      </c>
      <c r="H29" s="4">
        <f>2*200/45*1000</f>
        <v>8888.8888888888887</v>
      </c>
      <c r="I29" s="4">
        <f>0.1*200*1.04/50*1000</f>
        <v>416.00000000000006</v>
      </c>
      <c r="J29" s="4">
        <v>400</v>
      </c>
      <c r="K29" s="4">
        <v>1236</v>
      </c>
      <c r="L29" s="4">
        <v>400</v>
      </c>
      <c r="M29" s="4"/>
      <c r="N29" s="4"/>
      <c r="O29" s="4"/>
      <c r="P29" s="4">
        <v>428</v>
      </c>
      <c r="Q29" s="4">
        <v>848</v>
      </c>
      <c r="R29" s="4">
        <v>832</v>
      </c>
      <c r="S29" s="4">
        <v>400</v>
      </c>
      <c r="T29" s="4"/>
      <c r="U29" s="4">
        <v>400</v>
      </c>
      <c r="V29" s="4">
        <v>400</v>
      </c>
      <c r="W29" s="4"/>
      <c r="X29" s="4"/>
      <c r="Y29" s="4"/>
      <c r="Z29" s="4"/>
      <c r="AA29" s="4"/>
      <c r="AB29" s="4"/>
      <c r="AC29" s="4"/>
      <c r="AD29" s="4"/>
      <c r="AE29" s="4">
        <v>320</v>
      </c>
      <c r="AF29" s="4">
        <v>416</v>
      </c>
      <c r="AG29" s="4"/>
      <c r="AH29" s="4"/>
      <c r="AI29" s="4"/>
      <c r="AJ29" s="4"/>
      <c r="AK29" s="4"/>
      <c r="AL29" s="4"/>
      <c r="AM29" s="4"/>
      <c r="AN29" s="4">
        <v>400</v>
      </c>
      <c r="AO29" s="4"/>
      <c r="AP29" s="4">
        <v>400</v>
      </c>
      <c r="AQ29" s="4">
        <v>400</v>
      </c>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U29" s="4"/>
      <c r="BV29" s="4"/>
      <c r="BW29" s="4"/>
      <c r="BX29" s="4"/>
      <c r="BY29" s="4"/>
      <c r="BZ29" s="4"/>
      <c r="CA29" s="4"/>
      <c r="CB29" s="4"/>
      <c r="CC29" s="4"/>
      <c r="CD29" s="4"/>
      <c r="CE29" s="4"/>
      <c r="CF29" s="4"/>
      <c r="CG29" s="4"/>
      <c r="CH29" s="4"/>
      <c r="CI29" s="4"/>
      <c r="CJ29" s="4"/>
      <c r="CK29" s="4"/>
      <c r="CL29" s="4"/>
      <c r="CM29" s="4">
        <v>4000</v>
      </c>
      <c r="CN29" s="4">
        <v>4000</v>
      </c>
      <c r="CO29" s="4"/>
      <c r="CP29" s="4"/>
      <c r="CQ29" s="4">
        <v>7142.8571428571422</v>
      </c>
      <c r="CR29" s="4">
        <v>6153.8461538461534</v>
      </c>
      <c r="CS29" s="4"/>
      <c r="CT29" s="4"/>
      <c r="CU29" s="4"/>
      <c r="CW29" s="4"/>
      <c r="CX29" s="4">
        <v>10714.285714285714</v>
      </c>
      <c r="CY29" s="4">
        <v>1960.7843137254902</v>
      </c>
      <c r="CZ29" s="4"/>
      <c r="DA29" s="4"/>
      <c r="DB29" s="4"/>
      <c r="DC29" s="4"/>
      <c r="DD29" s="4"/>
      <c r="DE29" s="4"/>
      <c r="DF29" s="4"/>
      <c r="DG29" s="4"/>
      <c r="DH29" s="4"/>
      <c r="DI29" s="4"/>
      <c r="DJ29" s="4"/>
    </row>
    <row r="30" spans="1:115" x14ac:dyDescent="0.3">
      <c r="A30" s="16"/>
      <c r="B30" s="20" t="s">
        <v>64</v>
      </c>
      <c r="C30" s="4"/>
      <c r="D30" s="4"/>
      <c r="E30" s="4"/>
      <c r="F30" s="4"/>
      <c r="G30" s="4"/>
      <c r="H30" s="4"/>
      <c r="I30" s="4"/>
      <c r="J30" s="4">
        <v>400</v>
      </c>
      <c r="K30" s="4"/>
      <c r="L30" s="4"/>
      <c r="M30" s="4"/>
      <c r="N30" s="4"/>
      <c r="O30" s="4"/>
      <c r="P30" s="4"/>
      <c r="Q30" s="4"/>
      <c r="R30" s="4">
        <v>416</v>
      </c>
      <c r="S30" s="4"/>
      <c r="T30" s="4">
        <v>800</v>
      </c>
      <c r="U30" s="4">
        <v>2000</v>
      </c>
      <c r="V30" s="4">
        <v>400</v>
      </c>
      <c r="W30" s="4"/>
      <c r="X30" s="4"/>
      <c r="Y30" s="4"/>
      <c r="Z30" s="4"/>
      <c r="AA30" s="4">
        <v>460</v>
      </c>
      <c r="AB30" s="4">
        <v>444</v>
      </c>
      <c r="AC30" s="4"/>
      <c r="AD30" s="4"/>
      <c r="AE30" s="4"/>
      <c r="AF30" s="4"/>
      <c r="AG30" s="4"/>
      <c r="AH30" s="4">
        <v>400</v>
      </c>
      <c r="AI30" s="4"/>
      <c r="AJ30" s="4"/>
      <c r="AK30" s="4"/>
      <c r="AL30" s="4"/>
      <c r="AM30" s="4"/>
      <c r="AN30" s="4"/>
      <c r="AO30" s="4"/>
      <c r="AP30" s="4">
        <v>400</v>
      </c>
      <c r="AQ30" s="4"/>
      <c r="AR30" s="4"/>
      <c r="AS30" s="4"/>
      <c r="AT30" s="4">
        <v>400</v>
      </c>
      <c r="AU30" s="4"/>
      <c r="AV30" s="4"/>
      <c r="AW30" s="4"/>
      <c r="AX30" s="4"/>
      <c r="AY30" s="4"/>
      <c r="AZ30" s="4"/>
      <c r="BA30" s="4"/>
      <c r="BB30" s="4"/>
      <c r="BC30" s="4"/>
      <c r="BD30" s="4"/>
      <c r="BE30" s="4">
        <f>4*200/50*1000</f>
        <v>16000</v>
      </c>
      <c r="BF30" s="4"/>
      <c r="BG30" s="4"/>
      <c r="BH30" s="4"/>
      <c r="BI30" s="4"/>
      <c r="BJ30" s="4"/>
      <c r="BK30" s="4"/>
      <c r="BL30" s="4"/>
      <c r="BM30" s="4"/>
      <c r="BN30" s="4"/>
      <c r="BO30" s="4"/>
      <c r="BP30" s="4"/>
      <c r="BQ30" s="4">
        <v>3921.5686274509803</v>
      </c>
      <c r="BR30" s="4"/>
      <c r="BS30" s="4"/>
      <c r="BU30" s="4"/>
      <c r="BV30" s="4"/>
      <c r="BW30" s="4"/>
      <c r="BX30" s="4"/>
      <c r="BY30" s="4">
        <v>4000</v>
      </c>
      <c r="BZ30" s="4"/>
      <c r="CA30" s="4">
        <v>2857.1428571428573</v>
      </c>
      <c r="CB30" s="4"/>
      <c r="CC30" s="4"/>
      <c r="CD30" s="4"/>
      <c r="CE30" s="4"/>
      <c r="CF30" s="4"/>
      <c r="CG30" s="4"/>
      <c r="CH30" s="4"/>
      <c r="CI30" s="4"/>
      <c r="CJ30" s="4"/>
      <c r="CK30" s="4"/>
      <c r="CL30" s="4"/>
      <c r="CM30" s="4"/>
      <c r="CN30" s="4"/>
      <c r="CO30" s="4">
        <v>3773.5849056603774</v>
      </c>
      <c r="CP30" s="4">
        <v>3636.363636363636</v>
      </c>
      <c r="CQ30" s="4"/>
      <c r="CR30" s="4"/>
      <c r="CS30" s="4"/>
      <c r="CT30" s="4"/>
      <c r="CU30" s="4"/>
      <c r="CW30" s="4"/>
      <c r="CX30" s="4"/>
      <c r="CY30" s="4"/>
      <c r="CZ30" s="4"/>
      <c r="DA30" s="4"/>
      <c r="DB30" s="4">
        <v>3571.4285714285711</v>
      </c>
      <c r="DC30" s="4"/>
      <c r="DD30" s="4"/>
      <c r="DE30" s="4">
        <v>10909.090909090908</v>
      </c>
      <c r="DF30" s="4">
        <v>3846.1538461538457</v>
      </c>
      <c r="DG30" s="4">
        <v>3846.1538461538457</v>
      </c>
      <c r="DH30" s="4">
        <v>4000</v>
      </c>
      <c r="DI30" s="4"/>
      <c r="DJ30" s="4"/>
    </row>
    <row r="31" spans="1:115" ht="17.399999999999999" x14ac:dyDescent="0.3">
      <c r="A31" s="16" t="s">
        <v>65</v>
      </c>
      <c r="B31" s="17" t="s">
        <v>66</v>
      </c>
      <c r="C31" s="18"/>
      <c r="D31" s="4">
        <f>2*200/50*1000</f>
        <v>8000</v>
      </c>
      <c r="E31" s="4"/>
      <c r="F31" s="4"/>
      <c r="G31" s="4"/>
      <c r="H31" s="4"/>
      <c r="I31" s="4"/>
      <c r="J31" s="4"/>
      <c r="K31" s="4"/>
      <c r="L31" s="4"/>
      <c r="M31" s="4"/>
      <c r="N31" s="4"/>
      <c r="O31" s="4"/>
      <c r="P31" s="4"/>
      <c r="Q31" s="4"/>
      <c r="R31" s="4"/>
      <c r="S31" s="4">
        <v>1200</v>
      </c>
      <c r="T31" s="4"/>
      <c r="U31" s="4"/>
      <c r="V31" s="4">
        <v>3600</v>
      </c>
      <c r="W31" s="4">
        <v>1236</v>
      </c>
      <c r="X31" s="4">
        <v>6328</v>
      </c>
      <c r="Y31" s="4">
        <v>2000</v>
      </c>
      <c r="Z31" s="4">
        <v>7200</v>
      </c>
      <c r="AA31" s="4">
        <v>920</v>
      </c>
      <c r="AB31" s="4">
        <v>8880</v>
      </c>
      <c r="AC31" s="4">
        <v>1600</v>
      </c>
      <c r="AD31" s="4">
        <v>1200</v>
      </c>
      <c r="AE31" s="4"/>
      <c r="AF31" s="4">
        <v>1248</v>
      </c>
      <c r="AG31" s="4"/>
      <c r="AH31" s="4"/>
      <c r="AI31" s="4"/>
      <c r="AJ31" s="4"/>
      <c r="AK31" s="4"/>
      <c r="AL31" s="4">
        <v>3744</v>
      </c>
      <c r="AM31" s="4">
        <v>9200</v>
      </c>
      <c r="AN31" s="4">
        <v>10800</v>
      </c>
      <c r="AO31" s="4">
        <v>13200</v>
      </c>
      <c r="AP31" s="4">
        <v>10400</v>
      </c>
      <c r="AQ31" s="4">
        <v>33600</v>
      </c>
      <c r="AR31" s="4"/>
      <c r="AS31" s="4"/>
      <c r="AT31" s="4"/>
      <c r="AU31" s="4">
        <v>11600</v>
      </c>
      <c r="AV31" s="4"/>
      <c r="AW31" s="4"/>
      <c r="AX31" s="4"/>
      <c r="AY31" s="4"/>
      <c r="AZ31" s="4"/>
      <c r="BA31" s="4"/>
      <c r="BB31" s="4"/>
      <c r="BC31" s="4"/>
      <c r="BD31" s="4"/>
      <c r="BE31" s="4"/>
      <c r="BF31" s="4"/>
      <c r="BG31" s="4"/>
      <c r="BH31" s="4"/>
      <c r="BI31" s="4"/>
      <c r="BJ31" s="4"/>
      <c r="BK31" s="4"/>
      <c r="BL31" s="4"/>
      <c r="BM31" s="4"/>
      <c r="BN31" s="4"/>
      <c r="BO31" s="4"/>
      <c r="BP31" s="4"/>
      <c r="BQ31" s="4"/>
      <c r="BR31" s="4"/>
      <c r="BS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W31" s="4"/>
      <c r="CX31" s="4"/>
      <c r="CY31" s="4"/>
      <c r="CZ31" s="4"/>
      <c r="DA31" s="4"/>
      <c r="DB31" s="4"/>
      <c r="DC31" s="4"/>
      <c r="DD31" s="4"/>
      <c r="DE31" s="4"/>
      <c r="DF31" s="4"/>
      <c r="DG31" s="4"/>
      <c r="DH31" s="4"/>
      <c r="DI31" s="4"/>
      <c r="DJ31" s="4"/>
    </row>
    <row r="32" spans="1:115" ht="17.399999999999999" x14ac:dyDescent="0.3">
      <c r="A32" s="16" t="s">
        <v>67</v>
      </c>
      <c r="B32" s="17" t="s">
        <v>68</v>
      </c>
      <c r="C32" s="21">
        <f>200/50*1000</f>
        <v>4000</v>
      </c>
      <c r="D32" s="18"/>
      <c r="E32" s="4"/>
      <c r="F32" s="4"/>
      <c r="G32" s="4"/>
      <c r="H32" s="4"/>
      <c r="I32" s="4"/>
      <c r="J32" s="4"/>
      <c r="K32" s="4"/>
      <c r="L32" s="4"/>
      <c r="M32" s="4"/>
      <c r="N32" s="4"/>
      <c r="O32" s="4"/>
      <c r="P32" s="4">
        <v>856</v>
      </c>
      <c r="Q32" s="4">
        <v>848</v>
      </c>
      <c r="R32" s="4"/>
      <c r="S32" s="4">
        <v>4400</v>
      </c>
      <c r="T32" s="4">
        <v>800</v>
      </c>
      <c r="U32" s="4">
        <v>1600</v>
      </c>
      <c r="V32" s="4"/>
      <c r="W32" s="4">
        <v>5768</v>
      </c>
      <c r="X32" s="4">
        <v>2260</v>
      </c>
      <c r="Y32" s="4">
        <v>2400</v>
      </c>
      <c r="Z32" s="4">
        <v>4400</v>
      </c>
      <c r="AA32" s="4"/>
      <c r="AB32" s="4">
        <v>1332</v>
      </c>
      <c r="AC32" s="4"/>
      <c r="AD32" s="4"/>
      <c r="AE32" s="4"/>
      <c r="AF32" s="4">
        <v>2496</v>
      </c>
      <c r="AG32" s="4">
        <v>1200</v>
      </c>
      <c r="AH32" s="4">
        <v>2000</v>
      </c>
      <c r="AI32" s="4">
        <v>1200</v>
      </c>
      <c r="AJ32" s="4"/>
      <c r="AK32" s="4"/>
      <c r="AL32" s="4"/>
      <c r="AM32" s="4">
        <v>1600</v>
      </c>
      <c r="AN32" s="4"/>
      <c r="AO32" s="4">
        <v>1600</v>
      </c>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W32" s="4"/>
      <c r="CX32" s="4"/>
      <c r="CY32" s="4"/>
      <c r="CZ32" s="4"/>
      <c r="DA32" s="4"/>
      <c r="DB32" s="4"/>
      <c r="DC32" s="4"/>
      <c r="DD32" s="4"/>
      <c r="DE32" s="4"/>
      <c r="DF32" s="4"/>
      <c r="DG32" s="4"/>
      <c r="DH32" s="4"/>
      <c r="DI32" s="4"/>
      <c r="DJ32" s="4"/>
    </row>
    <row r="33" spans="1:114" x14ac:dyDescent="0.3">
      <c r="A33" s="16" t="s">
        <v>69</v>
      </c>
      <c r="B33" s="17" t="s">
        <v>70</v>
      </c>
      <c r="C33" s="4"/>
      <c r="D33" s="4"/>
      <c r="E33" s="4"/>
      <c r="F33" s="4">
        <v>4000</v>
      </c>
      <c r="G33" s="4"/>
      <c r="H33" s="4">
        <f>2*200/45*1000</f>
        <v>8888.8888888888887</v>
      </c>
      <c r="I33" s="4"/>
      <c r="J33" s="4">
        <f>0.2*200/50*1000</f>
        <v>800</v>
      </c>
      <c r="K33" s="4">
        <f>0.4*200*1.03/50*1000</f>
        <v>1648.0000000000002</v>
      </c>
      <c r="L33" s="4">
        <v>800</v>
      </c>
      <c r="M33" s="4"/>
      <c r="N33" s="4"/>
      <c r="O33" s="4"/>
      <c r="P33" s="4"/>
      <c r="Q33" s="4"/>
      <c r="R33" s="4">
        <v>2496</v>
      </c>
      <c r="S33" s="4">
        <v>400</v>
      </c>
      <c r="T33" s="4">
        <v>400</v>
      </c>
      <c r="U33" s="4">
        <v>4400</v>
      </c>
      <c r="V33" s="4">
        <v>2800</v>
      </c>
      <c r="W33" s="4"/>
      <c r="X33" s="4">
        <v>452</v>
      </c>
      <c r="Y33" s="4">
        <v>800</v>
      </c>
      <c r="Z33" s="4">
        <v>400</v>
      </c>
      <c r="AA33" s="4">
        <v>920</v>
      </c>
      <c r="AB33" s="4">
        <v>1776</v>
      </c>
      <c r="AC33" s="4">
        <v>800</v>
      </c>
      <c r="AD33" s="4">
        <v>1200</v>
      </c>
      <c r="AE33" s="4">
        <v>2800</v>
      </c>
      <c r="AF33" s="4">
        <v>2912</v>
      </c>
      <c r="AG33" s="4">
        <v>800</v>
      </c>
      <c r="AH33" s="4">
        <v>2000</v>
      </c>
      <c r="AI33" s="4">
        <v>1600</v>
      </c>
      <c r="AJ33" s="4"/>
      <c r="AK33" s="4"/>
      <c r="AL33" s="4"/>
      <c r="AM33" s="4">
        <v>400</v>
      </c>
      <c r="AN33" s="4"/>
      <c r="AO33" s="4">
        <v>400</v>
      </c>
      <c r="AP33" s="4"/>
      <c r="AQ33" s="4"/>
      <c r="AR33" s="4">
        <v>400</v>
      </c>
      <c r="AS33" s="4"/>
      <c r="AT33" s="4">
        <v>400</v>
      </c>
      <c r="AU33" s="4"/>
      <c r="AV33" s="4"/>
      <c r="AW33" s="4"/>
      <c r="AX33" s="4"/>
      <c r="AY33" s="4"/>
      <c r="AZ33" s="4"/>
      <c r="BA33" s="4"/>
      <c r="BB33" s="4"/>
      <c r="BC33" s="4"/>
      <c r="BD33" s="4"/>
      <c r="BE33" s="4"/>
      <c r="BF33" s="4">
        <f>2*200*1.17/50*1000</f>
        <v>9360</v>
      </c>
      <c r="BG33" s="4">
        <f>6*200/50*1000</f>
        <v>24000</v>
      </c>
      <c r="BH33" s="4">
        <f>4*200*1.01/50*1000</f>
        <v>16160</v>
      </c>
      <c r="BI33" s="4">
        <f>2*200/50*1000</f>
        <v>8000</v>
      </c>
      <c r="BJ33" s="4">
        <f>20000</f>
        <v>20000</v>
      </c>
      <c r="BK33" s="4"/>
      <c r="BL33" s="4"/>
      <c r="BM33" s="4"/>
      <c r="BN33" s="4">
        <f>1*200/1.25/50*1000</f>
        <v>3200</v>
      </c>
      <c r="BO33" s="4"/>
      <c r="BP33" s="4"/>
      <c r="BQ33" s="4">
        <v>980.39215686274508</v>
      </c>
      <c r="BR33" s="4"/>
      <c r="BS33" s="4"/>
      <c r="BU33" s="4"/>
      <c r="BV33" s="4"/>
      <c r="BW33" s="4"/>
      <c r="BX33" s="4"/>
      <c r="BY33" s="4"/>
      <c r="BZ33" s="4"/>
      <c r="CA33" s="4">
        <v>5714.2857142857147</v>
      </c>
      <c r="CB33" s="4">
        <v>8000</v>
      </c>
      <c r="CC33" s="4">
        <v>22119.815668202766</v>
      </c>
      <c r="CD33" s="4">
        <v>24999.999999999996</v>
      </c>
      <c r="CE33" s="4">
        <v>4000</v>
      </c>
      <c r="CF33" s="4"/>
      <c r="CG33" s="4"/>
      <c r="CH33" s="4"/>
      <c r="CI33" s="4"/>
      <c r="CJ33" s="4"/>
      <c r="CK33" s="4"/>
      <c r="CL33" s="4"/>
      <c r="CM33" s="4"/>
      <c r="CN33" s="4"/>
      <c r="CO33" s="4"/>
      <c r="CP33" s="4"/>
      <c r="CQ33" s="4"/>
      <c r="CR33" s="4"/>
      <c r="CS33" s="4"/>
      <c r="CT33" s="4"/>
      <c r="CU33" s="4"/>
      <c r="CW33" s="4"/>
      <c r="CX33" s="4"/>
      <c r="CY33" s="4"/>
      <c r="CZ33" s="4"/>
      <c r="DA33" s="4"/>
      <c r="DB33" s="4"/>
      <c r="DC33" s="4"/>
      <c r="DD33" s="4"/>
      <c r="DE33" s="4"/>
      <c r="DF33" s="4"/>
      <c r="DG33" s="4"/>
      <c r="DH33" s="4"/>
      <c r="DI33" s="4"/>
      <c r="DJ33" s="4"/>
    </row>
    <row r="34" spans="1:114" x14ac:dyDescent="0.3">
      <c r="A34" s="16" t="s">
        <v>71</v>
      </c>
      <c r="B34" s="17" t="s">
        <v>72</v>
      </c>
      <c r="C34" s="4"/>
      <c r="D34" s="4"/>
      <c r="E34" s="4"/>
      <c r="F34" s="4"/>
      <c r="G34" s="4"/>
      <c r="H34" s="4"/>
      <c r="I34" s="4"/>
      <c r="J34" s="4"/>
      <c r="K34" s="4"/>
      <c r="L34" s="4"/>
      <c r="M34" s="4"/>
      <c r="N34" s="4"/>
      <c r="O34" s="4"/>
      <c r="P34" s="4"/>
      <c r="Q34" s="4"/>
      <c r="R34" s="4"/>
      <c r="S34" s="4"/>
      <c r="T34" s="4"/>
      <c r="U34" s="4"/>
      <c r="V34" s="4"/>
      <c r="W34" s="4"/>
      <c r="X34" s="4">
        <v>904</v>
      </c>
      <c r="Y34" s="4"/>
      <c r="Z34" s="4">
        <v>800</v>
      </c>
      <c r="AA34" s="4"/>
      <c r="AB34" s="4"/>
      <c r="AC34" s="4">
        <v>400</v>
      </c>
      <c r="AD34" s="4"/>
      <c r="AE34" s="4">
        <v>1200</v>
      </c>
      <c r="AF34" s="4">
        <v>2496</v>
      </c>
      <c r="AG34" s="4">
        <v>400</v>
      </c>
      <c r="AH34" s="4"/>
      <c r="AI34" s="4"/>
      <c r="AJ34" s="4"/>
      <c r="AK34" s="4">
        <v>400</v>
      </c>
      <c r="AL34" s="4">
        <v>1248</v>
      </c>
      <c r="AM34" s="4">
        <v>2000</v>
      </c>
      <c r="AN34" s="4"/>
      <c r="AO34" s="4">
        <v>2000</v>
      </c>
      <c r="AP34" s="4">
        <v>2400</v>
      </c>
      <c r="AQ34" s="4">
        <v>3200</v>
      </c>
      <c r="AR34" s="4"/>
      <c r="AS34" s="4"/>
      <c r="AT34" s="4">
        <v>2800</v>
      </c>
      <c r="AU34" s="4">
        <v>2400</v>
      </c>
      <c r="AV34" s="4">
        <v>2800</v>
      </c>
      <c r="AW34" s="4"/>
      <c r="AX34" s="4"/>
      <c r="AY34" s="4"/>
      <c r="AZ34" s="4"/>
      <c r="BA34" s="4"/>
      <c r="BB34" s="4"/>
      <c r="BC34" s="4"/>
      <c r="BD34" s="4"/>
      <c r="BE34" s="4"/>
      <c r="BF34" s="4"/>
      <c r="BG34" s="4"/>
      <c r="BH34" s="4"/>
      <c r="BI34" s="4"/>
      <c r="BJ34" s="4"/>
      <c r="BK34" s="4"/>
      <c r="BL34" s="4"/>
      <c r="BM34" s="4"/>
      <c r="BN34" s="4">
        <f>1*200/1.25/50*1000</f>
        <v>3200</v>
      </c>
      <c r="BO34" s="4">
        <v>1600</v>
      </c>
      <c r="BP34" s="4">
        <v>13333.333333333336</v>
      </c>
      <c r="BQ34" s="4">
        <v>3921.5686274509803</v>
      </c>
      <c r="BR34" s="4"/>
      <c r="BS34" s="4"/>
      <c r="BU34" s="4"/>
      <c r="BV34" s="4"/>
      <c r="BW34" s="4"/>
      <c r="BX34" s="4"/>
      <c r="BY34" s="4">
        <v>800</v>
      </c>
      <c r="BZ34" s="4"/>
      <c r="CA34" s="4"/>
      <c r="CB34" s="4">
        <v>2000</v>
      </c>
      <c r="CC34" s="4">
        <v>25806.451612903224</v>
      </c>
      <c r="CD34" s="4">
        <v>14285.714285714284</v>
      </c>
      <c r="CE34" s="4">
        <v>16000</v>
      </c>
      <c r="CF34" s="4"/>
      <c r="CG34" s="4"/>
      <c r="CH34" s="4"/>
      <c r="CI34" s="4">
        <v>3921.5686274509803</v>
      </c>
      <c r="CJ34" s="4"/>
      <c r="CK34" s="4"/>
      <c r="CL34" s="4"/>
      <c r="CM34" s="4"/>
      <c r="CN34" s="4"/>
      <c r="CO34" s="4"/>
      <c r="CP34" s="4">
        <v>7272.7272727272721</v>
      </c>
      <c r="CQ34" s="4">
        <v>3571.4285714285711</v>
      </c>
      <c r="CR34" s="4">
        <v>1538.4615384615383</v>
      </c>
      <c r="CS34" s="4">
        <v>1016.9491525423729</v>
      </c>
      <c r="CT34" s="4"/>
      <c r="CU34" s="4">
        <v>11428.571428571429</v>
      </c>
      <c r="CV34" s="4"/>
      <c r="CW34" s="4">
        <v>1342.2818791946308</v>
      </c>
      <c r="CX34" s="4">
        <v>3571.4285714285711</v>
      </c>
      <c r="CY34" s="4">
        <v>1960.7843137254902</v>
      </c>
      <c r="CZ34" s="4">
        <v>1960.7843137254902</v>
      </c>
      <c r="DA34" s="4"/>
      <c r="DB34" s="4">
        <v>3571.4285714285711</v>
      </c>
      <c r="DC34" s="4"/>
      <c r="DD34" s="4">
        <v>3773.5849056603774</v>
      </c>
      <c r="DE34" s="4"/>
      <c r="DF34" s="4">
        <v>7692.3076923076915</v>
      </c>
      <c r="DG34" s="4">
        <v>19230.76923076923</v>
      </c>
      <c r="DH34" s="4">
        <v>24000</v>
      </c>
      <c r="DI34" s="4">
        <v>4000</v>
      </c>
      <c r="DJ34" s="4"/>
    </row>
    <row r="35" spans="1:114" x14ac:dyDescent="0.3">
      <c r="A35" s="16"/>
      <c r="B35" s="11" t="s">
        <v>73</v>
      </c>
      <c r="C35" s="4"/>
      <c r="D35" s="4"/>
      <c r="E35" s="4"/>
      <c r="F35" s="4"/>
      <c r="G35" s="4"/>
      <c r="H35" s="4"/>
      <c r="I35" s="4"/>
      <c r="J35" s="4"/>
      <c r="K35" s="4"/>
      <c r="L35" s="4"/>
      <c r="M35" s="4"/>
      <c r="N35" s="4"/>
      <c r="O35" s="4">
        <v>4944</v>
      </c>
      <c r="P35" s="4">
        <v>3424</v>
      </c>
      <c r="Q35" s="4">
        <v>8904</v>
      </c>
      <c r="R35" s="4">
        <v>7072</v>
      </c>
      <c r="S35" s="4">
        <v>6800</v>
      </c>
      <c r="T35" s="4">
        <v>3600</v>
      </c>
      <c r="U35" s="4">
        <v>2400</v>
      </c>
      <c r="V35" s="4"/>
      <c r="W35" s="4"/>
      <c r="X35" s="4">
        <v>5424</v>
      </c>
      <c r="Y35" s="4">
        <v>2400</v>
      </c>
      <c r="Z35" s="4">
        <v>2000</v>
      </c>
      <c r="AA35" s="4">
        <v>920</v>
      </c>
      <c r="AB35" s="4">
        <v>1776</v>
      </c>
      <c r="AC35" s="4">
        <v>1200</v>
      </c>
      <c r="AD35" s="4">
        <v>800</v>
      </c>
      <c r="AE35" s="4"/>
      <c r="AF35" s="4">
        <v>4992</v>
      </c>
      <c r="AG35" s="4"/>
      <c r="AH35" s="4"/>
      <c r="AI35" s="4">
        <v>2400</v>
      </c>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W35" s="4"/>
      <c r="CX35" s="4"/>
      <c r="CY35" s="4"/>
      <c r="CZ35" s="4"/>
      <c r="DA35" s="4"/>
      <c r="DB35" s="4"/>
      <c r="DC35" s="4"/>
      <c r="DD35" s="4"/>
      <c r="DE35" s="4"/>
      <c r="DF35" s="4"/>
      <c r="DG35" s="4"/>
      <c r="DH35" s="4"/>
      <c r="DI35" s="4"/>
      <c r="DJ35" s="4"/>
    </row>
    <row r="36" spans="1:114" x14ac:dyDescent="0.3">
      <c r="A36" s="16" t="s">
        <v>74</v>
      </c>
      <c r="B36" s="17" t="s">
        <v>75</v>
      </c>
      <c r="C36" s="4"/>
      <c r="D36" s="4"/>
      <c r="E36" s="4"/>
      <c r="F36" s="4"/>
      <c r="G36" s="4"/>
      <c r="H36" s="4"/>
      <c r="I36" s="4"/>
      <c r="J36" s="4"/>
      <c r="K36" s="4"/>
      <c r="L36" s="4"/>
      <c r="M36" s="4">
        <v>5136</v>
      </c>
      <c r="N36" s="4">
        <v>1040</v>
      </c>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W36" s="4"/>
      <c r="CX36" s="4"/>
      <c r="CY36" s="4"/>
      <c r="CZ36" s="4"/>
      <c r="DA36" s="4"/>
      <c r="DB36" s="4"/>
      <c r="DC36" s="4"/>
      <c r="DD36" s="4"/>
      <c r="DE36" s="4"/>
      <c r="DF36" s="4"/>
      <c r="DG36" s="4"/>
      <c r="DH36" s="4"/>
      <c r="DI36" s="4"/>
      <c r="DJ36" s="4"/>
    </row>
    <row r="37" spans="1:114" x14ac:dyDescent="0.3">
      <c r="A37" s="16" t="s">
        <v>76</v>
      </c>
      <c r="B37" s="17" t="s">
        <v>77</v>
      </c>
      <c r="C37" s="4"/>
      <c r="D37" s="4"/>
      <c r="E37" s="4"/>
      <c r="F37" s="4"/>
      <c r="G37" s="4"/>
      <c r="H37" s="4"/>
      <c r="I37" s="4"/>
      <c r="J37" s="4">
        <v>2000</v>
      </c>
      <c r="K37" s="4">
        <v>2472</v>
      </c>
      <c r="L37" s="4"/>
      <c r="M37" s="4"/>
      <c r="N37" s="4"/>
      <c r="O37" s="4"/>
      <c r="P37" s="4"/>
      <c r="Q37" s="4"/>
      <c r="R37" s="4"/>
      <c r="S37" s="4"/>
      <c r="T37" s="4"/>
      <c r="U37" s="4"/>
      <c r="V37" s="4"/>
      <c r="W37" s="4"/>
      <c r="X37" s="4"/>
      <c r="Y37" s="4"/>
      <c r="Z37" s="4"/>
      <c r="AA37" s="4"/>
      <c r="AB37" s="4">
        <v>3108</v>
      </c>
      <c r="AC37" s="4">
        <v>2000</v>
      </c>
      <c r="AD37" s="4"/>
      <c r="AE37" s="4"/>
      <c r="AF37" s="4">
        <v>416</v>
      </c>
      <c r="AG37" s="4">
        <v>400</v>
      </c>
      <c r="AH37" s="4">
        <v>4000</v>
      </c>
      <c r="AI37" s="4">
        <v>2400</v>
      </c>
      <c r="AJ37" s="4"/>
      <c r="AK37" s="4">
        <v>3200</v>
      </c>
      <c r="AL37" s="4">
        <v>26208</v>
      </c>
      <c r="AM37" s="4">
        <v>71200</v>
      </c>
      <c r="AN37" s="4">
        <v>72400</v>
      </c>
      <c r="AO37" s="4">
        <v>88400</v>
      </c>
      <c r="AP37" s="4">
        <v>81200</v>
      </c>
      <c r="AQ37" s="4">
        <v>66800</v>
      </c>
      <c r="AR37" s="4">
        <v>5600</v>
      </c>
      <c r="AS37" s="4"/>
      <c r="AT37" s="4">
        <v>20000</v>
      </c>
      <c r="AU37" s="4">
        <v>5600</v>
      </c>
      <c r="AV37" s="4">
        <v>7600</v>
      </c>
      <c r="AW37" s="4">
        <f>4*200/50*1000</f>
        <v>16000</v>
      </c>
      <c r="AX37" s="4"/>
      <c r="AY37" s="4"/>
      <c r="AZ37" s="4"/>
      <c r="BA37" s="4"/>
      <c r="BB37" s="4"/>
      <c r="BC37" s="4"/>
      <c r="BD37" s="4">
        <f>49*200/50*1050</f>
        <v>205800</v>
      </c>
      <c r="BE37" s="4"/>
      <c r="BF37" s="4">
        <v>9360</v>
      </c>
      <c r="BG37" s="4">
        <f>1*200/50*1000</f>
        <v>4000</v>
      </c>
      <c r="BH37" s="4"/>
      <c r="BI37" s="4">
        <f>1*200/50*1000</f>
        <v>4000</v>
      </c>
      <c r="BJ37" s="4">
        <v>4000</v>
      </c>
      <c r="BK37" s="4"/>
      <c r="BL37" s="4"/>
      <c r="BM37" s="4"/>
      <c r="BN37" s="4"/>
      <c r="BO37" s="4"/>
      <c r="BP37" s="4"/>
      <c r="BQ37" s="4">
        <v>3921.5686274509803</v>
      </c>
      <c r="BR37" s="4"/>
      <c r="BS37" s="4"/>
      <c r="BU37" s="4"/>
      <c r="BV37" s="4"/>
      <c r="BW37" s="4"/>
      <c r="BX37" s="4"/>
      <c r="BY37" s="4"/>
      <c r="BZ37" s="4"/>
      <c r="CA37" s="4"/>
      <c r="CB37" s="4">
        <v>4000</v>
      </c>
      <c r="CC37" s="4"/>
      <c r="CD37" s="4"/>
      <c r="CE37" s="4"/>
      <c r="CF37" s="4"/>
      <c r="CG37" s="4"/>
      <c r="CH37" s="4">
        <v>7547.1698113207549</v>
      </c>
      <c r="CI37" s="4">
        <v>3921.5686274509803</v>
      </c>
      <c r="CJ37" s="4">
        <v>7407.4074074074069</v>
      </c>
      <c r="CK37" s="4">
        <v>7843.1372549019607</v>
      </c>
      <c r="CL37" s="4">
        <v>3636.363636363636</v>
      </c>
      <c r="CM37" s="4">
        <v>8000</v>
      </c>
      <c r="CN37" s="4"/>
      <c r="CO37" s="4">
        <v>3773.5849056603774</v>
      </c>
      <c r="CP37" s="4"/>
      <c r="CQ37" s="4">
        <v>3571.4285714285711</v>
      </c>
      <c r="CR37" s="4">
        <v>15384.615384615383</v>
      </c>
      <c r="CS37" s="4">
        <v>10169.491525423729</v>
      </c>
      <c r="CT37" s="4">
        <v>60000</v>
      </c>
      <c r="CU37" s="4">
        <v>60952.380952380954</v>
      </c>
      <c r="CV37" s="4">
        <v>4000</v>
      </c>
      <c r="CW37" s="4"/>
      <c r="CX37" s="4">
        <v>25000</v>
      </c>
      <c r="CY37" s="4">
        <v>784.31372549019613</v>
      </c>
      <c r="CZ37" s="4">
        <v>1176.4705882352941</v>
      </c>
      <c r="DA37" s="4"/>
      <c r="DB37" s="4"/>
      <c r="DC37" s="4"/>
      <c r="DD37" s="4"/>
      <c r="DE37" s="4"/>
      <c r="DF37" s="4"/>
      <c r="DG37" s="4">
        <v>3846.1538461538457</v>
      </c>
      <c r="DH37" s="4"/>
      <c r="DI37" s="4">
        <v>4000</v>
      </c>
      <c r="DJ37" s="4">
        <v>1785.7142857142856</v>
      </c>
    </row>
    <row r="38" spans="1:114" x14ac:dyDescent="0.3">
      <c r="A38" s="16"/>
      <c r="B38" s="17" t="s">
        <v>78</v>
      </c>
      <c r="C38" s="4"/>
      <c r="D38" s="4"/>
      <c r="E38" s="4"/>
      <c r="F38" s="4"/>
      <c r="G38" s="4"/>
      <c r="H38" s="4"/>
      <c r="I38" s="4"/>
      <c r="J38" s="4"/>
      <c r="K38" s="4"/>
      <c r="L38" s="4">
        <v>800</v>
      </c>
      <c r="M38" s="4"/>
      <c r="N38" s="4"/>
      <c r="O38" s="4"/>
      <c r="P38" s="4"/>
      <c r="Q38" s="4"/>
      <c r="R38" s="4"/>
      <c r="S38" s="4"/>
      <c r="T38" s="4"/>
      <c r="U38" s="4">
        <v>1600</v>
      </c>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W38" s="4"/>
      <c r="CX38" s="4"/>
      <c r="CY38" s="4"/>
      <c r="CZ38" s="4"/>
      <c r="DA38" s="4"/>
      <c r="DB38" s="4"/>
      <c r="DC38" s="4"/>
      <c r="DD38" s="4"/>
      <c r="DE38" s="4"/>
      <c r="DF38" s="4"/>
      <c r="DG38" s="4"/>
      <c r="DH38" s="4"/>
      <c r="DI38" s="4"/>
      <c r="DJ38" s="4"/>
    </row>
    <row r="39" spans="1:114" x14ac:dyDescent="0.3">
      <c r="A39" s="16"/>
      <c r="B39" s="17" t="s">
        <v>79</v>
      </c>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W39" s="4"/>
      <c r="CX39" s="4"/>
      <c r="CY39" s="4"/>
      <c r="CZ39" s="4"/>
      <c r="DA39" s="4"/>
      <c r="DB39" s="4"/>
      <c r="DC39" s="4"/>
      <c r="DD39" s="4"/>
      <c r="DE39" s="4"/>
      <c r="DF39" s="4"/>
      <c r="DG39" s="4"/>
      <c r="DH39" s="4"/>
      <c r="DI39" s="4"/>
      <c r="DJ39" s="4"/>
    </row>
    <row r="40" spans="1:114" x14ac:dyDescent="0.3">
      <c r="A40" s="16"/>
      <c r="B40" s="17" t="s">
        <v>80</v>
      </c>
      <c r="C40" s="4"/>
      <c r="D40" s="4"/>
      <c r="E40" s="4"/>
      <c r="F40" s="4"/>
      <c r="G40" s="4"/>
      <c r="H40" s="4">
        <f>2*200/45*1000</f>
        <v>8888.8888888888887</v>
      </c>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W40" s="4"/>
      <c r="CX40" s="4"/>
      <c r="CY40" s="4"/>
      <c r="CZ40" s="4"/>
      <c r="DA40" s="4"/>
      <c r="DB40" s="4"/>
      <c r="DC40" s="4"/>
      <c r="DD40" s="4"/>
      <c r="DE40" s="4"/>
      <c r="DF40" s="4"/>
      <c r="DG40" s="4"/>
      <c r="DH40" s="4"/>
      <c r="DI40" s="4"/>
      <c r="DJ40" s="4"/>
    </row>
    <row r="41" spans="1:114" x14ac:dyDescent="0.3">
      <c r="A41" s="22" t="s">
        <v>81</v>
      </c>
      <c r="B41" s="17" t="s">
        <v>82</v>
      </c>
      <c r="C41" s="4"/>
      <c r="D41" s="4"/>
      <c r="E41" s="4"/>
      <c r="F41" s="4"/>
      <c r="G41" s="4">
        <f>1*200/42*1000</f>
        <v>4761.9047619047615</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U41" s="4"/>
      <c r="BV41" s="4"/>
      <c r="BW41" s="4"/>
      <c r="BX41" s="4"/>
      <c r="BY41" s="4"/>
      <c r="BZ41" s="4"/>
      <c r="CA41" s="4"/>
      <c r="CB41" s="4"/>
      <c r="CC41" s="4"/>
      <c r="CD41" s="4"/>
      <c r="CE41" s="4"/>
      <c r="CF41" s="4"/>
      <c r="CG41" s="4"/>
      <c r="CH41" s="4"/>
      <c r="CI41" s="4"/>
      <c r="CJ41" s="4"/>
      <c r="CK41" s="4"/>
      <c r="CL41" s="4"/>
      <c r="CM41" s="4"/>
      <c r="CN41" s="4"/>
      <c r="CO41" s="4"/>
      <c r="CP41" s="4"/>
      <c r="CQ41" s="4">
        <v>3571.4285714285711</v>
      </c>
      <c r="CR41" s="4"/>
      <c r="CS41" s="4"/>
      <c r="CT41" s="4"/>
      <c r="CU41" s="4">
        <v>3809.5238095238096</v>
      </c>
      <c r="CW41" s="4"/>
      <c r="CX41" s="4"/>
      <c r="CY41" s="4"/>
      <c r="CZ41" s="4"/>
      <c r="DA41" s="4"/>
      <c r="DB41" s="4"/>
      <c r="DC41" s="4"/>
      <c r="DD41" s="4"/>
      <c r="DE41" s="4"/>
      <c r="DF41" s="4"/>
      <c r="DG41" s="4"/>
      <c r="DH41" s="4"/>
      <c r="DI41" s="4"/>
      <c r="DJ41" s="4"/>
    </row>
    <row r="42" spans="1:114" x14ac:dyDescent="0.3">
      <c r="A42" s="16" t="s">
        <v>83</v>
      </c>
      <c r="B42" s="17" t="s">
        <v>84</v>
      </c>
      <c r="C42" s="4"/>
      <c r="D42" s="4"/>
      <c r="E42" s="4"/>
      <c r="F42" s="4"/>
      <c r="G42" s="4"/>
      <c r="H42" s="4"/>
      <c r="I42" s="4">
        <f>0.1*200*1.04/50*1000</f>
        <v>416.00000000000006</v>
      </c>
      <c r="J42" s="4">
        <f>1.2*200/50*1000</f>
        <v>4800</v>
      </c>
      <c r="K42" s="4">
        <f>0.7*200*1.03/50*1000</f>
        <v>2884.0000000000005</v>
      </c>
      <c r="L42" s="4">
        <v>800</v>
      </c>
      <c r="M42" s="4">
        <v>5564</v>
      </c>
      <c r="N42" s="4">
        <v>7280</v>
      </c>
      <c r="O42" s="4">
        <v>5768</v>
      </c>
      <c r="P42" s="4">
        <v>4280</v>
      </c>
      <c r="Q42" s="4">
        <v>5936</v>
      </c>
      <c r="R42" s="4">
        <v>4992</v>
      </c>
      <c r="S42" s="4">
        <v>4000</v>
      </c>
      <c r="T42" s="4">
        <v>1600</v>
      </c>
      <c r="U42" s="4">
        <v>7600</v>
      </c>
      <c r="V42" s="4">
        <v>1600</v>
      </c>
      <c r="W42" s="4">
        <v>218360</v>
      </c>
      <c r="X42" s="4">
        <v>56952</v>
      </c>
      <c r="Y42" s="4">
        <v>25200</v>
      </c>
      <c r="Z42" s="4">
        <v>20000</v>
      </c>
      <c r="AA42" s="4">
        <v>10580</v>
      </c>
      <c r="AB42" s="4">
        <v>38628</v>
      </c>
      <c r="AC42" s="4">
        <v>9200</v>
      </c>
      <c r="AD42" s="4">
        <v>8400</v>
      </c>
      <c r="AE42" s="4">
        <v>31200</v>
      </c>
      <c r="AF42" s="4">
        <v>47424</v>
      </c>
      <c r="AG42" s="4">
        <v>3600</v>
      </c>
      <c r="AH42" s="4">
        <v>6400</v>
      </c>
      <c r="AI42" s="4">
        <v>6000</v>
      </c>
      <c r="AJ42" s="4"/>
      <c r="AK42" s="4">
        <v>11200</v>
      </c>
      <c r="AL42" s="4">
        <v>10816</v>
      </c>
      <c r="AM42" s="4">
        <v>1200</v>
      </c>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f>37*200/1.25/50*1000</f>
        <v>118400</v>
      </c>
      <c r="BO42" s="4"/>
      <c r="BP42" s="4"/>
      <c r="BQ42" s="4"/>
      <c r="BR42" s="4"/>
      <c r="BS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W42" s="4"/>
      <c r="CX42" s="4"/>
      <c r="CY42" s="4"/>
      <c r="CZ42" s="4"/>
      <c r="DA42" s="4"/>
      <c r="DB42" s="4"/>
      <c r="DC42" s="4"/>
      <c r="DD42" s="4"/>
      <c r="DE42" s="4"/>
      <c r="DF42" s="4"/>
      <c r="DG42" s="4"/>
      <c r="DH42" s="4"/>
      <c r="DI42" s="4"/>
      <c r="DJ42" s="4"/>
    </row>
    <row r="43" spans="1:114" x14ac:dyDescent="0.3">
      <c r="A43" s="16" t="s">
        <v>85</v>
      </c>
      <c r="B43" s="17" t="s">
        <v>86</v>
      </c>
      <c r="C43" s="4"/>
      <c r="D43" s="4">
        <v>8000</v>
      </c>
      <c r="E43" s="4"/>
      <c r="F43" s="4"/>
      <c r="G43" s="4"/>
      <c r="H43" s="4"/>
      <c r="I43" s="4">
        <f>0.8*200*1.04/50*1000</f>
        <v>3328.0000000000005</v>
      </c>
      <c r="J43" s="4">
        <f>1.7*200/50*1000</f>
        <v>6800</v>
      </c>
      <c r="K43" s="4">
        <f>1.8*200*1.03/50*1000</f>
        <v>7416</v>
      </c>
      <c r="L43" s="4">
        <f>1.4*4000</f>
        <v>5600</v>
      </c>
      <c r="M43" s="4">
        <v>5136</v>
      </c>
      <c r="N43" s="4">
        <v>3640</v>
      </c>
      <c r="O43" s="4">
        <v>7004</v>
      </c>
      <c r="P43" s="4">
        <v>7704</v>
      </c>
      <c r="Q43" s="4">
        <v>5512</v>
      </c>
      <c r="R43" s="4">
        <v>4576</v>
      </c>
      <c r="S43" s="4">
        <v>10800</v>
      </c>
      <c r="T43" s="4">
        <v>10400</v>
      </c>
      <c r="U43" s="4">
        <v>11200</v>
      </c>
      <c r="V43" s="4">
        <v>6800</v>
      </c>
      <c r="W43" s="4">
        <v>19776</v>
      </c>
      <c r="X43" s="4">
        <v>17176</v>
      </c>
      <c r="Y43" s="4">
        <v>12000</v>
      </c>
      <c r="Z43" s="4">
        <v>15200</v>
      </c>
      <c r="AA43" s="4">
        <v>28520</v>
      </c>
      <c r="AB43" s="4">
        <v>25308</v>
      </c>
      <c r="AC43" s="4">
        <v>2800</v>
      </c>
      <c r="AD43" s="4">
        <v>25200</v>
      </c>
      <c r="AE43" s="4">
        <v>8400</v>
      </c>
      <c r="AF43" s="4">
        <v>12480</v>
      </c>
      <c r="AG43" s="4">
        <v>25200</v>
      </c>
      <c r="AH43" s="4">
        <v>19200</v>
      </c>
      <c r="AI43" s="4">
        <v>52000</v>
      </c>
      <c r="AJ43" s="4"/>
      <c r="AK43" s="4">
        <v>88000</v>
      </c>
      <c r="AL43" s="4">
        <v>86112</v>
      </c>
      <c r="AM43" s="4">
        <v>93200</v>
      </c>
      <c r="AN43" s="4">
        <v>44800</v>
      </c>
      <c r="AO43" s="4">
        <v>40400</v>
      </c>
      <c r="AP43" s="4">
        <v>18800</v>
      </c>
      <c r="AQ43" s="4">
        <v>8800</v>
      </c>
      <c r="AR43" s="4">
        <v>800</v>
      </c>
      <c r="AS43" s="4"/>
      <c r="AT43" s="4">
        <v>2400</v>
      </c>
      <c r="AU43" s="4">
        <v>30400</v>
      </c>
      <c r="AV43" s="4">
        <v>40800</v>
      </c>
      <c r="AW43" s="4"/>
      <c r="AX43" s="4">
        <f>241*200/50*1000</f>
        <v>964000</v>
      </c>
      <c r="AY43" s="4">
        <f>25*200/50*1.27*1000</f>
        <v>127000</v>
      </c>
      <c r="AZ43" s="4"/>
      <c r="BA43" s="4"/>
      <c r="BB43" s="4"/>
      <c r="BC43" s="4"/>
      <c r="BD43" s="4"/>
      <c r="BE43" s="4">
        <f>3*200/50*1000</f>
        <v>12000</v>
      </c>
      <c r="BF43" s="4"/>
      <c r="BG43" s="4"/>
      <c r="BH43" s="4">
        <f>3*200*1.01/50*1000</f>
        <v>12120</v>
      </c>
      <c r="BI43" s="4">
        <f>2*200/50*1000</f>
        <v>8000</v>
      </c>
      <c r="BJ43" s="4">
        <v>16000</v>
      </c>
      <c r="BK43" s="4"/>
      <c r="BL43" s="4"/>
      <c r="BM43" s="4"/>
      <c r="BN43" s="4">
        <f>2*200/1.25/50*1000</f>
        <v>6400</v>
      </c>
      <c r="BO43" s="4"/>
      <c r="BP43" s="4"/>
      <c r="BQ43" s="4"/>
      <c r="BR43" s="4"/>
      <c r="BS43" s="4"/>
      <c r="BU43" s="4"/>
      <c r="BV43" s="4"/>
      <c r="BW43" s="4"/>
      <c r="BX43" s="4"/>
      <c r="BY43" s="4"/>
      <c r="BZ43" s="4"/>
      <c r="CA43" s="4"/>
      <c r="CB43" s="4">
        <v>4000</v>
      </c>
      <c r="CC43" s="4">
        <v>3686.6359447004611</v>
      </c>
      <c r="CD43" s="4">
        <v>42857.142857142855</v>
      </c>
      <c r="CE43" s="4"/>
      <c r="CF43" s="4"/>
      <c r="CG43" s="4"/>
      <c r="CH43" s="4">
        <v>7547.1698113207549</v>
      </c>
      <c r="CI43" s="4"/>
      <c r="CJ43" s="4"/>
      <c r="CK43" s="4"/>
      <c r="CL43" s="4"/>
      <c r="CM43" s="4"/>
      <c r="CN43" s="4"/>
      <c r="CO43" s="4"/>
      <c r="CP43" s="4">
        <v>7272.7272727272721</v>
      </c>
      <c r="CQ43" s="4"/>
      <c r="CR43" s="4"/>
      <c r="CS43" s="4">
        <v>6779.6610169491532</v>
      </c>
      <c r="CT43" s="4"/>
      <c r="CU43" s="4"/>
      <c r="CW43" s="4"/>
      <c r="CX43" s="4"/>
      <c r="CY43" s="4"/>
      <c r="CZ43" s="4"/>
      <c r="DA43" s="4"/>
      <c r="DB43" s="4"/>
      <c r="DC43" s="4"/>
      <c r="DD43" s="4"/>
      <c r="DE43" s="4"/>
      <c r="DF43" s="4"/>
      <c r="DG43" s="4"/>
      <c r="DH43" s="4"/>
      <c r="DI43" s="4"/>
      <c r="DJ43" s="4"/>
    </row>
    <row r="44" spans="1:114" x14ac:dyDescent="0.3">
      <c r="A44" s="16"/>
      <c r="B44" s="17" t="s">
        <v>87</v>
      </c>
      <c r="C44" s="4"/>
      <c r="D44" s="4"/>
      <c r="E44" s="4"/>
      <c r="F44" s="4"/>
      <c r="G44" s="4"/>
      <c r="H44" s="4"/>
      <c r="I44" s="4"/>
      <c r="J44" s="4"/>
      <c r="K44" s="4"/>
      <c r="L44" s="4"/>
      <c r="M44" s="4"/>
      <c r="N44" s="4"/>
      <c r="O44" s="4"/>
      <c r="P44" s="4"/>
      <c r="Q44" s="4"/>
      <c r="R44" s="4"/>
      <c r="S44" s="4"/>
      <c r="T44" s="4"/>
      <c r="U44" s="4"/>
      <c r="V44" s="4"/>
      <c r="W44" s="4"/>
      <c r="X44" s="4">
        <v>2712</v>
      </c>
      <c r="Y44" s="4"/>
      <c r="Z44" s="4"/>
      <c r="AA44" s="4">
        <v>29900</v>
      </c>
      <c r="AB44" s="4">
        <v>43068</v>
      </c>
      <c r="AC44" s="4"/>
      <c r="AD44" s="4"/>
      <c r="AE44" s="4"/>
      <c r="AF44" s="4">
        <v>1872</v>
      </c>
      <c r="AG44" s="4">
        <v>196000</v>
      </c>
      <c r="AH44" s="4">
        <v>69600</v>
      </c>
      <c r="AI44" s="4">
        <v>19200</v>
      </c>
      <c r="AJ44" s="4"/>
      <c r="AK44" s="4">
        <v>2400</v>
      </c>
      <c r="AL44" s="4">
        <v>832</v>
      </c>
      <c r="AM44" s="4">
        <v>800</v>
      </c>
      <c r="AN44" s="4">
        <v>2000</v>
      </c>
      <c r="AO44" s="4">
        <v>800</v>
      </c>
      <c r="AP44" s="4">
        <v>800</v>
      </c>
      <c r="AQ44" s="4"/>
      <c r="AR44" s="4"/>
      <c r="AS44" s="4"/>
      <c r="AT44" s="4"/>
      <c r="AU44" s="4"/>
      <c r="AV44" s="4"/>
      <c r="AW44" s="4">
        <f>1*200/50*1000</f>
        <v>4000</v>
      </c>
      <c r="AX44" s="4">
        <f>10*200/50*1000</f>
        <v>40000</v>
      </c>
      <c r="AY44" s="4"/>
      <c r="AZ44" s="4"/>
      <c r="BA44" s="4"/>
      <c r="BB44" s="4"/>
      <c r="BC44" s="4"/>
      <c r="BD44" s="4"/>
      <c r="BE44" s="4"/>
      <c r="BF44" s="4"/>
      <c r="BG44" s="4"/>
      <c r="BH44" s="4">
        <f>4*200*1.01/50*1000</f>
        <v>16160</v>
      </c>
      <c r="BI44" s="4">
        <f>2*200/50*1000</f>
        <v>8000</v>
      </c>
      <c r="BJ44" s="4">
        <v>28000</v>
      </c>
      <c r="BK44" s="4"/>
      <c r="BL44" s="4"/>
      <c r="BM44" s="4"/>
      <c r="BN44" s="4"/>
      <c r="BO44" s="4"/>
      <c r="BP44" s="4"/>
      <c r="BQ44" s="4"/>
      <c r="BR44" s="4"/>
      <c r="BS44" s="4">
        <v>12000</v>
      </c>
      <c r="BU44" s="4"/>
      <c r="BV44" s="4"/>
      <c r="BW44" s="4"/>
      <c r="BX44" s="4"/>
      <c r="BY44" s="4"/>
      <c r="BZ44" s="4"/>
      <c r="CA44" s="4"/>
      <c r="CB44" s="4"/>
      <c r="CC44" s="4"/>
      <c r="CD44" s="4"/>
      <c r="CE44" s="4"/>
      <c r="CF44" s="4"/>
      <c r="CG44" s="4"/>
      <c r="CH44" s="4"/>
      <c r="CI44" s="4">
        <v>7843.1372549019607</v>
      </c>
      <c r="CJ44" s="4"/>
      <c r="CK44" s="4"/>
      <c r="CL44" s="4"/>
      <c r="CM44" s="4"/>
      <c r="CN44" s="4"/>
      <c r="CO44" s="4"/>
      <c r="CP44" s="4"/>
      <c r="CQ44" s="4">
        <v>3571.4285714285711</v>
      </c>
      <c r="CR44" s="4"/>
      <c r="CS44" s="4"/>
      <c r="CT44" s="4"/>
      <c r="CU44" s="4"/>
      <c r="CW44" s="4"/>
      <c r="CX44" s="4"/>
      <c r="CY44" s="4"/>
      <c r="CZ44" s="4"/>
      <c r="DA44" s="4"/>
      <c r="DB44" s="4"/>
      <c r="DC44" s="4"/>
      <c r="DD44" s="4"/>
      <c r="DE44" s="4"/>
      <c r="DF44" s="4"/>
      <c r="DG44" s="4"/>
      <c r="DH44" s="4"/>
      <c r="DI44" s="4"/>
      <c r="DJ44" s="4"/>
    </row>
    <row r="45" spans="1:114" x14ac:dyDescent="0.3">
      <c r="A45" s="16"/>
      <c r="B45" s="17" t="s">
        <v>88</v>
      </c>
      <c r="C45" s="4"/>
      <c r="D45" s="4"/>
      <c r="E45" s="4"/>
      <c r="F45" s="4"/>
      <c r="G45" s="4"/>
      <c r="H45" s="4"/>
      <c r="I45" s="4"/>
      <c r="J45" s="4"/>
      <c r="K45" s="4"/>
      <c r="L45" s="4"/>
      <c r="M45" s="4"/>
      <c r="N45" s="4"/>
      <c r="O45" s="4">
        <v>412</v>
      </c>
      <c r="P45" s="4">
        <v>428</v>
      </c>
      <c r="Q45" s="4">
        <v>1696</v>
      </c>
      <c r="R45" s="4"/>
      <c r="S45" s="4">
        <v>400</v>
      </c>
      <c r="T45" s="4">
        <v>400</v>
      </c>
      <c r="U45" s="4"/>
      <c r="V45" s="4"/>
      <c r="W45" s="4">
        <v>412</v>
      </c>
      <c r="X45" s="4"/>
      <c r="Y45" s="4"/>
      <c r="Z45" s="4"/>
      <c r="AA45" s="4"/>
      <c r="AB45" s="4">
        <v>444</v>
      </c>
      <c r="AC45" s="4"/>
      <c r="AD45" s="4"/>
      <c r="AE45" s="4"/>
      <c r="AF45" s="4"/>
      <c r="AG45" s="4"/>
      <c r="AH45" s="4"/>
      <c r="AI45" s="4">
        <v>800</v>
      </c>
      <c r="AJ45" s="4"/>
      <c r="AK45" s="4"/>
      <c r="AL45" s="4"/>
      <c r="AM45" s="4">
        <v>800</v>
      </c>
      <c r="AN45" s="4">
        <v>400</v>
      </c>
      <c r="AO45" s="4"/>
      <c r="AP45" s="4"/>
      <c r="AQ45" s="4"/>
      <c r="AR45" s="4"/>
      <c r="AS45" s="4"/>
      <c r="AT45" s="4"/>
      <c r="AU45" s="4"/>
      <c r="AV45" s="4"/>
      <c r="AW45" s="4"/>
      <c r="AX45" s="4"/>
      <c r="AY45" s="4"/>
      <c r="AZ45" s="4"/>
      <c r="BA45" s="4"/>
      <c r="BB45" s="4"/>
      <c r="BC45" s="4"/>
      <c r="BD45" s="4"/>
      <c r="BE45" s="4"/>
      <c r="BF45" s="4"/>
      <c r="BG45" s="4"/>
      <c r="BH45" s="4"/>
      <c r="BI45" s="4">
        <v>4000</v>
      </c>
      <c r="BJ45" s="4"/>
      <c r="BK45" s="4"/>
      <c r="BL45" s="4"/>
      <c r="BM45" s="4"/>
      <c r="BN45" s="4"/>
      <c r="BO45" s="4">
        <v>960</v>
      </c>
      <c r="BP45" s="4"/>
      <c r="BQ45" s="4"/>
      <c r="BR45" s="4"/>
      <c r="BS45" s="4"/>
      <c r="BU45" s="4"/>
      <c r="BV45" s="4"/>
      <c r="BW45" s="4"/>
      <c r="BX45" s="4"/>
      <c r="BY45" s="4"/>
      <c r="BZ45" s="4"/>
      <c r="CA45" s="4"/>
      <c r="CB45" s="4">
        <v>4000</v>
      </c>
      <c r="CC45" s="4"/>
      <c r="CD45" s="4">
        <v>7142.8571428571422</v>
      </c>
      <c r="CE45" s="4"/>
      <c r="CF45" s="4"/>
      <c r="CG45" s="4"/>
      <c r="CH45" s="4"/>
      <c r="CI45" s="4"/>
      <c r="CJ45" s="4"/>
      <c r="CK45" s="4"/>
      <c r="CL45" s="4"/>
      <c r="CM45" s="4"/>
      <c r="CN45" s="4"/>
      <c r="CO45" s="4"/>
      <c r="CP45" s="4">
        <v>3636.363636363636</v>
      </c>
      <c r="CQ45" s="4"/>
      <c r="CR45" s="4"/>
      <c r="CS45" s="4"/>
      <c r="CT45" s="4"/>
      <c r="CU45" s="4"/>
      <c r="CW45" s="4"/>
      <c r="CX45" s="4"/>
      <c r="CY45" s="4"/>
      <c r="CZ45" s="4"/>
      <c r="DA45" s="4"/>
      <c r="DB45" s="4"/>
      <c r="DC45" s="4"/>
      <c r="DD45" s="4"/>
      <c r="DE45" s="4"/>
      <c r="DF45" s="4"/>
      <c r="DG45" s="4"/>
      <c r="DH45" s="4"/>
      <c r="DI45" s="4"/>
      <c r="DJ45" s="4"/>
    </row>
    <row r="46" spans="1:114" x14ac:dyDescent="0.3">
      <c r="A46" s="16" t="s">
        <v>89</v>
      </c>
      <c r="B46" s="17" t="s">
        <v>90</v>
      </c>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W46" s="4"/>
      <c r="CX46" s="4"/>
      <c r="CY46" s="4"/>
      <c r="CZ46" s="4"/>
      <c r="DA46" s="4"/>
      <c r="DB46" s="4"/>
      <c r="DC46" s="4"/>
      <c r="DD46" s="4"/>
      <c r="DE46" s="4"/>
      <c r="DF46" s="4"/>
      <c r="DG46" s="4"/>
      <c r="DH46" s="4"/>
      <c r="DI46" s="4"/>
      <c r="DJ46" s="4">
        <v>21428.571428571428</v>
      </c>
    </row>
    <row r="47" spans="1:114" x14ac:dyDescent="0.3">
      <c r="A47" s="16" t="s">
        <v>91</v>
      </c>
      <c r="B47" s="17" t="s">
        <v>92</v>
      </c>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W47" s="4"/>
      <c r="CX47" s="4"/>
      <c r="CY47" s="4"/>
      <c r="CZ47" s="4"/>
      <c r="DA47" s="4"/>
      <c r="DB47" s="4"/>
      <c r="DC47" s="4"/>
      <c r="DD47" s="4"/>
      <c r="DE47" s="4"/>
      <c r="DF47" s="4"/>
      <c r="DG47" s="4"/>
      <c r="DH47" s="4"/>
      <c r="DI47" s="4"/>
      <c r="DJ47" s="4">
        <v>3571.4285714285711</v>
      </c>
    </row>
    <row r="48" spans="1:114" x14ac:dyDescent="0.3">
      <c r="A48" s="16" t="s">
        <v>93</v>
      </c>
      <c r="B48" s="17" t="s">
        <v>94</v>
      </c>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W48" s="4"/>
      <c r="CX48" s="4"/>
      <c r="CY48" s="4"/>
      <c r="CZ48" s="4"/>
      <c r="DA48" s="4"/>
      <c r="DB48" s="4"/>
      <c r="DC48" s="4"/>
      <c r="DD48" s="4"/>
      <c r="DE48" s="4"/>
      <c r="DF48" s="4"/>
      <c r="DG48" s="4"/>
      <c r="DH48" s="4"/>
      <c r="DI48" s="4"/>
      <c r="DJ48" s="4"/>
    </row>
    <row r="49" spans="1:114" x14ac:dyDescent="0.3">
      <c r="A49" s="16"/>
      <c r="B49" s="17" t="s">
        <v>95</v>
      </c>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W49" s="4"/>
      <c r="CX49" s="4"/>
      <c r="CY49" s="4"/>
      <c r="CZ49" s="4"/>
      <c r="DA49" s="4"/>
      <c r="DB49" s="4"/>
      <c r="DC49" s="4"/>
      <c r="DD49" s="4"/>
      <c r="DE49" s="4"/>
      <c r="DF49" s="4"/>
      <c r="DG49" s="4"/>
      <c r="DH49" s="4"/>
      <c r="DI49" s="4"/>
      <c r="DJ49" s="4"/>
    </row>
    <row r="50" spans="1:114" x14ac:dyDescent="0.3">
      <c r="A50" s="16" t="s">
        <v>96</v>
      </c>
      <c r="B50" s="17" t="s">
        <v>97</v>
      </c>
      <c r="C50" s="4"/>
      <c r="D50" s="4">
        <v>4000</v>
      </c>
      <c r="E50" s="4"/>
      <c r="F50" s="4"/>
      <c r="G50" s="4"/>
      <c r="H50" s="4"/>
      <c r="I50" s="4"/>
      <c r="J50" s="4"/>
      <c r="K50" s="4"/>
      <c r="L50" s="4"/>
      <c r="M50" s="4"/>
      <c r="N50" s="4"/>
      <c r="O50" s="4"/>
      <c r="P50" s="4"/>
      <c r="Q50" s="4"/>
      <c r="R50" s="4"/>
      <c r="S50" s="4"/>
      <c r="T50" s="4"/>
      <c r="U50" s="4"/>
      <c r="V50" s="4"/>
      <c r="W50" s="4"/>
      <c r="X50" s="4"/>
      <c r="Y50" s="4"/>
      <c r="Z50" s="4"/>
      <c r="AA50" s="4"/>
      <c r="AB50" s="4">
        <v>444</v>
      </c>
      <c r="AC50" s="4"/>
      <c r="AD50" s="4"/>
      <c r="AE50" s="4"/>
      <c r="AF50" s="4"/>
      <c r="AG50" s="4"/>
      <c r="AH50" s="4"/>
      <c r="AI50" s="4"/>
      <c r="AJ50" s="4"/>
      <c r="AK50" s="4"/>
      <c r="AL50" s="4"/>
      <c r="AM50" s="4"/>
      <c r="AN50" s="4"/>
      <c r="AO50" s="4"/>
      <c r="AP50" s="4"/>
      <c r="AQ50" s="4"/>
      <c r="AR50" s="4"/>
      <c r="AS50" s="4"/>
      <c r="AT50" s="4"/>
      <c r="AU50" s="4"/>
      <c r="AV50" s="4"/>
      <c r="AW50" s="4"/>
      <c r="AX50" s="4"/>
      <c r="AY50" s="4"/>
      <c r="AZ50" s="4">
        <f>2*200/50*1.15*1000</f>
        <v>9200</v>
      </c>
      <c r="BA50" s="4">
        <f>3*200/50*1050</f>
        <v>12600</v>
      </c>
      <c r="BB50" s="4"/>
      <c r="BC50" s="4">
        <f>2*200/50*1000</f>
        <v>8000</v>
      </c>
      <c r="BD50" s="4">
        <f>1*200/50*1050</f>
        <v>4200</v>
      </c>
      <c r="BE50" s="4"/>
      <c r="BF50" s="4"/>
      <c r="BG50" s="4"/>
      <c r="BH50" s="4"/>
      <c r="BI50" s="4"/>
      <c r="BJ50" s="4"/>
      <c r="BK50" s="4"/>
      <c r="BL50" s="4"/>
      <c r="BM50" s="4"/>
      <c r="BN50" s="4"/>
      <c r="BO50" s="4"/>
      <c r="BP50" s="4"/>
      <c r="BQ50" s="4"/>
      <c r="BR50" s="4"/>
      <c r="BS50" s="4"/>
      <c r="BU50" s="4"/>
      <c r="BV50" s="4"/>
      <c r="BW50" s="4"/>
      <c r="BX50" s="4"/>
      <c r="BY50" s="4"/>
      <c r="BZ50" s="4"/>
      <c r="CA50" s="4"/>
      <c r="CB50" s="4"/>
      <c r="CC50" s="4"/>
      <c r="CD50" s="4"/>
      <c r="CE50" s="4"/>
      <c r="CF50" s="4"/>
      <c r="CG50" s="4"/>
      <c r="CH50" s="4">
        <v>3773.5849056603774</v>
      </c>
      <c r="CI50" s="4">
        <v>3921.5686274509803</v>
      </c>
      <c r="CJ50" s="4"/>
      <c r="CK50" s="4"/>
      <c r="CL50" s="4"/>
      <c r="CM50" s="4"/>
      <c r="CN50" s="4"/>
      <c r="CO50" s="4">
        <v>3773.5849056603774</v>
      </c>
      <c r="CP50" s="4">
        <v>7272.7272727272721</v>
      </c>
      <c r="CQ50" s="4"/>
      <c r="CR50" s="4"/>
      <c r="CS50" s="4"/>
      <c r="CT50" s="4">
        <v>4000</v>
      </c>
      <c r="CU50" s="4"/>
      <c r="CW50" s="4">
        <v>268.45637583892619</v>
      </c>
      <c r="CX50" s="4"/>
      <c r="CY50" s="4"/>
      <c r="CZ50" s="4">
        <v>15686.274509803921</v>
      </c>
      <c r="DA50" s="4"/>
      <c r="DB50" s="4"/>
      <c r="DC50" s="4"/>
      <c r="DD50" s="4"/>
      <c r="DE50" s="4"/>
      <c r="DF50" s="4"/>
      <c r="DG50" s="4"/>
      <c r="DH50" s="4"/>
      <c r="DI50" s="4"/>
      <c r="DJ50" s="4"/>
    </row>
    <row r="51" spans="1:114" x14ac:dyDescent="0.3">
      <c r="A51" s="16"/>
      <c r="B51" s="17" t="s">
        <v>98</v>
      </c>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f>2*200/50*1050</f>
        <v>8400</v>
      </c>
      <c r="BE51" s="4">
        <f>4*200/50*1000</f>
        <v>16000</v>
      </c>
      <c r="BF51" s="4"/>
      <c r="BG51" s="4">
        <f>1*200/50*1000</f>
        <v>4000</v>
      </c>
      <c r="BH51" s="4"/>
      <c r="BI51" s="4"/>
      <c r="BJ51" s="4"/>
      <c r="BK51" s="4"/>
      <c r="BL51" s="4"/>
      <c r="BM51" s="4"/>
      <c r="BN51" s="4"/>
      <c r="BO51" s="4"/>
      <c r="BP51" s="4"/>
      <c r="BQ51" s="4">
        <v>15686.274509803921</v>
      </c>
      <c r="BR51" s="4"/>
      <c r="BS51" s="4"/>
      <c r="BU51" s="4"/>
      <c r="BV51" s="4"/>
      <c r="BW51" s="4"/>
      <c r="BX51" s="4"/>
      <c r="BY51" s="4"/>
      <c r="BZ51" s="4"/>
      <c r="CA51" s="4">
        <v>2857.1428571428573</v>
      </c>
      <c r="CB51" s="4"/>
      <c r="CC51" s="4">
        <v>7373.2718894009222</v>
      </c>
      <c r="CD51" s="4">
        <v>3571.4285714285711</v>
      </c>
      <c r="CE51" s="4"/>
      <c r="CF51" s="4"/>
      <c r="CG51" s="4"/>
      <c r="CH51" s="4"/>
      <c r="CI51" s="4"/>
      <c r="CJ51" s="4"/>
      <c r="CK51" s="4"/>
      <c r="CL51" s="4"/>
      <c r="CM51" s="4"/>
      <c r="CN51" s="4">
        <v>4000</v>
      </c>
      <c r="CO51" s="4"/>
      <c r="CP51" s="4"/>
      <c r="CQ51" s="4"/>
      <c r="CR51" s="4"/>
      <c r="CS51" s="4"/>
      <c r="CT51" s="4">
        <v>20000</v>
      </c>
      <c r="CU51" s="4">
        <v>3809.5238095238096</v>
      </c>
      <c r="CV51" s="2">
        <v>4000</v>
      </c>
      <c r="CW51" s="4"/>
      <c r="CX51" s="4"/>
      <c r="CY51" s="4"/>
      <c r="CZ51" s="4">
        <v>7843.1372549019607</v>
      </c>
      <c r="DA51" s="4"/>
      <c r="DB51" s="4">
        <v>10714.285714285714</v>
      </c>
      <c r="DC51" s="4">
        <v>3571.4285714285711</v>
      </c>
      <c r="DD51" s="4">
        <v>8679.2452830188668</v>
      </c>
      <c r="DE51" s="4"/>
      <c r="DF51" s="4">
        <v>3846.1538461538457</v>
      </c>
      <c r="DG51" s="4"/>
      <c r="DH51" s="4"/>
      <c r="DI51" s="4"/>
      <c r="DJ51" s="4">
        <v>7142.8571428571422</v>
      </c>
    </row>
    <row r="52" spans="1:114" x14ac:dyDescent="0.3">
      <c r="A52" s="16" t="s">
        <v>99</v>
      </c>
      <c r="B52" s="17" t="s">
        <v>100</v>
      </c>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W52" s="4"/>
      <c r="CX52" s="4"/>
      <c r="CY52" s="4"/>
      <c r="CZ52" s="4">
        <v>1960.7843137254902</v>
      </c>
      <c r="DA52" s="4"/>
      <c r="DB52" s="4"/>
      <c r="DC52" s="4"/>
      <c r="DD52" s="4"/>
      <c r="DE52" s="4"/>
      <c r="DF52" s="4"/>
      <c r="DG52" s="4"/>
      <c r="DH52" s="4"/>
      <c r="DI52" s="4"/>
      <c r="DJ52" s="4">
        <v>3571.4285714285711</v>
      </c>
    </row>
    <row r="53" spans="1:114" x14ac:dyDescent="0.3">
      <c r="A53" s="16" t="s">
        <v>101</v>
      </c>
      <c r="B53" s="17" t="s">
        <v>102</v>
      </c>
      <c r="C53" s="4"/>
      <c r="D53" s="4">
        <v>2000</v>
      </c>
      <c r="E53" s="4">
        <v>12000</v>
      </c>
      <c r="F53" s="4">
        <v>2000</v>
      </c>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f>14*200/50*1000</f>
        <v>56000</v>
      </c>
      <c r="AX53" s="4"/>
      <c r="AY53" s="4"/>
      <c r="AZ53" s="4"/>
      <c r="BA53" s="4"/>
      <c r="BB53" s="4"/>
      <c r="BC53" s="4">
        <f>2*200/50*1000</f>
        <v>8000</v>
      </c>
      <c r="BD53" s="4"/>
      <c r="BE53" s="4"/>
      <c r="BF53" s="4"/>
      <c r="BG53" s="4"/>
      <c r="BH53" s="4">
        <f>4*200*1.01/50*1000</f>
        <v>16160</v>
      </c>
      <c r="BI53" s="4"/>
      <c r="BJ53" s="4"/>
      <c r="BK53" s="4"/>
      <c r="BL53" s="4"/>
      <c r="BM53" s="4"/>
      <c r="BN53" s="4"/>
      <c r="BO53" s="4">
        <v>3200</v>
      </c>
      <c r="BP53" s="4"/>
      <c r="BQ53" s="4">
        <v>27450.98039215686</v>
      </c>
      <c r="BR53" s="4"/>
      <c r="BS53" s="4"/>
      <c r="BU53" s="4"/>
      <c r="BV53" s="4"/>
      <c r="BW53" s="4"/>
      <c r="BX53" s="4"/>
      <c r="BY53" s="4"/>
      <c r="BZ53" s="4"/>
      <c r="CA53" s="4">
        <v>2857.1428571428573</v>
      </c>
      <c r="CB53" s="4"/>
      <c r="CC53" s="4"/>
      <c r="CD53" s="4">
        <v>7142.8571428571422</v>
      </c>
      <c r="CE53" s="4"/>
      <c r="CF53" s="4"/>
      <c r="CG53" s="4"/>
      <c r="CH53" s="4"/>
      <c r="CI53" s="4">
        <v>7843.1372549019607</v>
      </c>
      <c r="CJ53" s="4"/>
      <c r="CK53" s="4"/>
      <c r="CL53" s="4"/>
      <c r="CM53" s="4"/>
      <c r="CN53" s="4"/>
      <c r="CO53" s="4">
        <v>1132.0754716981132</v>
      </c>
      <c r="CP53" s="4"/>
      <c r="CQ53" s="4">
        <v>3571.4285714285711</v>
      </c>
      <c r="CR53" s="4">
        <v>1538.4615384615383</v>
      </c>
      <c r="CS53" s="4">
        <v>10169.491525423729</v>
      </c>
      <c r="CT53" s="4"/>
      <c r="CU53" s="4">
        <v>3809.5238095238096</v>
      </c>
      <c r="CV53" s="4"/>
      <c r="CW53" s="4">
        <v>536.91275167785238</v>
      </c>
      <c r="CX53" s="4">
        <v>714.28571428571422</v>
      </c>
      <c r="CY53" s="4">
        <v>7843.1372549019607</v>
      </c>
      <c r="CZ53" s="4"/>
      <c r="DA53" s="4"/>
      <c r="DB53" s="4"/>
      <c r="DC53" s="4"/>
      <c r="DD53" s="4"/>
      <c r="DE53" s="4"/>
      <c r="DF53" s="4"/>
      <c r="DG53" s="4">
        <v>15384.615384615383</v>
      </c>
      <c r="DH53" s="4"/>
      <c r="DI53" s="4">
        <v>8000</v>
      </c>
      <c r="DJ53" s="4"/>
    </row>
    <row r="54" spans="1:114" x14ac:dyDescent="0.3">
      <c r="A54" s="16" t="s">
        <v>103</v>
      </c>
      <c r="B54" s="17" t="s">
        <v>104</v>
      </c>
      <c r="C54" s="4"/>
      <c r="D54" s="4"/>
      <c r="E54" s="4"/>
      <c r="F54" s="4">
        <v>6000</v>
      </c>
      <c r="G54" s="4"/>
      <c r="H54" s="4"/>
      <c r="I54" s="4"/>
      <c r="J54" s="4">
        <f>0.3*200/50*1000</f>
        <v>1200</v>
      </c>
      <c r="K54" s="4"/>
      <c r="L54" s="4"/>
      <c r="M54" s="4">
        <v>11556</v>
      </c>
      <c r="N54" s="4">
        <v>10400</v>
      </c>
      <c r="O54" s="4">
        <v>7416</v>
      </c>
      <c r="P54" s="4">
        <v>11128</v>
      </c>
      <c r="Q54" s="4">
        <v>7208</v>
      </c>
      <c r="R54" s="4">
        <v>7904</v>
      </c>
      <c r="S54" s="4">
        <v>6400</v>
      </c>
      <c r="T54" s="4">
        <v>8800</v>
      </c>
      <c r="U54" s="4">
        <v>9200</v>
      </c>
      <c r="V54" s="4">
        <v>4400</v>
      </c>
      <c r="W54" s="4">
        <v>412</v>
      </c>
      <c r="X54" s="4">
        <v>452</v>
      </c>
      <c r="Y54" s="4"/>
      <c r="Z54" s="4"/>
      <c r="AA54" s="4"/>
      <c r="AB54" s="4"/>
      <c r="AC54" s="4"/>
      <c r="AD54" s="4">
        <v>400</v>
      </c>
      <c r="AE54" s="4">
        <v>400</v>
      </c>
      <c r="AF54" s="4">
        <v>374.4</v>
      </c>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f>24*200/1.25/50*1000</f>
        <v>76800</v>
      </c>
      <c r="BO54" s="4"/>
      <c r="BP54" s="4"/>
      <c r="BQ54" s="4"/>
      <c r="BR54" s="4"/>
      <c r="BS54" s="4"/>
      <c r="BU54" s="4"/>
      <c r="BV54" s="4"/>
      <c r="BW54" s="4"/>
      <c r="BX54" s="4"/>
      <c r="BY54" s="4"/>
      <c r="BZ54" s="4"/>
      <c r="CA54" s="4"/>
      <c r="CB54" s="4"/>
      <c r="CC54" s="4">
        <v>3686.6359447004611</v>
      </c>
      <c r="CD54" s="4"/>
      <c r="CE54" s="4"/>
      <c r="CF54" s="4"/>
      <c r="CG54" s="4"/>
      <c r="CH54" s="4"/>
      <c r="CI54" s="4"/>
      <c r="CJ54" s="4">
        <v>7407.4074074074069</v>
      </c>
      <c r="CK54" s="4">
        <v>3921.5686274509803</v>
      </c>
      <c r="CL54" s="4"/>
      <c r="CM54" s="4"/>
      <c r="CN54" s="4"/>
      <c r="CO54" s="4"/>
      <c r="CP54" s="4">
        <v>3636.363636363636</v>
      </c>
      <c r="CQ54" s="4"/>
      <c r="CR54" s="4"/>
      <c r="CS54" s="4"/>
      <c r="CT54" s="4"/>
      <c r="CU54" s="4"/>
      <c r="CW54" s="4"/>
      <c r="CX54" s="4"/>
      <c r="CY54" s="4"/>
      <c r="CZ54" s="4"/>
      <c r="DA54" s="4"/>
      <c r="DB54" s="4"/>
      <c r="DC54" s="4"/>
      <c r="DD54" s="4"/>
      <c r="DE54" s="4"/>
      <c r="DF54" s="4"/>
      <c r="DG54" s="4"/>
      <c r="DH54" s="4"/>
      <c r="DI54" s="4"/>
      <c r="DJ54" s="4"/>
    </row>
    <row r="55" spans="1:114" x14ac:dyDescent="0.3">
      <c r="A55" s="16"/>
      <c r="B55" s="17" t="s">
        <v>105</v>
      </c>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v>12800</v>
      </c>
      <c r="BP55" s="4"/>
      <c r="BQ55" s="4">
        <v>784.31372549019613</v>
      </c>
      <c r="BR55" s="4"/>
      <c r="BS55" s="4"/>
      <c r="BU55" s="4"/>
      <c r="BV55" s="4"/>
      <c r="BW55" s="4"/>
      <c r="BX55" s="4"/>
      <c r="BY55" s="4"/>
      <c r="BZ55" s="4"/>
      <c r="CA55" s="4"/>
      <c r="CB55" s="4"/>
      <c r="CC55" s="4">
        <v>3686.6359447004611</v>
      </c>
      <c r="CD55" s="4"/>
      <c r="CE55" s="4"/>
      <c r="CF55" s="4"/>
      <c r="CG55" s="4"/>
      <c r="CH55" s="4"/>
      <c r="CI55" s="4"/>
      <c r="CJ55" s="4"/>
      <c r="CK55" s="4"/>
      <c r="CL55" s="4"/>
      <c r="CM55" s="4">
        <v>4000</v>
      </c>
      <c r="CN55" s="4"/>
      <c r="CO55" s="4"/>
      <c r="CP55" s="4"/>
      <c r="CQ55" s="4"/>
      <c r="CR55" s="4"/>
      <c r="CS55" s="4"/>
      <c r="CT55" s="4"/>
      <c r="CU55" s="4"/>
      <c r="CW55" s="4"/>
      <c r="CX55" s="4"/>
      <c r="CY55" s="4"/>
      <c r="CZ55" s="4"/>
      <c r="DA55" s="4"/>
      <c r="DB55" s="4"/>
      <c r="DC55" s="4"/>
      <c r="DD55" s="4"/>
      <c r="DE55" s="4"/>
      <c r="DF55" s="4"/>
      <c r="DG55" s="4"/>
      <c r="DH55" s="4"/>
      <c r="DI55" s="4"/>
      <c r="DJ55" s="4"/>
    </row>
    <row r="56" spans="1:114" x14ac:dyDescent="0.3">
      <c r="A56" s="16"/>
      <c r="B56" s="17" t="s">
        <v>106</v>
      </c>
      <c r="C56" s="4"/>
      <c r="D56" s="4"/>
      <c r="E56" s="4"/>
      <c r="F56" s="4"/>
      <c r="G56" s="4"/>
      <c r="H56" s="4"/>
      <c r="I56" s="4">
        <f>0.2*200*1.04/50*1000</f>
        <v>832.00000000000011</v>
      </c>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W56" s="4"/>
      <c r="CX56" s="4"/>
      <c r="CY56" s="4"/>
      <c r="CZ56" s="4"/>
      <c r="DA56" s="4"/>
      <c r="DB56" s="4"/>
      <c r="DC56" s="4"/>
      <c r="DD56" s="4"/>
      <c r="DE56" s="4"/>
      <c r="DF56" s="4"/>
      <c r="DG56" s="4"/>
      <c r="DH56" s="4"/>
      <c r="DI56" s="4"/>
      <c r="DJ56" s="4"/>
    </row>
    <row r="57" spans="1:114" x14ac:dyDescent="0.3">
      <c r="A57" s="16" t="s">
        <v>107</v>
      </c>
      <c r="B57" s="17" t="s">
        <v>108</v>
      </c>
      <c r="C57" s="4">
        <f>1*200/50*1000</f>
        <v>4000</v>
      </c>
      <c r="D57" s="4"/>
      <c r="E57" s="4">
        <v>4000</v>
      </c>
      <c r="F57" s="4">
        <v>8000</v>
      </c>
      <c r="G57" s="4">
        <f>5*200/42*1000</f>
        <v>23809.523809523809</v>
      </c>
      <c r="H57" s="4">
        <f>2.5*200/45*1000</f>
        <v>11111.111111111111</v>
      </c>
      <c r="I57" s="4">
        <f>4.9*200*1.04/50*1000</f>
        <v>20384.000000000004</v>
      </c>
      <c r="J57" s="4">
        <f>11*200/50*1000</f>
        <v>44000</v>
      </c>
      <c r="K57" s="4">
        <f>10.1*200*1.03/50*1000</f>
        <v>41611.999999999993</v>
      </c>
      <c r="L57" s="4">
        <v>16000</v>
      </c>
      <c r="M57" s="4">
        <v>17120</v>
      </c>
      <c r="N57" s="4">
        <v>34840</v>
      </c>
      <c r="O57" s="4">
        <v>10712</v>
      </c>
      <c r="P57" s="4">
        <v>19688</v>
      </c>
      <c r="Q57" s="4">
        <v>26712</v>
      </c>
      <c r="R57" s="4">
        <v>22048</v>
      </c>
      <c r="S57" s="4">
        <v>22800</v>
      </c>
      <c r="T57" s="4">
        <v>14800</v>
      </c>
      <c r="U57" s="4">
        <v>22400</v>
      </c>
      <c r="V57" s="4">
        <v>21600</v>
      </c>
      <c r="W57" s="4">
        <v>15244</v>
      </c>
      <c r="X57" s="4">
        <v>16724</v>
      </c>
      <c r="Y57" s="4">
        <v>4000</v>
      </c>
      <c r="Z57" s="4">
        <v>18800</v>
      </c>
      <c r="AA57" s="4">
        <v>1380</v>
      </c>
      <c r="AB57" s="4">
        <v>15096</v>
      </c>
      <c r="AC57" s="4"/>
      <c r="AD57" s="4">
        <v>3200</v>
      </c>
      <c r="AE57" s="4"/>
      <c r="AF57" s="4">
        <v>12480</v>
      </c>
      <c r="AG57" s="4">
        <v>72000</v>
      </c>
      <c r="AH57" s="4">
        <v>17200</v>
      </c>
      <c r="AI57" s="4">
        <v>4800</v>
      </c>
      <c r="AJ57" s="4"/>
      <c r="AK57" s="4">
        <v>7600</v>
      </c>
      <c r="AL57" s="4">
        <v>2912</v>
      </c>
      <c r="AM57" s="4">
        <v>13200</v>
      </c>
      <c r="AN57" s="4">
        <v>19600</v>
      </c>
      <c r="AO57" s="4">
        <v>12400</v>
      </c>
      <c r="AP57" s="4"/>
      <c r="AQ57" s="4">
        <v>6000</v>
      </c>
      <c r="AR57" s="4"/>
      <c r="AS57" s="4"/>
      <c r="AT57" s="4">
        <v>1200</v>
      </c>
      <c r="AU57" s="4">
        <v>5200</v>
      </c>
      <c r="AV57" s="4">
        <v>3600</v>
      </c>
      <c r="AW57" s="4">
        <f>1*200/50*1000</f>
        <v>4000</v>
      </c>
      <c r="AX57" s="4"/>
      <c r="AY57" s="4">
        <f>2*200/50*1.27*1000</f>
        <v>10160</v>
      </c>
      <c r="AZ57" s="4"/>
      <c r="BA57" s="4"/>
      <c r="BB57" s="4"/>
      <c r="BC57" s="4"/>
      <c r="BD57" s="4">
        <f>3*200/50*1050</f>
        <v>12600</v>
      </c>
      <c r="BE57" s="4"/>
      <c r="BF57" s="4"/>
      <c r="BG57" s="4"/>
      <c r="BH57" s="4"/>
      <c r="BI57" s="4"/>
      <c r="BJ57" s="4"/>
      <c r="BK57" s="4"/>
      <c r="BL57" s="4"/>
      <c r="BM57" s="4"/>
      <c r="BN57" s="4"/>
      <c r="BO57" s="4"/>
      <c r="BP57" s="4"/>
      <c r="BQ57" s="4">
        <v>15686.274509803921</v>
      </c>
      <c r="BR57" s="4"/>
      <c r="BS57" s="4"/>
      <c r="BU57" s="4"/>
      <c r="BV57" s="4"/>
      <c r="BW57" s="4"/>
      <c r="BX57" s="4"/>
      <c r="BY57" s="4"/>
      <c r="BZ57" s="4"/>
      <c r="CA57" s="4"/>
      <c r="CB57" s="4"/>
      <c r="CC57" s="4"/>
      <c r="CD57" s="4"/>
      <c r="CE57" s="4"/>
      <c r="CF57" s="4"/>
      <c r="CG57" s="4"/>
      <c r="CH57" s="4">
        <v>9433.9622641509413</v>
      </c>
      <c r="CI57" s="4"/>
      <c r="CJ57" s="4">
        <v>12962.962962962964</v>
      </c>
      <c r="CK57" s="4">
        <v>11764.705882352942</v>
      </c>
      <c r="CL57" s="4"/>
      <c r="CM57" s="4"/>
      <c r="CN57" s="4"/>
      <c r="CO57" s="4">
        <v>11320.754716981133</v>
      </c>
      <c r="CP57" s="4">
        <v>3636.363636363636</v>
      </c>
      <c r="CQ57" s="4"/>
      <c r="CR57" s="4"/>
      <c r="CS57" s="4"/>
      <c r="CT57" s="4">
        <v>8000</v>
      </c>
      <c r="CU57" s="4"/>
      <c r="CV57" s="2">
        <v>4000</v>
      </c>
      <c r="CW57" s="4">
        <v>805.36912751677858</v>
      </c>
      <c r="CX57" s="4">
        <v>3571.4285714285711</v>
      </c>
      <c r="CY57" s="4"/>
      <c r="CZ57" s="4">
        <v>11764.705882352942</v>
      </c>
      <c r="DA57" s="4"/>
      <c r="DB57" s="4">
        <v>46428.57142857142</v>
      </c>
      <c r="DC57" s="4">
        <v>14285.714285714284</v>
      </c>
      <c r="DD57" s="4"/>
      <c r="DE57" s="4"/>
      <c r="DF57" s="4"/>
      <c r="DG57" s="4">
        <v>3846.1538461538457</v>
      </c>
      <c r="DH57" s="4"/>
      <c r="DI57" s="4"/>
      <c r="DJ57" s="4">
        <v>17857.142857142855</v>
      </c>
    </row>
    <row r="58" spans="1:114" x14ac:dyDescent="0.3">
      <c r="A58" s="16" t="s">
        <v>109</v>
      </c>
      <c r="B58" s="17" t="s">
        <v>110</v>
      </c>
      <c r="C58" s="4"/>
      <c r="D58" s="4"/>
      <c r="E58" s="4"/>
      <c r="F58" s="4"/>
      <c r="G58" s="4"/>
      <c r="H58" s="4">
        <f>3*200/45*1000</f>
        <v>13333.333333333334</v>
      </c>
      <c r="I58" s="4">
        <f>0.1*200*1.04/50*1000</f>
        <v>416.00000000000006</v>
      </c>
      <c r="J58" s="4">
        <f>0.1*200/50*1000</f>
        <v>400</v>
      </c>
      <c r="K58" s="4">
        <f>0.2*200*1.03/50*1000</f>
        <v>824.00000000000011</v>
      </c>
      <c r="L58" s="4">
        <v>400</v>
      </c>
      <c r="M58" s="4">
        <v>2568</v>
      </c>
      <c r="N58" s="4"/>
      <c r="O58" s="4">
        <v>1648</v>
      </c>
      <c r="P58" s="4">
        <v>428</v>
      </c>
      <c r="Q58" s="4">
        <v>848</v>
      </c>
      <c r="R58" s="4">
        <v>832</v>
      </c>
      <c r="S58" s="4">
        <v>800</v>
      </c>
      <c r="T58" s="4"/>
      <c r="U58" s="4">
        <v>800</v>
      </c>
      <c r="V58" s="4">
        <v>1200</v>
      </c>
      <c r="W58" s="4">
        <v>824</v>
      </c>
      <c r="X58" s="4">
        <v>1356</v>
      </c>
      <c r="Y58" s="4">
        <v>400</v>
      </c>
      <c r="Z58" s="4">
        <v>400</v>
      </c>
      <c r="AA58" s="4"/>
      <c r="AB58" s="4">
        <v>1776</v>
      </c>
      <c r="AC58" s="4"/>
      <c r="AD58" s="4"/>
      <c r="AE58" s="4">
        <v>400</v>
      </c>
      <c r="AF58" s="4"/>
      <c r="AG58" s="4">
        <v>800</v>
      </c>
      <c r="AH58" s="4">
        <v>400</v>
      </c>
      <c r="AI58" s="4"/>
      <c r="AJ58" s="4"/>
      <c r="AK58" s="4">
        <v>800</v>
      </c>
      <c r="AL58" s="4">
        <v>1248</v>
      </c>
      <c r="AM58" s="4">
        <v>800</v>
      </c>
      <c r="AN58" s="4"/>
      <c r="AO58" s="4">
        <v>400</v>
      </c>
      <c r="AP58" s="4">
        <v>400</v>
      </c>
      <c r="AQ58" s="4">
        <v>400</v>
      </c>
      <c r="AR58" s="4"/>
      <c r="AS58" s="4"/>
      <c r="AT58" s="4"/>
      <c r="AU58" s="4">
        <v>400</v>
      </c>
      <c r="AV58" s="4"/>
      <c r="AW58" s="4"/>
      <c r="AX58" s="4"/>
      <c r="AY58" s="4"/>
      <c r="AZ58" s="4"/>
      <c r="BA58" s="4"/>
      <c r="BB58" s="4"/>
      <c r="BC58" s="4"/>
      <c r="BD58" s="4"/>
      <c r="BE58" s="4"/>
      <c r="BF58" s="4"/>
      <c r="BG58" s="4"/>
      <c r="BH58" s="4"/>
      <c r="BI58" s="4">
        <v>4000</v>
      </c>
      <c r="BJ58" s="4"/>
      <c r="BK58" s="4"/>
      <c r="BL58" s="4"/>
      <c r="BM58" s="4"/>
      <c r="BN58" s="4"/>
      <c r="BO58" s="4"/>
      <c r="BP58" s="4"/>
      <c r="BQ58" s="4"/>
      <c r="BR58" s="4"/>
      <c r="BS58" s="4"/>
      <c r="BU58" s="4"/>
      <c r="BV58" s="4"/>
      <c r="BW58" s="4"/>
      <c r="BX58" s="4"/>
      <c r="BY58" s="4"/>
      <c r="BZ58" s="4"/>
      <c r="CA58" s="4"/>
      <c r="CB58" s="4"/>
      <c r="CC58" s="4"/>
      <c r="CD58" s="4">
        <v>3571.4285714285711</v>
      </c>
      <c r="CE58" s="4"/>
      <c r="CF58" s="4"/>
      <c r="CG58" s="4"/>
      <c r="CH58" s="4"/>
      <c r="CI58" s="4"/>
      <c r="CJ58" s="4">
        <v>3703.7037037037035</v>
      </c>
      <c r="CK58" s="4">
        <v>3921.5686274509803</v>
      </c>
      <c r="CL58" s="4"/>
      <c r="CM58" s="4"/>
      <c r="CN58" s="4"/>
      <c r="CO58" s="4"/>
      <c r="CP58" s="4">
        <v>7272.7272727272721</v>
      </c>
      <c r="CQ58" s="4"/>
      <c r="CR58" s="4"/>
      <c r="CS58" s="4"/>
      <c r="CT58" s="4"/>
      <c r="CU58" s="4"/>
      <c r="CW58" s="4">
        <v>53.691275167785236</v>
      </c>
      <c r="CX58" s="4"/>
      <c r="CY58" s="4"/>
      <c r="CZ58" s="4"/>
      <c r="DA58" s="4"/>
      <c r="DB58" s="4"/>
      <c r="DC58" s="4"/>
      <c r="DD58" s="4"/>
      <c r="DE58" s="4"/>
      <c r="DF58" s="4"/>
      <c r="DG58" s="4"/>
      <c r="DH58" s="4"/>
      <c r="DI58" s="4"/>
      <c r="DJ58" s="4"/>
    </row>
    <row r="59" spans="1:114" x14ac:dyDescent="0.3">
      <c r="A59" s="16"/>
      <c r="B59" s="17" t="s">
        <v>111</v>
      </c>
      <c r="C59" s="4"/>
      <c r="D59" s="4"/>
      <c r="E59" s="4">
        <v>1200</v>
      </c>
      <c r="F59" s="4"/>
      <c r="G59" s="4">
        <f>1*200/42*1000</f>
        <v>4761.9047619047615</v>
      </c>
      <c r="H59" s="4"/>
      <c r="I59" s="4">
        <f>0.3*200*1.04/50*1000</f>
        <v>1248.0000000000002</v>
      </c>
      <c r="J59" s="4">
        <v>400</v>
      </c>
      <c r="K59" s="4">
        <f>0.1*200*1.03/50*1000</f>
        <v>412.00000000000006</v>
      </c>
      <c r="L59" s="4">
        <v>800</v>
      </c>
      <c r="M59" s="4">
        <v>428</v>
      </c>
      <c r="N59" s="4"/>
      <c r="O59" s="4"/>
      <c r="P59" s="4">
        <v>428</v>
      </c>
      <c r="Q59" s="4">
        <v>424</v>
      </c>
      <c r="R59" s="4">
        <v>1248</v>
      </c>
      <c r="S59" s="4"/>
      <c r="T59" s="4"/>
      <c r="U59" s="4">
        <v>800</v>
      </c>
      <c r="V59" s="4">
        <v>1200</v>
      </c>
      <c r="W59" s="4"/>
      <c r="X59" s="4"/>
      <c r="Y59" s="4"/>
      <c r="Z59" s="4"/>
      <c r="AA59" s="4"/>
      <c r="AB59" s="4">
        <v>444</v>
      </c>
      <c r="AC59" s="4"/>
      <c r="AD59" s="4"/>
      <c r="AE59" s="4"/>
      <c r="AF59" s="4">
        <v>416</v>
      </c>
      <c r="AG59" s="4"/>
      <c r="AH59" s="4">
        <v>400</v>
      </c>
      <c r="AI59" s="4"/>
      <c r="AJ59" s="4"/>
      <c r="AK59" s="4"/>
      <c r="AL59" s="4">
        <v>416</v>
      </c>
      <c r="AM59" s="4"/>
      <c r="AN59" s="4"/>
      <c r="AO59" s="4"/>
      <c r="AP59" s="4"/>
      <c r="AQ59" s="4">
        <v>400</v>
      </c>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W59" s="4"/>
      <c r="CX59" s="4"/>
      <c r="CY59" s="4"/>
      <c r="CZ59" s="4"/>
      <c r="DA59" s="4"/>
      <c r="DB59" s="4"/>
      <c r="DC59" s="4"/>
      <c r="DD59" s="4"/>
      <c r="DE59" s="4"/>
      <c r="DF59" s="4"/>
      <c r="DG59" s="4"/>
      <c r="DH59" s="4"/>
      <c r="DI59" s="4"/>
      <c r="DJ59" s="4"/>
    </row>
    <row r="60" spans="1:114" x14ac:dyDescent="0.3">
      <c r="A60" s="16"/>
      <c r="B60" s="17" t="s">
        <v>112</v>
      </c>
      <c r="C60" s="4"/>
      <c r="D60" s="4"/>
      <c r="E60" s="4"/>
      <c r="F60" s="4"/>
      <c r="G60" s="4"/>
      <c r="H60" s="4"/>
      <c r="I60" s="4"/>
      <c r="J60" s="4"/>
      <c r="K60" s="4">
        <v>824</v>
      </c>
      <c r="L60" s="4"/>
      <c r="M60" s="4">
        <v>428</v>
      </c>
      <c r="N60" s="4">
        <v>2600</v>
      </c>
      <c r="O60" s="4">
        <v>824</v>
      </c>
      <c r="P60" s="4">
        <v>856</v>
      </c>
      <c r="Q60" s="4">
        <v>848</v>
      </c>
      <c r="R60" s="4">
        <v>832</v>
      </c>
      <c r="S60" s="4">
        <v>1200</v>
      </c>
      <c r="T60" s="4">
        <v>1200</v>
      </c>
      <c r="U60" s="4"/>
      <c r="V60" s="4">
        <v>800</v>
      </c>
      <c r="W60" s="4"/>
      <c r="X60" s="4">
        <v>452</v>
      </c>
      <c r="Y60" s="4">
        <v>800</v>
      </c>
      <c r="Z60" s="4">
        <v>800</v>
      </c>
      <c r="AA60" s="4">
        <v>460</v>
      </c>
      <c r="AB60" s="4">
        <v>1332</v>
      </c>
      <c r="AC60" s="4"/>
      <c r="AD60" s="4"/>
      <c r="AE60" s="4">
        <v>800</v>
      </c>
      <c r="AF60" s="4">
        <v>1664</v>
      </c>
      <c r="AG60" s="4">
        <v>400</v>
      </c>
      <c r="AH60" s="4">
        <v>1200</v>
      </c>
      <c r="AI60" s="4">
        <v>800</v>
      </c>
      <c r="AJ60" s="4"/>
      <c r="AK60" s="4">
        <v>400</v>
      </c>
      <c r="AL60" s="4">
        <v>832</v>
      </c>
      <c r="AM60" s="4">
        <v>800</v>
      </c>
      <c r="AN60" s="4">
        <v>800</v>
      </c>
      <c r="AO60" s="4">
        <v>1200</v>
      </c>
      <c r="AP60" s="4">
        <v>2800</v>
      </c>
      <c r="AQ60" s="4">
        <v>400</v>
      </c>
      <c r="AR60" s="4"/>
      <c r="AS60" s="4"/>
      <c r="AT60" s="4"/>
      <c r="AU60" s="4">
        <v>800</v>
      </c>
      <c r="AV60" s="4">
        <v>400</v>
      </c>
      <c r="AW60" s="4"/>
      <c r="AX60" s="4"/>
      <c r="AY60" s="4"/>
      <c r="AZ60" s="4"/>
      <c r="BA60" s="4"/>
      <c r="BB60" s="4"/>
      <c r="BC60" s="4"/>
      <c r="BD60" s="4"/>
      <c r="BE60" s="4"/>
      <c r="BF60" s="4"/>
      <c r="BG60" s="4"/>
      <c r="BH60" s="4"/>
      <c r="BI60" s="4">
        <v>8000</v>
      </c>
      <c r="BJ60" s="4"/>
      <c r="BK60" s="4"/>
      <c r="BL60" s="4"/>
      <c r="BM60" s="4"/>
      <c r="BN60" s="4"/>
      <c r="BO60" s="4"/>
      <c r="BP60" s="4"/>
      <c r="BQ60" s="4"/>
      <c r="BR60" s="4"/>
      <c r="BS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W60" s="4"/>
      <c r="CX60" s="4"/>
      <c r="CY60" s="4"/>
      <c r="CZ60" s="4"/>
      <c r="DA60" s="4"/>
      <c r="DB60" s="4"/>
      <c r="DC60" s="4"/>
      <c r="DD60" s="4"/>
      <c r="DE60" s="4"/>
      <c r="DF60" s="4"/>
      <c r="DG60" s="4"/>
      <c r="DH60" s="4"/>
      <c r="DI60" s="4"/>
      <c r="DJ60" s="4"/>
    </row>
    <row r="61" spans="1:114" x14ac:dyDescent="0.3">
      <c r="A61" s="16" t="s">
        <v>113</v>
      </c>
      <c r="B61" s="17" t="s">
        <v>114</v>
      </c>
      <c r="C61" s="4"/>
      <c r="D61" s="4"/>
      <c r="E61" s="4"/>
      <c r="F61" s="4"/>
      <c r="G61" s="4"/>
      <c r="H61" s="4">
        <f>19*200/50*1000</f>
        <v>76000</v>
      </c>
      <c r="I61" s="4">
        <f>0.8*200*1.04/50*1000</f>
        <v>3328.0000000000005</v>
      </c>
      <c r="J61" s="4">
        <v>1200</v>
      </c>
      <c r="K61" s="4">
        <f>34.3*200*1.03/50*1000</f>
        <v>141315.99999999997</v>
      </c>
      <c r="L61" s="4">
        <f>11.1*4000</f>
        <v>44400</v>
      </c>
      <c r="M61" s="4">
        <v>2140</v>
      </c>
      <c r="N61" s="4"/>
      <c r="O61" s="4"/>
      <c r="P61" s="4"/>
      <c r="Q61" s="4"/>
      <c r="R61" s="4"/>
      <c r="S61" s="4"/>
      <c r="T61" s="4"/>
      <c r="U61" s="4">
        <v>14800</v>
      </c>
      <c r="V61" s="4">
        <v>5200</v>
      </c>
      <c r="W61" s="4"/>
      <c r="X61" s="4"/>
      <c r="Y61" s="4"/>
      <c r="Z61" s="4"/>
      <c r="AA61" s="4"/>
      <c r="AB61" s="4"/>
      <c r="AC61" s="4"/>
      <c r="AD61" s="4"/>
      <c r="AE61" s="4"/>
      <c r="AF61" s="4"/>
      <c r="AG61" s="4"/>
      <c r="AH61" s="4"/>
      <c r="AI61" s="4"/>
      <c r="AJ61" s="4"/>
      <c r="AK61" s="4"/>
      <c r="AL61" s="4"/>
      <c r="AM61" s="4"/>
      <c r="AN61" s="4"/>
      <c r="AO61" s="4"/>
      <c r="AP61" s="4">
        <v>800</v>
      </c>
      <c r="AQ61" s="4"/>
      <c r="AR61" s="4"/>
      <c r="AS61" s="4"/>
      <c r="AT61" s="4">
        <v>1600</v>
      </c>
      <c r="AU61" s="4"/>
      <c r="AV61" s="4"/>
      <c r="AW61" s="4"/>
      <c r="AX61" s="4"/>
      <c r="AY61" s="4"/>
      <c r="AZ61" s="4"/>
      <c r="BA61" s="4"/>
      <c r="BB61" s="4"/>
      <c r="BC61" s="4"/>
      <c r="BD61" s="4"/>
      <c r="BE61" s="4"/>
      <c r="BF61" s="4"/>
      <c r="BG61" s="4"/>
      <c r="BH61" s="4">
        <f>2*200*1.01/50*1000</f>
        <v>8080</v>
      </c>
      <c r="BI61" s="4">
        <f>16*200/50*1000</f>
        <v>64000</v>
      </c>
      <c r="BJ61" s="4"/>
      <c r="BK61" s="4"/>
      <c r="BL61" s="4"/>
      <c r="BM61" s="4"/>
      <c r="BN61" s="4">
        <f>3*200/1.25/50*1000</f>
        <v>9600</v>
      </c>
      <c r="BO61" s="4"/>
      <c r="BP61" s="4"/>
      <c r="BQ61" s="4"/>
      <c r="BR61" s="4"/>
      <c r="BS61" s="4"/>
      <c r="BU61" s="4"/>
      <c r="BV61" s="4"/>
      <c r="BW61" s="4"/>
      <c r="BX61" s="4"/>
      <c r="BY61" s="4">
        <v>8000</v>
      </c>
      <c r="BZ61" s="4"/>
      <c r="CA61" s="4">
        <v>11428.571428571429</v>
      </c>
      <c r="CB61" s="4">
        <v>36000</v>
      </c>
      <c r="CC61" s="4">
        <v>22119.815668202766</v>
      </c>
      <c r="CD61" s="4">
        <v>3571.4285714285711</v>
      </c>
      <c r="CE61" s="4">
        <v>12000</v>
      </c>
      <c r="CF61" s="4"/>
      <c r="CG61" s="4"/>
      <c r="CH61" s="4"/>
      <c r="CI61" s="4"/>
      <c r="CJ61" s="4">
        <v>3703.7037037037035</v>
      </c>
      <c r="CK61" s="4"/>
      <c r="CL61" s="4"/>
      <c r="CM61" s="4">
        <v>8000</v>
      </c>
      <c r="CN61" s="4"/>
      <c r="CO61" s="4"/>
      <c r="CP61" s="4">
        <v>25454.545454545449</v>
      </c>
      <c r="CQ61" s="4">
        <v>21428.571428571428</v>
      </c>
      <c r="CR61" s="4"/>
      <c r="CS61" s="4">
        <v>3389.8305084745766</v>
      </c>
      <c r="CT61" s="4"/>
      <c r="CU61" s="4"/>
      <c r="CW61" s="4"/>
      <c r="CX61" s="4"/>
      <c r="CY61" s="4"/>
      <c r="CZ61" s="4"/>
      <c r="DA61" s="4"/>
      <c r="DB61" s="4"/>
      <c r="DC61" s="4"/>
      <c r="DD61" s="4"/>
      <c r="DE61" s="4"/>
      <c r="DF61" s="4"/>
      <c r="DG61" s="4"/>
      <c r="DH61" s="4"/>
      <c r="DI61" s="4"/>
      <c r="DJ61" s="4"/>
    </row>
    <row r="62" spans="1:114" x14ac:dyDescent="0.3">
      <c r="A62" s="16" t="s">
        <v>115</v>
      </c>
      <c r="B62" s="17" t="s">
        <v>116</v>
      </c>
      <c r="C62" s="4"/>
      <c r="D62" s="4"/>
      <c r="E62" s="4"/>
      <c r="F62" s="4"/>
      <c r="G62" s="4">
        <f>0.25*200/42*1000</f>
        <v>1190.4761904761904</v>
      </c>
      <c r="H62" s="4"/>
      <c r="I62" s="4"/>
      <c r="J62" s="4"/>
      <c r="K62" s="4"/>
      <c r="L62" s="4"/>
      <c r="M62" s="4"/>
      <c r="N62" s="4"/>
      <c r="O62" s="4"/>
      <c r="P62" s="4"/>
      <c r="Q62" s="4"/>
      <c r="R62" s="4"/>
      <c r="S62" s="4">
        <v>1200</v>
      </c>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W62" s="4"/>
      <c r="CX62" s="4">
        <v>714.28571428571422</v>
      </c>
      <c r="CY62" s="4"/>
      <c r="CZ62" s="4">
        <v>1960.7843137254902</v>
      </c>
      <c r="DA62" s="4"/>
      <c r="DB62" s="4"/>
      <c r="DC62" s="4"/>
      <c r="DD62" s="4"/>
      <c r="DE62" s="4"/>
      <c r="DF62" s="4"/>
      <c r="DG62" s="4"/>
      <c r="DH62" s="4"/>
      <c r="DI62" s="4">
        <v>4000</v>
      </c>
      <c r="DJ62" s="4">
        <v>3571.4285714285711</v>
      </c>
    </row>
    <row r="63" spans="1:114" x14ac:dyDescent="0.3">
      <c r="A63" s="16" t="s">
        <v>117</v>
      </c>
      <c r="B63" s="17" t="s">
        <v>118</v>
      </c>
      <c r="C63" s="4"/>
      <c r="D63" s="4"/>
      <c r="E63" s="4"/>
      <c r="F63" s="4"/>
      <c r="G63" s="4"/>
      <c r="H63" s="4"/>
      <c r="I63" s="4">
        <f>0.1*200*1.04/50*1000</f>
        <v>416.00000000000006</v>
      </c>
      <c r="J63" s="4">
        <v>400</v>
      </c>
      <c r="K63" s="4"/>
      <c r="L63" s="4">
        <v>1600</v>
      </c>
      <c r="M63" s="4"/>
      <c r="N63" s="4"/>
      <c r="O63" s="4">
        <v>824</v>
      </c>
      <c r="P63" s="4"/>
      <c r="Q63" s="4">
        <v>1272</v>
      </c>
      <c r="R63" s="4">
        <v>832</v>
      </c>
      <c r="S63" s="4">
        <v>800</v>
      </c>
      <c r="T63" s="4"/>
      <c r="U63" s="4">
        <v>400</v>
      </c>
      <c r="V63" s="4">
        <v>400</v>
      </c>
      <c r="W63" s="4">
        <v>412</v>
      </c>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W63" s="4"/>
      <c r="CX63" s="4"/>
      <c r="CY63" s="4"/>
      <c r="CZ63" s="4"/>
      <c r="DA63" s="4"/>
      <c r="DB63" s="4"/>
      <c r="DC63" s="4"/>
      <c r="DD63" s="4"/>
      <c r="DE63" s="4"/>
      <c r="DF63" s="4"/>
      <c r="DG63" s="4"/>
      <c r="DH63" s="4"/>
      <c r="DI63" s="4"/>
      <c r="DJ63" s="4"/>
    </row>
    <row r="64" spans="1:114" x14ac:dyDescent="0.3">
      <c r="A64" s="16"/>
      <c r="B64" s="17" t="s">
        <v>119</v>
      </c>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U64" s="4"/>
      <c r="BV64" s="4"/>
      <c r="BW64" s="4"/>
      <c r="BX64" s="4"/>
      <c r="BY64" s="4"/>
      <c r="BZ64" s="4"/>
      <c r="CA64" s="4"/>
      <c r="CB64" s="4"/>
      <c r="CC64" s="4">
        <v>1843.3179723502305</v>
      </c>
      <c r="CD64" s="4"/>
      <c r="CE64" s="4"/>
      <c r="CF64" s="4"/>
      <c r="CG64" s="4"/>
      <c r="CH64" s="4"/>
      <c r="CI64" s="4"/>
      <c r="CJ64" s="4"/>
      <c r="CK64" s="4"/>
      <c r="CL64" s="4"/>
      <c r="CM64" s="4"/>
      <c r="CN64" s="4"/>
      <c r="CO64" s="4"/>
      <c r="CP64" s="4"/>
      <c r="CQ64" s="4"/>
      <c r="CR64" s="4"/>
      <c r="CS64" s="4"/>
      <c r="CT64" s="4"/>
      <c r="CU64" s="4"/>
      <c r="CW64" s="4"/>
      <c r="CX64" s="4"/>
      <c r="CY64" s="4"/>
      <c r="CZ64" s="4"/>
      <c r="DA64" s="4"/>
      <c r="DB64" s="4"/>
      <c r="DC64" s="4"/>
      <c r="DD64" s="4"/>
      <c r="DE64" s="4"/>
      <c r="DF64" s="4"/>
      <c r="DG64" s="4"/>
      <c r="DH64" s="4"/>
      <c r="DI64" s="4"/>
      <c r="DJ64" s="4"/>
    </row>
    <row r="65" spans="1:115" x14ac:dyDescent="0.3">
      <c r="A65" s="16"/>
      <c r="B65" s="17" t="s">
        <v>120</v>
      </c>
      <c r="C65" s="4"/>
      <c r="D65" s="4"/>
      <c r="E65" s="4"/>
      <c r="F65" s="4"/>
      <c r="G65" s="4"/>
      <c r="H65" s="4"/>
      <c r="I65" s="4"/>
      <c r="J65" s="4"/>
      <c r="K65" s="4"/>
      <c r="L65" s="4"/>
      <c r="M65" s="4"/>
      <c r="N65" s="4"/>
      <c r="O65" s="4"/>
      <c r="P65" s="4"/>
      <c r="Q65" s="4"/>
      <c r="R65" s="4">
        <v>416</v>
      </c>
      <c r="S65" s="4"/>
      <c r="T65" s="4">
        <v>400</v>
      </c>
      <c r="U65" s="4">
        <v>1600</v>
      </c>
      <c r="V65" s="4">
        <v>1600</v>
      </c>
      <c r="W65" s="4"/>
      <c r="X65" s="4">
        <v>452</v>
      </c>
      <c r="Y65" s="4">
        <v>1200</v>
      </c>
      <c r="Z65" s="4">
        <v>800</v>
      </c>
      <c r="AA65" s="4"/>
      <c r="AB65" s="4">
        <v>444</v>
      </c>
      <c r="AC65" s="4">
        <v>400</v>
      </c>
      <c r="AD65" s="4">
        <v>400</v>
      </c>
      <c r="AE65" s="4">
        <v>2000</v>
      </c>
      <c r="AF65" s="4">
        <v>2496</v>
      </c>
      <c r="AG65" s="4"/>
      <c r="AH65" s="4"/>
      <c r="AI65" s="4"/>
      <c r="AJ65" s="4"/>
      <c r="AK65" s="4"/>
      <c r="AL65" s="4"/>
      <c r="AM65" s="4"/>
      <c r="AN65" s="4">
        <v>400</v>
      </c>
      <c r="AO65" s="4">
        <v>800</v>
      </c>
      <c r="AP65" s="4">
        <v>1200</v>
      </c>
      <c r="AQ65" s="4">
        <v>1200</v>
      </c>
      <c r="AR65" s="4"/>
      <c r="AS65" s="4"/>
      <c r="AT65" s="4"/>
      <c r="AU65" s="4"/>
      <c r="AV65" s="4"/>
      <c r="AW65" s="4"/>
      <c r="AX65" s="4"/>
      <c r="AY65" s="4"/>
      <c r="AZ65" s="4"/>
      <c r="BA65" s="4"/>
      <c r="BB65" s="4"/>
      <c r="BC65" s="4"/>
      <c r="BD65" s="4"/>
      <c r="BE65" s="4"/>
      <c r="BF65" s="4"/>
      <c r="BG65" s="4"/>
      <c r="BH65" s="4"/>
      <c r="BI65" s="4">
        <v>8000</v>
      </c>
      <c r="BJ65" s="4"/>
      <c r="BK65" s="4"/>
      <c r="BL65" s="4"/>
      <c r="BM65" s="4"/>
      <c r="BN65" s="4"/>
      <c r="BO65" s="4"/>
      <c r="BP65" s="4">
        <v>6666.6666666666679</v>
      </c>
      <c r="BQ65" s="4"/>
      <c r="BR65" s="4"/>
      <c r="BS65" s="4"/>
      <c r="BU65" s="4"/>
      <c r="BV65" s="4"/>
      <c r="BW65" s="4"/>
      <c r="BX65" s="4"/>
      <c r="BY65" s="4"/>
      <c r="BZ65" s="4"/>
      <c r="CA65" s="4"/>
      <c r="CB65" s="4"/>
      <c r="CC65" s="4"/>
      <c r="CD65" s="4"/>
      <c r="CE65" s="4"/>
      <c r="CF65" s="4"/>
      <c r="CG65" s="4"/>
      <c r="CH65" s="4"/>
      <c r="CI65" s="4"/>
      <c r="CJ65" s="4"/>
      <c r="CK65" s="4"/>
      <c r="CL65" s="4"/>
      <c r="CM65" s="4"/>
      <c r="CN65" s="4"/>
      <c r="CO65" s="4"/>
      <c r="CP65" s="4"/>
      <c r="CQ65" s="4"/>
      <c r="CR65" s="4">
        <v>3076.9230769230767</v>
      </c>
      <c r="CS65" s="4"/>
      <c r="CT65" s="4"/>
      <c r="CU65" s="4"/>
      <c r="CW65" s="4"/>
      <c r="CX65" s="4"/>
      <c r="CY65" s="4"/>
      <c r="CZ65" s="4">
        <v>784.31372549019613</v>
      </c>
      <c r="DA65" s="4"/>
      <c r="DB65" s="4"/>
      <c r="DC65" s="4"/>
      <c r="DD65" s="4"/>
      <c r="DE65" s="4"/>
      <c r="DF65" s="4"/>
      <c r="DG65" s="4"/>
      <c r="DH65" s="4"/>
      <c r="DI65" s="4"/>
      <c r="DJ65" s="4"/>
    </row>
    <row r="66" spans="1:115" x14ac:dyDescent="0.3">
      <c r="A66" s="16"/>
      <c r="B66" s="17" t="s">
        <v>121</v>
      </c>
      <c r="C66" s="4"/>
      <c r="D66" s="4"/>
      <c r="E66" s="4"/>
      <c r="F66" s="4"/>
      <c r="G66" s="4"/>
      <c r="H66" s="4"/>
      <c r="I66" s="4"/>
      <c r="J66" s="4"/>
      <c r="K66" s="4">
        <f>0.2*200*1.03/50*1000</f>
        <v>824.00000000000011</v>
      </c>
      <c r="L66" s="4">
        <v>800</v>
      </c>
      <c r="M66" s="4">
        <v>428</v>
      </c>
      <c r="N66" s="4"/>
      <c r="O66" s="4"/>
      <c r="P66" s="4"/>
      <c r="Q66" s="4"/>
      <c r="R66" s="4"/>
      <c r="S66" s="4"/>
      <c r="T66" s="4"/>
      <c r="U66" s="4">
        <v>400</v>
      </c>
      <c r="V66" s="4"/>
      <c r="W66" s="4">
        <v>824</v>
      </c>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W66" s="4"/>
      <c r="CX66" s="4"/>
      <c r="CY66" s="4"/>
      <c r="CZ66" s="4"/>
      <c r="DA66" s="4"/>
      <c r="DB66" s="4"/>
      <c r="DC66" s="4"/>
      <c r="DD66" s="4"/>
      <c r="DE66" s="4"/>
      <c r="DF66" s="4"/>
      <c r="DG66" s="4"/>
      <c r="DH66" s="4"/>
      <c r="DI66" s="4"/>
      <c r="DJ66" s="4"/>
    </row>
    <row r="67" spans="1:115" x14ac:dyDescent="0.3">
      <c r="A67" s="16"/>
      <c r="B67" s="17" t="s">
        <v>122</v>
      </c>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W67" s="4"/>
      <c r="CX67" s="4"/>
      <c r="CY67" s="4"/>
      <c r="CZ67" s="4"/>
      <c r="DA67" s="4"/>
      <c r="DB67" s="4"/>
      <c r="DC67" s="4"/>
      <c r="DD67" s="4"/>
      <c r="DE67" s="4"/>
      <c r="DF67" s="4"/>
      <c r="DG67" s="4"/>
      <c r="DH67" s="4"/>
      <c r="DI67" s="4"/>
      <c r="DJ67" s="4"/>
    </row>
    <row r="68" spans="1:115" x14ac:dyDescent="0.3">
      <c r="A68" s="16"/>
      <c r="B68" s="17" t="s">
        <v>123</v>
      </c>
      <c r="C68" s="4"/>
      <c r="D68" s="4"/>
      <c r="E68" s="4"/>
      <c r="F68" s="4"/>
      <c r="G68" s="4"/>
      <c r="H68" s="4"/>
      <c r="I68" s="4"/>
      <c r="J68" s="4"/>
      <c r="K68" s="4"/>
      <c r="L68" s="4">
        <v>800</v>
      </c>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W68" s="4"/>
      <c r="CX68" s="4"/>
      <c r="CY68" s="4"/>
      <c r="CZ68" s="4"/>
      <c r="DA68" s="4"/>
      <c r="DB68" s="4"/>
      <c r="DC68" s="4"/>
      <c r="DD68" s="4"/>
      <c r="DE68" s="4"/>
      <c r="DF68" s="4"/>
      <c r="DG68" s="4"/>
      <c r="DH68" s="4"/>
      <c r="DI68" s="4"/>
      <c r="DJ68" s="4"/>
    </row>
    <row r="69" spans="1:115" x14ac:dyDescent="0.3">
      <c r="A69" s="16"/>
      <c r="B69" s="17" t="s">
        <v>124</v>
      </c>
      <c r="C69" s="4"/>
      <c r="D69" s="4"/>
      <c r="E69" s="4"/>
      <c r="F69" s="4">
        <v>4000</v>
      </c>
      <c r="G69" s="4"/>
      <c r="H69" s="4"/>
      <c r="I69" s="4"/>
      <c r="J69" s="4"/>
      <c r="K69" s="4">
        <f>1*200*1.03/50*1000</f>
        <v>4120</v>
      </c>
      <c r="L69" s="4">
        <v>400</v>
      </c>
      <c r="M69" s="4">
        <v>2140</v>
      </c>
      <c r="N69" s="4">
        <v>1560</v>
      </c>
      <c r="O69" s="4">
        <v>1648</v>
      </c>
      <c r="P69" s="4"/>
      <c r="Q69" s="4">
        <v>848</v>
      </c>
      <c r="R69" s="4">
        <v>2080</v>
      </c>
      <c r="S69" s="4">
        <v>800</v>
      </c>
      <c r="T69" s="4">
        <v>400</v>
      </c>
      <c r="U69" s="4">
        <v>400</v>
      </c>
      <c r="V69" s="4">
        <v>2400</v>
      </c>
      <c r="W69" s="4">
        <v>1236</v>
      </c>
      <c r="X69" s="4">
        <v>904</v>
      </c>
      <c r="Y69" s="4">
        <v>1600</v>
      </c>
      <c r="Z69" s="4">
        <v>400</v>
      </c>
      <c r="AA69" s="4">
        <v>888</v>
      </c>
      <c r="AB69" s="4">
        <v>444</v>
      </c>
      <c r="AC69" s="4">
        <v>800</v>
      </c>
      <c r="AD69" s="4"/>
      <c r="AE69" s="4">
        <v>800</v>
      </c>
      <c r="AF69" s="4">
        <v>1248</v>
      </c>
      <c r="AG69" s="4"/>
      <c r="AH69" s="4"/>
      <c r="AI69" s="4"/>
      <c r="AJ69" s="4"/>
      <c r="AK69" s="4"/>
      <c r="AL69" s="4"/>
      <c r="AM69" s="4"/>
      <c r="AN69" s="4"/>
      <c r="AO69" s="4">
        <v>400</v>
      </c>
      <c r="AP69" s="4">
        <v>1600</v>
      </c>
      <c r="AQ69" s="4">
        <v>400</v>
      </c>
      <c r="AR69" s="4"/>
      <c r="AS69" s="4"/>
      <c r="AT69" s="4"/>
      <c r="AU69" s="4"/>
      <c r="AV69" s="4"/>
      <c r="AW69" s="4"/>
      <c r="AX69" s="4"/>
      <c r="AY69" s="4"/>
      <c r="AZ69" s="4"/>
      <c r="BA69" s="4"/>
      <c r="BB69" s="4"/>
      <c r="BC69" s="4"/>
      <c r="BD69" s="4">
        <f>1*200/50*1050</f>
        <v>4200</v>
      </c>
      <c r="BE69" s="4"/>
      <c r="BF69" s="4"/>
      <c r="BG69" s="4">
        <f>1*200/50*1000</f>
        <v>4000</v>
      </c>
      <c r="BH69" s="4">
        <f>1*200*1.01/50*1000</f>
        <v>4040</v>
      </c>
      <c r="BI69" s="4"/>
      <c r="BJ69" s="4">
        <v>4000</v>
      </c>
      <c r="BK69" s="4"/>
      <c r="BL69" s="4"/>
      <c r="BM69" s="4"/>
      <c r="BN69" s="4"/>
      <c r="BO69" s="4"/>
      <c r="BP69" s="4"/>
      <c r="BQ69" s="4"/>
      <c r="BR69" s="4"/>
      <c r="BS69" s="4"/>
      <c r="BU69" s="4"/>
      <c r="BV69" s="4"/>
      <c r="BW69" s="4"/>
      <c r="BX69" s="4"/>
      <c r="BY69" s="4">
        <v>800</v>
      </c>
      <c r="BZ69" s="4"/>
      <c r="CA69" s="4"/>
      <c r="CB69" s="4"/>
      <c r="CC69" s="4"/>
      <c r="CD69" s="4"/>
      <c r="CE69" s="4"/>
      <c r="CF69" s="4"/>
      <c r="CG69" s="4"/>
      <c r="CH69" s="4"/>
      <c r="CI69" s="4"/>
      <c r="CJ69" s="4">
        <v>3703.7037037037035</v>
      </c>
      <c r="CK69" s="4"/>
      <c r="CL69" s="4"/>
      <c r="CM69" s="4"/>
      <c r="CN69" s="4"/>
      <c r="CO69" s="4"/>
      <c r="CP69" s="4"/>
      <c r="CQ69" s="4">
        <v>3571.4285714285711</v>
      </c>
      <c r="CR69" s="4"/>
      <c r="CS69" s="4"/>
      <c r="CT69" s="4"/>
      <c r="CU69" s="4">
        <v>3809.5238095238096</v>
      </c>
      <c r="CW69" s="4">
        <v>134.2281879194631</v>
      </c>
      <c r="CX69" s="4"/>
      <c r="CY69" s="4"/>
      <c r="CZ69" s="4">
        <v>3921.5686274509803</v>
      </c>
      <c r="DA69" s="4"/>
      <c r="DB69" s="4"/>
      <c r="DC69" s="4"/>
      <c r="DD69" s="4"/>
      <c r="DE69" s="4"/>
      <c r="DF69" s="4"/>
      <c r="DG69" s="4"/>
      <c r="DH69" s="4"/>
      <c r="DI69" s="4"/>
      <c r="DJ69" s="4"/>
    </row>
    <row r="70" spans="1:115" x14ac:dyDescent="0.3">
      <c r="A70" s="16" t="s">
        <v>125</v>
      </c>
      <c r="B70" s="17" t="s">
        <v>126</v>
      </c>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W70" s="4"/>
      <c r="CX70" s="4"/>
      <c r="CY70" s="4"/>
      <c r="CZ70" s="4"/>
      <c r="DA70" s="4"/>
      <c r="DB70" s="4"/>
      <c r="DC70" s="4"/>
      <c r="DD70" s="4"/>
      <c r="DE70" s="4"/>
      <c r="DF70" s="4"/>
      <c r="DG70" s="4"/>
      <c r="DH70" s="4"/>
      <c r="DI70" s="4"/>
      <c r="DJ70" s="4"/>
    </row>
    <row r="71" spans="1:115" x14ac:dyDescent="0.3">
      <c r="A71" s="16" t="s">
        <v>127</v>
      </c>
      <c r="B71" s="17" t="s">
        <v>128</v>
      </c>
      <c r="C71" s="4"/>
      <c r="D71" s="4"/>
      <c r="E71" s="4"/>
      <c r="F71" s="4"/>
      <c r="G71" s="4"/>
      <c r="H71" s="4"/>
      <c r="I71" s="4"/>
      <c r="J71" s="4">
        <v>3600</v>
      </c>
      <c r="K71" s="4">
        <f>1.4*200*1.03/50*1000</f>
        <v>5768.0000000000009</v>
      </c>
      <c r="L71" s="4">
        <v>4000</v>
      </c>
      <c r="M71" s="4">
        <v>1712</v>
      </c>
      <c r="N71" s="4"/>
      <c r="O71" s="4"/>
      <c r="P71" s="4">
        <v>4280</v>
      </c>
      <c r="Q71" s="4">
        <v>4240</v>
      </c>
      <c r="R71" s="4">
        <v>2496</v>
      </c>
      <c r="S71" s="4">
        <v>3200</v>
      </c>
      <c r="T71" s="4"/>
      <c r="U71" s="4">
        <v>108400</v>
      </c>
      <c r="V71" s="4">
        <v>10000</v>
      </c>
      <c r="W71" s="4">
        <v>3708</v>
      </c>
      <c r="X71" s="4">
        <v>10848</v>
      </c>
      <c r="Y71" s="4">
        <v>20400</v>
      </c>
      <c r="Z71" s="4">
        <v>36800</v>
      </c>
      <c r="AA71" s="4">
        <v>20240</v>
      </c>
      <c r="AB71" s="4">
        <v>40848</v>
      </c>
      <c r="AC71" s="4">
        <v>1600</v>
      </c>
      <c r="AD71" s="4">
        <v>8400</v>
      </c>
      <c r="AE71" s="4">
        <v>3600</v>
      </c>
      <c r="AF71" s="4">
        <v>64896</v>
      </c>
      <c r="AG71" s="4">
        <v>12400</v>
      </c>
      <c r="AH71" s="4">
        <v>70000</v>
      </c>
      <c r="AI71" s="4">
        <v>13200</v>
      </c>
      <c r="AJ71" s="4"/>
      <c r="AK71" s="4">
        <v>6400</v>
      </c>
      <c r="AL71" s="4">
        <v>17056</v>
      </c>
      <c r="AM71" s="4">
        <v>13200</v>
      </c>
      <c r="AN71" s="4">
        <v>12800</v>
      </c>
      <c r="AO71" s="4">
        <v>13200</v>
      </c>
      <c r="AP71" s="4">
        <v>8000</v>
      </c>
      <c r="AQ71" s="4">
        <v>2000</v>
      </c>
      <c r="AR71" s="4"/>
      <c r="AS71" s="4"/>
      <c r="AT71" s="4">
        <v>12800</v>
      </c>
      <c r="AU71" s="4">
        <v>106400</v>
      </c>
      <c r="AV71" s="4">
        <v>11600</v>
      </c>
      <c r="AW71" s="4"/>
      <c r="AX71" s="4"/>
      <c r="AY71" s="4"/>
      <c r="AZ71" s="4"/>
      <c r="BA71" s="4"/>
      <c r="BB71" s="4"/>
      <c r="BC71" s="4">
        <f>6*200/50*1000</f>
        <v>24000</v>
      </c>
      <c r="BD71" s="4">
        <f>1*200/50*1050</f>
        <v>4200</v>
      </c>
      <c r="BE71" s="4"/>
      <c r="BF71" s="4"/>
      <c r="BG71" s="4"/>
      <c r="BH71" s="4"/>
      <c r="BI71" s="4">
        <f>20*200/50*1000</f>
        <v>80000</v>
      </c>
      <c r="BJ71" s="4"/>
      <c r="BK71" s="4"/>
      <c r="BL71" s="4"/>
      <c r="BM71" s="4"/>
      <c r="BN71" s="4">
        <f>83*200/1.25/50*1000</f>
        <v>265600</v>
      </c>
      <c r="BO71" s="4"/>
      <c r="BP71" s="4"/>
      <c r="BQ71" s="4">
        <v>1960.7843137254902</v>
      </c>
      <c r="BR71" s="4"/>
      <c r="BS71" s="4"/>
      <c r="BU71" s="4"/>
      <c r="BV71" s="4"/>
      <c r="BW71" s="4"/>
      <c r="BX71" s="4"/>
      <c r="BY71" s="4"/>
      <c r="BZ71" s="4"/>
      <c r="CA71" s="4">
        <v>4057142.8571428573</v>
      </c>
      <c r="CB71" s="4">
        <v>20000</v>
      </c>
      <c r="CC71" s="4">
        <v>5537327.188940092</v>
      </c>
      <c r="CD71" s="4">
        <v>2657142.8571428568</v>
      </c>
      <c r="CE71" s="4">
        <v>76000</v>
      </c>
      <c r="CF71" s="4"/>
      <c r="CG71" s="4"/>
      <c r="CH71" s="4">
        <v>7547.1698113207549</v>
      </c>
      <c r="CI71" s="4"/>
      <c r="CJ71" s="4">
        <v>14814.814814814814</v>
      </c>
      <c r="CK71" s="4">
        <v>7843.1372549019607</v>
      </c>
      <c r="CL71" s="4"/>
      <c r="CM71" s="4">
        <v>16000</v>
      </c>
      <c r="CN71" s="4"/>
      <c r="CO71" s="4"/>
      <c r="CP71" s="4">
        <v>32727.272727272728</v>
      </c>
      <c r="CQ71" s="4"/>
      <c r="CR71" s="4"/>
      <c r="CS71" s="4">
        <v>50847.457627118645</v>
      </c>
      <c r="CT71" s="4">
        <v>8000</v>
      </c>
      <c r="CU71" s="4"/>
      <c r="CV71" s="2">
        <v>8000</v>
      </c>
      <c r="CW71" s="4"/>
      <c r="CX71" s="4">
        <v>7142.8571428571422</v>
      </c>
      <c r="CY71" s="4">
        <v>19607.843137254902</v>
      </c>
      <c r="CZ71" s="4"/>
      <c r="DA71" s="4"/>
      <c r="DB71" s="4"/>
      <c r="DC71" s="4"/>
      <c r="DD71" s="4"/>
      <c r="DE71" s="4"/>
      <c r="DF71" s="4"/>
      <c r="DG71" s="4"/>
      <c r="DH71" s="4"/>
      <c r="DI71" s="4">
        <v>4000</v>
      </c>
      <c r="DJ71" s="4">
        <v>21428.571428571428</v>
      </c>
    </row>
    <row r="72" spans="1:115" x14ac:dyDescent="0.3">
      <c r="A72" s="16" t="s">
        <v>129</v>
      </c>
      <c r="B72" s="17" t="s">
        <v>130</v>
      </c>
      <c r="C72" s="4"/>
      <c r="D72" s="4"/>
      <c r="E72" s="4"/>
      <c r="F72" s="4"/>
      <c r="G72" s="4"/>
      <c r="H72" s="4"/>
      <c r="I72" s="4">
        <f>0.6*200*1.04/50*1000</f>
        <v>2496.0000000000005</v>
      </c>
      <c r="J72" s="4">
        <v>800</v>
      </c>
      <c r="K72" s="4"/>
      <c r="L72" s="4">
        <v>1200</v>
      </c>
      <c r="M72" s="4">
        <v>2568</v>
      </c>
      <c r="N72" s="4">
        <v>1040</v>
      </c>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v>4000</v>
      </c>
      <c r="CU72" s="4"/>
      <c r="CW72" s="4"/>
      <c r="CX72" s="4"/>
      <c r="CY72" s="4"/>
      <c r="CZ72" s="4"/>
      <c r="DA72" s="4"/>
      <c r="DB72" s="4"/>
      <c r="DC72" s="4"/>
      <c r="DD72" s="4"/>
      <c r="DE72" s="4"/>
      <c r="DF72" s="4">
        <v>1923.0769230769229</v>
      </c>
      <c r="DG72" s="4"/>
      <c r="DH72" s="4"/>
      <c r="DI72" s="4"/>
      <c r="DJ72" s="4"/>
    </row>
    <row r="73" spans="1:115" x14ac:dyDescent="0.3">
      <c r="A73" s="16" t="s">
        <v>131</v>
      </c>
      <c r="B73" s="17" t="s">
        <v>132</v>
      </c>
      <c r="C73" s="4"/>
      <c r="D73" s="4"/>
      <c r="E73" s="4"/>
      <c r="F73" s="4"/>
      <c r="G73" s="4">
        <f>0.5*200/42*1000</f>
        <v>2380.9523809523807</v>
      </c>
      <c r="H73" s="4"/>
      <c r="I73" s="4">
        <f>1.1*200*1.04/50*1000</f>
        <v>4576.0000000000009</v>
      </c>
      <c r="J73" s="4">
        <f>2.7*200/50*1000</f>
        <v>10800</v>
      </c>
      <c r="K73" s="4">
        <f>3.3*200*1.03/50*1000</f>
        <v>13596.000000000002</v>
      </c>
      <c r="L73" s="4">
        <f>2.3*4000</f>
        <v>9200</v>
      </c>
      <c r="M73" s="4">
        <v>3424</v>
      </c>
      <c r="N73" s="4">
        <v>45760</v>
      </c>
      <c r="O73" s="4">
        <v>35844</v>
      </c>
      <c r="P73" s="4">
        <v>31244</v>
      </c>
      <c r="Q73" s="4">
        <v>41128</v>
      </c>
      <c r="R73" s="4">
        <v>32448</v>
      </c>
      <c r="S73" s="4">
        <v>28000</v>
      </c>
      <c r="T73" s="4">
        <v>23200</v>
      </c>
      <c r="U73" s="4">
        <v>14000</v>
      </c>
      <c r="V73" s="4">
        <v>11600</v>
      </c>
      <c r="W73" s="4">
        <v>26368</v>
      </c>
      <c r="X73" s="4">
        <v>14012</v>
      </c>
      <c r="Y73" s="4">
        <v>21200</v>
      </c>
      <c r="Z73" s="4">
        <v>22800</v>
      </c>
      <c r="AA73" s="4">
        <v>17940</v>
      </c>
      <c r="AB73" s="4">
        <v>17316</v>
      </c>
      <c r="AC73" s="4">
        <v>5200</v>
      </c>
      <c r="AD73" s="4">
        <v>12000</v>
      </c>
      <c r="AE73" s="4">
        <v>7200</v>
      </c>
      <c r="AF73" s="4">
        <v>11648</v>
      </c>
      <c r="AG73" s="4">
        <v>16400</v>
      </c>
      <c r="AH73" s="4">
        <v>34000</v>
      </c>
      <c r="AI73" s="4">
        <v>14800</v>
      </c>
      <c r="AJ73" s="4"/>
      <c r="AK73" s="4">
        <v>6000</v>
      </c>
      <c r="AL73" s="4">
        <v>17056</v>
      </c>
      <c r="AM73" s="4">
        <v>13600</v>
      </c>
      <c r="AN73" s="4">
        <v>9200</v>
      </c>
      <c r="AO73" s="4">
        <v>20400</v>
      </c>
      <c r="AP73" s="4">
        <v>13200</v>
      </c>
      <c r="AQ73" s="4">
        <v>17600</v>
      </c>
      <c r="AR73" s="4">
        <v>2000</v>
      </c>
      <c r="AS73" s="4"/>
      <c r="AT73" s="4">
        <v>16400</v>
      </c>
      <c r="AU73" s="4">
        <v>102400</v>
      </c>
      <c r="AV73" s="4">
        <v>113600</v>
      </c>
      <c r="AW73" s="4"/>
      <c r="AX73" s="4"/>
      <c r="AY73" s="4"/>
      <c r="AZ73" s="4">
        <f>18*200/50*1150</f>
        <v>82800</v>
      </c>
      <c r="BA73" s="4"/>
      <c r="BB73" s="4"/>
      <c r="BC73" s="4"/>
      <c r="BD73" s="4"/>
      <c r="BE73" s="4"/>
      <c r="BF73" s="4"/>
      <c r="BG73" s="4"/>
      <c r="BH73" s="4"/>
      <c r="BI73" s="4"/>
      <c r="BJ73" s="4"/>
      <c r="BK73" s="4"/>
      <c r="BL73" s="4"/>
      <c r="BM73" s="4"/>
      <c r="BN73" s="4"/>
      <c r="BO73" s="4"/>
      <c r="BP73" s="4"/>
      <c r="BQ73" s="4"/>
      <c r="BR73" s="4"/>
      <c r="BS73" s="4"/>
      <c r="BU73" s="4"/>
      <c r="BV73" s="4"/>
      <c r="BW73" s="4"/>
      <c r="BX73" s="4"/>
      <c r="BY73" s="4"/>
      <c r="BZ73" s="4"/>
      <c r="CA73" s="4"/>
      <c r="CB73" s="4"/>
      <c r="CC73" s="4"/>
      <c r="CD73" s="4"/>
      <c r="CE73" s="4"/>
      <c r="CF73" s="4"/>
      <c r="CG73" s="4"/>
      <c r="CH73" s="4"/>
      <c r="CI73" s="4"/>
      <c r="CJ73" s="4"/>
      <c r="CK73" s="4">
        <v>23529.411764705885</v>
      </c>
      <c r="CL73" s="4">
        <v>10909.090909090908</v>
      </c>
      <c r="CM73" s="4">
        <v>8000</v>
      </c>
      <c r="CN73" s="4"/>
      <c r="CO73" s="4"/>
      <c r="CP73" s="4"/>
      <c r="CQ73" s="4"/>
      <c r="CR73" s="4"/>
      <c r="CS73" s="4"/>
      <c r="CT73" s="4"/>
      <c r="CU73" s="4"/>
      <c r="CW73" s="4"/>
      <c r="CX73" s="4"/>
      <c r="CY73" s="4"/>
      <c r="CZ73" s="4">
        <v>19607.843137254902</v>
      </c>
      <c r="DA73" s="4"/>
      <c r="DB73" s="4"/>
      <c r="DC73" s="4"/>
      <c r="DD73" s="4"/>
      <c r="DE73" s="4"/>
      <c r="DF73" s="4"/>
      <c r="DG73" s="4"/>
      <c r="DH73" s="4"/>
      <c r="DI73" s="4"/>
      <c r="DJ73" s="4"/>
    </row>
    <row r="74" spans="1:115" x14ac:dyDescent="0.3">
      <c r="A74" s="16"/>
      <c r="B74" s="17" t="s">
        <v>133</v>
      </c>
      <c r="C74" s="4">
        <f>800/50*1000</f>
        <v>16000</v>
      </c>
      <c r="D74" s="4">
        <f>1*200/50*1000</f>
        <v>4000</v>
      </c>
      <c r="E74" s="4">
        <v>12000</v>
      </c>
      <c r="F74" s="4">
        <v>12000</v>
      </c>
      <c r="G74" s="4">
        <f>1*200/42*1000</f>
        <v>4761.9047619047615</v>
      </c>
      <c r="H74" s="4">
        <f>5*200/45*1000</f>
        <v>22222.222222222223</v>
      </c>
      <c r="I74" s="4"/>
      <c r="J74" s="4"/>
      <c r="K74" s="4"/>
      <c r="L74" s="4"/>
      <c r="M74" s="4">
        <v>1712</v>
      </c>
      <c r="N74" s="4">
        <v>9880</v>
      </c>
      <c r="O74" s="4">
        <v>12772</v>
      </c>
      <c r="P74" s="4">
        <v>13696</v>
      </c>
      <c r="Q74" s="4">
        <v>16112</v>
      </c>
      <c r="R74" s="4">
        <v>13728</v>
      </c>
      <c r="S74" s="4">
        <v>13200</v>
      </c>
      <c r="T74" s="4">
        <v>12800</v>
      </c>
      <c r="U74" s="4">
        <v>6800</v>
      </c>
      <c r="V74" s="4">
        <v>5200</v>
      </c>
      <c r="W74" s="4">
        <v>17716</v>
      </c>
      <c r="X74" s="4">
        <v>8136</v>
      </c>
      <c r="Y74" s="4">
        <v>12400</v>
      </c>
      <c r="Z74" s="4">
        <v>10400</v>
      </c>
      <c r="AA74" s="4">
        <v>25300</v>
      </c>
      <c r="AB74" s="4">
        <v>30192</v>
      </c>
      <c r="AC74" s="4">
        <v>6400</v>
      </c>
      <c r="AD74" s="4">
        <v>19600</v>
      </c>
      <c r="AE74" s="4">
        <v>800</v>
      </c>
      <c r="AF74" s="4">
        <v>5408</v>
      </c>
      <c r="AG74" s="4">
        <v>8000</v>
      </c>
      <c r="AH74" s="4">
        <v>12800</v>
      </c>
      <c r="AI74" s="4">
        <v>11600</v>
      </c>
      <c r="AJ74" s="4"/>
      <c r="AK74" s="4">
        <v>3200</v>
      </c>
      <c r="AL74" s="4">
        <v>4992</v>
      </c>
      <c r="AM74" s="4">
        <v>3200</v>
      </c>
      <c r="AN74" s="4">
        <v>2400</v>
      </c>
      <c r="AO74" s="4">
        <v>6000</v>
      </c>
      <c r="AP74" s="4">
        <v>5600</v>
      </c>
      <c r="AQ74" s="4">
        <v>7200</v>
      </c>
      <c r="AR74" s="4"/>
      <c r="AS74" s="4"/>
      <c r="AT74" s="4">
        <v>11600</v>
      </c>
      <c r="AU74" s="4">
        <v>32400</v>
      </c>
      <c r="AV74" s="4">
        <v>36400</v>
      </c>
      <c r="AW74" s="4">
        <f>86*200/50*1000</f>
        <v>344000</v>
      </c>
      <c r="AX74" s="4">
        <f>92*200/50*1000</f>
        <v>368000</v>
      </c>
      <c r="AY74" s="4">
        <f>74*200/50*1.27*1000</f>
        <v>375920</v>
      </c>
      <c r="AZ74" s="4"/>
      <c r="BA74" s="4">
        <f>6*200/50*1050</f>
        <v>25200</v>
      </c>
      <c r="BB74" s="4">
        <f>4*200/50*1000</f>
        <v>16000</v>
      </c>
      <c r="BC74" s="4">
        <f>4*200/50*1000</f>
        <v>16000</v>
      </c>
      <c r="BD74" s="4">
        <f>0.5*200/50*1050</f>
        <v>2100</v>
      </c>
      <c r="BE74" s="4"/>
      <c r="BF74" s="4"/>
      <c r="BG74" s="4"/>
      <c r="BH74" s="4"/>
      <c r="BI74" s="4">
        <f>4*4000</f>
        <v>16000</v>
      </c>
      <c r="BJ74" s="4">
        <v>4000</v>
      </c>
      <c r="BK74" s="4"/>
      <c r="BL74" s="4"/>
      <c r="BM74" s="4"/>
      <c r="BN74" s="4"/>
      <c r="BO74" s="4">
        <v>19200</v>
      </c>
      <c r="BP74" s="4">
        <v>70000</v>
      </c>
      <c r="BQ74" s="4">
        <v>23529.411764705885</v>
      </c>
      <c r="BR74" s="4"/>
      <c r="BS74" s="4">
        <v>64000</v>
      </c>
      <c r="BT74" s="4">
        <v>4000</v>
      </c>
      <c r="BU74" s="4"/>
      <c r="BV74" s="4"/>
      <c r="BW74" s="4"/>
      <c r="BX74" s="4"/>
      <c r="BY74" s="4"/>
      <c r="BZ74" s="4"/>
      <c r="CA74" s="4">
        <v>20000</v>
      </c>
      <c r="CB74" s="4">
        <v>4000</v>
      </c>
      <c r="CC74" s="4">
        <v>7373.2718894009222</v>
      </c>
      <c r="CD74" s="4">
        <v>14285.714285714284</v>
      </c>
      <c r="CE74" s="4">
        <v>24000</v>
      </c>
      <c r="CF74" s="4"/>
      <c r="CG74" s="4"/>
      <c r="CH74" s="4">
        <v>7547.1698113207549</v>
      </c>
      <c r="CI74" s="4">
        <v>11764.705882352942</v>
      </c>
      <c r="CJ74" s="4">
        <v>22222.222222222223</v>
      </c>
      <c r="CK74" s="4"/>
      <c r="CL74" s="4"/>
      <c r="CM74" s="4"/>
      <c r="CN74" s="4">
        <v>8000</v>
      </c>
      <c r="CO74" s="4"/>
      <c r="CP74" s="4"/>
      <c r="CQ74" s="4"/>
      <c r="CR74" s="4">
        <v>12307.692307692307</v>
      </c>
      <c r="CS74" s="4">
        <v>3389.8305084745766</v>
      </c>
      <c r="CT74" s="4"/>
      <c r="CU74" s="4"/>
      <c r="CW74" s="4">
        <v>536.91275167785238</v>
      </c>
      <c r="CX74" s="4">
        <v>10714.285714285714</v>
      </c>
      <c r="CY74" s="4">
        <v>2352.9411764705883</v>
      </c>
      <c r="CZ74" s="4">
        <v>11764.705882352942</v>
      </c>
      <c r="DA74" s="4"/>
      <c r="DB74" s="4">
        <v>3571.4285714285711</v>
      </c>
      <c r="DC74" s="4">
        <v>7142.8571428571422</v>
      </c>
      <c r="DD74" s="4">
        <v>7547.1698113207549</v>
      </c>
      <c r="DE74" s="4">
        <v>1818.181818181818</v>
      </c>
      <c r="DF74" s="4">
        <v>11538.461538461539</v>
      </c>
      <c r="DG74" s="4">
        <v>7692.3076923076915</v>
      </c>
      <c r="DH74" s="4">
        <v>4000</v>
      </c>
      <c r="DI74" s="4">
        <v>16000</v>
      </c>
      <c r="DJ74" s="4">
        <v>17857.142857142855</v>
      </c>
      <c r="DK74" s="4"/>
    </row>
    <row r="75" spans="1:115" x14ac:dyDescent="0.3">
      <c r="A75" s="16" t="s">
        <v>134</v>
      </c>
      <c r="B75" s="23" t="s">
        <v>135</v>
      </c>
      <c r="C75" s="4">
        <f>2*200/50*1000</f>
        <v>8000</v>
      </c>
      <c r="D75" s="4"/>
      <c r="E75" s="4"/>
      <c r="F75" s="4">
        <v>44000</v>
      </c>
      <c r="G75" s="4">
        <f>3*200/42*1000</f>
        <v>14285.714285714286</v>
      </c>
      <c r="H75" s="4"/>
      <c r="I75" s="4">
        <f>2.1*200*1.04/50*1000</f>
        <v>8736</v>
      </c>
      <c r="J75" s="4">
        <f>3.7*200/50*1000</f>
        <v>14800</v>
      </c>
      <c r="K75" s="4">
        <f>5.6*200*1.03/50*1000</f>
        <v>23072.000000000004</v>
      </c>
      <c r="L75" s="4">
        <f>3.2*4000</f>
        <v>12800</v>
      </c>
      <c r="M75" s="4">
        <v>179760</v>
      </c>
      <c r="N75" s="4">
        <v>275600</v>
      </c>
      <c r="O75" s="4">
        <v>177160</v>
      </c>
      <c r="P75" s="4">
        <v>132680</v>
      </c>
      <c r="Q75" s="4">
        <v>55120</v>
      </c>
      <c r="R75" s="4">
        <v>145600</v>
      </c>
      <c r="S75" s="4">
        <v>56000</v>
      </c>
      <c r="T75" s="4">
        <v>21600</v>
      </c>
      <c r="U75" s="4">
        <v>56000</v>
      </c>
      <c r="V75" s="4">
        <v>16800</v>
      </c>
      <c r="W75" s="4">
        <v>6592</v>
      </c>
      <c r="X75" s="4">
        <v>3164</v>
      </c>
      <c r="Y75" s="4">
        <v>4800</v>
      </c>
      <c r="Z75" s="4">
        <v>3600</v>
      </c>
      <c r="AA75" s="4">
        <v>3220</v>
      </c>
      <c r="AB75" s="4">
        <v>8880</v>
      </c>
      <c r="AC75" s="4">
        <v>2000</v>
      </c>
      <c r="AD75" s="4">
        <v>2000</v>
      </c>
      <c r="AE75" s="4">
        <v>2000</v>
      </c>
      <c r="AF75" s="4">
        <v>4160</v>
      </c>
      <c r="AG75" s="4">
        <v>2800</v>
      </c>
      <c r="AH75" s="4">
        <v>1600</v>
      </c>
      <c r="AI75" s="4">
        <v>800</v>
      </c>
      <c r="AJ75" s="4"/>
      <c r="AK75" s="4">
        <v>10400</v>
      </c>
      <c r="AL75" s="4">
        <v>2080</v>
      </c>
      <c r="AM75" s="4">
        <v>1200</v>
      </c>
      <c r="AN75" s="4">
        <v>3200</v>
      </c>
      <c r="AO75" s="4">
        <v>2400</v>
      </c>
      <c r="AP75" s="4">
        <v>4800</v>
      </c>
      <c r="AQ75" s="4">
        <v>3200</v>
      </c>
      <c r="AR75" s="4">
        <v>800</v>
      </c>
      <c r="AS75" s="4"/>
      <c r="AT75" s="4">
        <v>400</v>
      </c>
      <c r="AU75" s="4">
        <v>25600</v>
      </c>
      <c r="AV75" s="4">
        <v>4400</v>
      </c>
      <c r="AW75" s="4"/>
      <c r="AX75" s="4">
        <f>2*200/50*1000</f>
        <v>8000</v>
      </c>
      <c r="AY75" s="4"/>
      <c r="AZ75" s="4">
        <f>1*200/50*1150</f>
        <v>4600</v>
      </c>
      <c r="BA75" s="4"/>
      <c r="BB75" s="4"/>
      <c r="BC75" s="4"/>
      <c r="BD75" s="4"/>
      <c r="BE75" s="4">
        <f>19*200/50*1000</f>
        <v>76000</v>
      </c>
      <c r="BF75" s="4"/>
      <c r="BG75" s="4"/>
      <c r="BH75" s="4">
        <f>1*200*1.01/50*1000</f>
        <v>4040</v>
      </c>
      <c r="BI75" s="4">
        <f>1*4000</f>
        <v>4000</v>
      </c>
      <c r="BJ75" s="4"/>
      <c r="BK75" s="4"/>
      <c r="BL75" s="4"/>
      <c r="BM75" s="4"/>
      <c r="BN75" s="4"/>
      <c r="BO75" s="4"/>
      <c r="BP75" s="4"/>
      <c r="BQ75" s="4"/>
      <c r="BR75" s="4"/>
      <c r="BS75" s="4"/>
      <c r="BU75" s="4"/>
      <c r="BV75" s="4"/>
      <c r="BW75" s="4"/>
      <c r="BX75" s="4"/>
      <c r="BY75" s="4"/>
      <c r="BZ75" s="4"/>
      <c r="CA75" s="4"/>
      <c r="CB75" s="4"/>
      <c r="CC75" s="4">
        <v>3686.6359447004611</v>
      </c>
      <c r="CD75" s="4"/>
      <c r="CE75" s="4"/>
      <c r="CF75" s="4"/>
      <c r="CG75" s="4"/>
      <c r="CH75" s="4">
        <v>1886.7924528301887</v>
      </c>
      <c r="CI75" s="4"/>
      <c r="CJ75" s="4"/>
      <c r="CK75" s="4"/>
      <c r="CL75" s="4"/>
      <c r="CM75" s="4"/>
      <c r="CN75" s="4"/>
      <c r="CO75" s="4"/>
      <c r="CP75" s="4">
        <v>3636.363636363636</v>
      </c>
      <c r="CQ75" s="4">
        <v>7142.8571428571422</v>
      </c>
      <c r="CR75" s="4"/>
      <c r="CS75" s="4">
        <v>1694.9152542372883</v>
      </c>
      <c r="CT75" s="4">
        <v>4000</v>
      </c>
      <c r="CU75" s="4">
        <v>3809.5238095238096</v>
      </c>
      <c r="CV75" s="4"/>
      <c r="CW75" s="4"/>
      <c r="CX75" s="4">
        <v>3571.4285714285711</v>
      </c>
      <c r="CY75" s="4"/>
      <c r="CZ75" s="4"/>
      <c r="DA75" s="4"/>
      <c r="DB75" s="4"/>
      <c r="DC75" s="4">
        <v>3571.4285714285711</v>
      </c>
      <c r="DD75" s="4">
        <v>7547.1698113207549</v>
      </c>
      <c r="DE75" s="4">
        <v>1818.181818181818</v>
      </c>
      <c r="DF75" s="4"/>
      <c r="DG75" s="4"/>
      <c r="DH75" s="4">
        <v>4000</v>
      </c>
      <c r="DI75" s="4">
        <v>4000</v>
      </c>
      <c r="DJ75" s="4">
        <v>1785.7142857142856</v>
      </c>
    </row>
    <row r="76" spans="1:115" x14ac:dyDescent="0.3">
      <c r="B76" s="11" t="s">
        <v>136</v>
      </c>
      <c r="C76" s="4"/>
      <c r="D76" s="4"/>
      <c r="E76" s="4">
        <v>4000</v>
      </c>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U76" s="4"/>
      <c r="BV76" s="4"/>
      <c r="BW76" s="4"/>
      <c r="BX76" s="4"/>
      <c r="BY76" s="4"/>
      <c r="BZ76" s="4"/>
      <c r="CA76" s="4"/>
      <c r="CB76" s="4"/>
      <c r="CC76" s="4">
        <v>1843.3179723502305</v>
      </c>
      <c r="CD76" s="4"/>
      <c r="CE76" s="4"/>
      <c r="CF76" s="4"/>
      <c r="CG76" s="4"/>
      <c r="CH76" s="4">
        <v>7547.1698113207549</v>
      </c>
      <c r="CI76" s="4"/>
      <c r="CJ76" s="4"/>
      <c r="CK76" s="4"/>
      <c r="CL76" s="4"/>
      <c r="CM76" s="4"/>
      <c r="CN76" s="4"/>
      <c r="CO76" s="4"/>
      <c r="CP76" s="4"/>
      <c r="CQ76" s="4"/>
      <c r="CR76" s="4"/>
      <c r="CS76" s="4"/>
      <c r="CT76" s="4"/>
      <c r="CU76" s="4"/>
      <c r="CW76" s="4"/>
      <c r="CX76" s="4"/>
      <c r="CY76" s="4"/>
      <c r="CZ76" s="4"/>
      <c r="DA76" s="4"/>
      <c r="DB76" s="4"/>
      <c r="DC76" s="4"/>
      <c r="DD76" s="4"/>
      <c r="DE76" s="4"/>
      <c r="DF76" s="4"/>
      <c r="DG76" s="4"/>
      <c r="DH76" s="4"/>
      <c r="DI76" s="4"/>
      <c r="DJ76" s="4"/>
    </row>
    <row r="77" spans="1:115" x14ac:dyDescent="0.3">
      <c r="A77" s="16"/>
      <c r="B77" s="17" t="s">
        <v>137</v>
      </c>
      <c r="C77" s="4">
        <f>2400/50*1000</f>
        <v>48000</v>
      </c>
      <c r="D77" s="4">
        <f>13*200/50*1000</f>
        <v>52000</v>
      </c>
      <c r="E77" s="4"/>
      <c r="F77" s="4">
        <v>8000</v>
      </c>
      <c r="G77" s="4">
        <f>4*200/42*1000</f>
        <v>19047.619047619046</v>
      </c>
      <c r="H77" s="4"/>
      <c r="I77" s="4">
        <f>1.1*200*1.04/50*1000</f>
        <v>4576.0000000000009</v>
      </c>
      <c r="J77" s="4">
        <f>1.3*200/50*1000</f>
        <v>5200</v>
      </c>
      <c r="K77" s="4">
        <f>1.5*200*1.03/50*1000</f>
        <v>6180</v>
      </c>
      <c r="L77" s="4">
        <f>1.7*4000</f>
        <v>6800</v>
      </c>
      <c r="M77" s="4">
        <v>34240</v>
      </c>
      <c r="N77" s="4">
        <v>30680</v>
      </c>
      <c r="O77" s="4">
        <v>65920</v>
      </c>
      <c r="P77" s="4">
        <v>47080</v>
      </c>
      <c r="Q77" s="4">
        <v>29680</v>
      </c>
      <c r="R77" s="4">
        <v>20800</v>
      </c>
      <c r="S77" s="4">
        <v>20000</v>
      </c>
      <c r="T77" s="4">
        <v>14800</v>
      </c>
      <c r="U77" s="4">
        <v>18400</v>
      </c>
      <c r="V77" s="4">
        <v>8000</v>
      </c>
      <c r="W77" s="4">
        <v>412</v>
      </c>
      <c r="X77" s="4">
        <v>452</v>
      </c>
      <c r="Y77" s="4">
        <v>400</v>
      </c>
      <c r="Z77" s="4">
        <v>800</v>
      </c>
      <c r="AA77" s="4">
        <v>920</v>
      </c>
      <c r="AB77" s="4">
        <v>888</v>
      </c>
      <c r="AC77" s="4">
        <v>400</v>
      </c>
      <c r="AD77" s="4"/>
      <c r="AE77" s="4">
        <v>400</v>
      </c>
      <c r="AF77" s="4">
        <v>1248</v>
      </c>
      <c r="AG77" s="4"/>
      <c r="AH77" s="4">
        <v>1200</v>
      </c>
      <c r="AI77" s="4"/>
      <c r="AJ77" s="4"/>
      <c r="AK77" s="4"/>
      <c r="AL77" s="4"/>
      <c r="AM77" s="4"/>
      <c r="AN77" s="4"/>
      <c r="AO77" s="4"/>
      <c r="AP77" s="4"/>
      <c r="AQ77" s="4"/>
      <c r="AR77" s="4"/>
      <c r="AS77" s="4"/>
      <c r="AT77" s="4"/>
      <c r="AU77" s="4"/>
      <c r="AV77" s="4">
        <v>800</v>
      </c>
      <c r="AW77" s="4"/>
      <c r="AX77" s="4">
        <f>10*200/50*1000</f>
        <v>40000</v>
      </c>
      <c r="AY77" s="4">
        <f>13*200/50*1.27*1000</f>
        <v>66040</v>
      </c>
      <c r="AZ77" s="4"/>
      <c r="BA77" s="4">
        <f>0.5*200/50*1050</f>
        <v>2100</v>
      </c>
      <c r="BB77" s="4"/>
      <c r="BC77" s="4">
        <f>5*200/50*1000</f>
        <v>20000</v>
      </c>
      <c r="BD77" s="4">
        <f>4*200/50*1050</f>
        <v>16800</v>
      </c>
      <c r="BE77" s="4">
        <f>410*200/50*1000</f>
        <v>1640000</v>
      </c>
      <c r="BF77" s="4">
        <f>47*200*1.17/50*1000</f>
        <v>219960</v>
      </c>
      <c r="BG77" s="4"/>
      <c r="BH77" s="4"/>
      <c r="BI77" s="4">
        <v>4000</v>
      </c>
      <c r="BJ77" s="4"/>
      <c r="BK77" s="4"/>
      <c r="BL77" s="4"/>
      <c r="BM77" s="4"/>
      <c r="BN77" s="4"/>
      <c r="BO77" s="4"/>
      <c r="BP77" s="4"/>
      <c r="BQ77" s="4">
        <v>7843.1372549019607</v>
      </c>
      <c r="BR77" s="4"/>
      <c r="BS77" s="4">
        <v>8000</v>
      </c>
      <c r="BU77" s="4"/>
      <c r="BV77" s="4"/>
      <c r="BW77" s="4"/>
      <c r="BX77" s="4"/>
      <c r="BY77" s="4"/>
      <c r="BZ77" s="4"/>
      <c r="CA77" s="4">
        <v>2857.1428571428573</v>
      </c>
      <c r="CB77" s="4"/>
      <c r="CC77" s="4">
        <v>11059.907834101383</v>
      </c>
      <c r="CD77" s="4"/>
      <c r="CE77" s="4"/>
      <c r="CF77" s="4"/>
      <c r="CG77" s="4"/>
      <c r="CH77" s="4">
        <v>7547.1698113207549</v>
      </c>
      <c r="CI77" s="4">
        <v>3921.5686274509803</v>
      </c>
      <c r="CJ77" s="4">
        <v>14814.814814814814</v>
      </c>
      <c r="CK77" s="4">
        <v>3921.5686274509803</v>
      </c>
      <c r="CL77" s="4"/>
      <c r="CM77" s="4">
        <v>4000</v>
      </c>
      <c r="CN77" s="4">
        <v>4000</v>
      </c>
      <c r="CO77" s="4">
        <v>11320.754716981133</v>
      </c>
      <c r="CP77" s="4">
        <v>3636.363636363636</v>
      </c>
      <c r="CQ77" s="4">
        <v>10714.285714285714</v>
      </c>
      <c r="CR77" s="4"/>
      <c r="CS77" s="4">
        <v>6779.6610169491532</v>
      </c>
      <c r="CT77" s="4">
        <v>20000</v>
      </c>
      <c r="CU77" s="4">
        <v>11428.571428571429</v>
      </c>
      <c r="CV77" s="4">
        <v>12000</v>
      </c>
      <c r="CW77" s="4">
        <v>805.36912751677858</v>
      </c>
      <c r="CX77" s="4">
        <v>3571.4285714285711</v>
      </c>
      <c r="CY77" s="4">
        <v>3921.5686274509803</v>
      </c>
      <c r="CZ77" s="4"/>
      <c r="DA77" s="4"/>
      <c r="DB77" s="4">
        <v>10714.285714285714</v>
      </c>
      <c r="DC77" s="4">
        <v>10714.285714285714</v>
      </c>
      <c r="DD77" s="4">
        <v>3773.5849056603774</v>
      </c>
      <c r="DE77" s="4"/>
      <c r="DF77" s="4"/>
      <c r="DG77" s="4">
        <v>11538.461538461539</v>
      </c>
      <c r="DH77" s="4">
        <v>4000</v>
      </c>
      <c r="DI77" s="4">
        <v>4000</v>
      </c>
      <c r="DJ77" s="4">
        <v>3571.4285714285711</v>
      </c>
      <c r="DK77" s="4"/>
    </row>
    <row r="78" spans="1:115" x14ac:dyDescent="0.3">
      <c r="A78" s="16"/>
      <c r="B78" s="17" t="s">
        <v>138</v>
      </c>
      <c r="C78" s="4"/>
      <c r="D78" s="4"/>
      <c r="E78" s="4"/>
      <c r="F78" s="4"/>
      <c r="G78" s="4"/>
      <c r="H78" s="4"/>
      <c r="I78" s="4"/>
      <c r="J78" s="4"/>
      <c r="K78" s="4"/>
      <c r="L78" s="4"/>
      <c r="M78" s="4">
        <v>273920</v>
      </c>
      <c r="N78" s="4">
        <v>405600</v>
      </c>
      <c r="O78" s="4">
        <v>329600</v>
      </c>
      <c r="P78" s="4">
        <v>209720</v>
      </c>
      <c r="Q78" s="4">
        <v>228960</v>
      </c>
      <c r="R78" s="4">
        <v>208000</v>
      </c>
      <c r="S78" s="4">
        <v>124000</v>
      </c>
      <c r="T78" s="4">
        <v>120000</v>
      </c>
      <c r="U78" s="4">
        <v>76000</v>
      </c>
      <c r="V78" s="4">
        <v>13600</v>
      </c>
      <c r="W78" s="4">
        <v>78280</v>
      </c>
      <c r="X78" s="4">
        <v>26216</v>
      </c>
      <c r="Y78" s="4">
        <v>18400</v>
      </c>
      <c r="Z78" s="4">
        <v>25600</v>
      </c>
      <c r="AA78" s="4">
        <v>12880</v>
      </c>
      <c r="AB78" s="4">
        <v>12876</v>
      </c>
      <c r="AC78" s="4">
        <v>2800</v>
      </c>
      <c r="AD78" s="4">
        <v>9200</v>
      </c>
      <c r="AE78" s="4">
        <v>6800</v>
      </c>
      <c r="AF78" s="4">
        <v>20064</v>
      </c>
      <c r="AG78" s="4">
        <v>7200</v>
      </c>
      <c r="AH78" s="4">
        <v>4000</v>
      </c>
      <c r="AI78" s="4">
        <v>2400</v>
      </c>
      <c r="AJ78" s="4"/>
      <c r="AK78" s="4">
        <v>19200</v>
      </c>
      <c r="AL78" s="4">
        <v>4160</v>
      </c>
      <c r="AM78" s="4">
        <v>800</v>
      </c>
      <c r="AN78" s="4">
        <v>400</v>
      </c>
      <c r="AO78" s="4"/>
      <c r="AP78" s="4">
        <v>2000</v>
      </c>
      <c r="AQ78" s="4">
        <v>1200</v>
      </c>
      <c r="AR78" s="4"/>
      <c r="AS78" s="4"/>
      <c r="AT78" s="4">
        <v>1200</v>
      </c>
      <c r="AU78" s="4">
        <v>26400</v>
      </c>
      <c r="AV78" s="4">
        <v>49600</v>
      </c>
      <c r="AW78" s="4">
        <f>5*200/50*1000</f>
        <v>20000</v>
      </c>
      <c r="AX78" s="4">
        <f>37*200/50*1000</f>
        <v>148000</v>
      </c>
      <c r="AY78" s="4">
        <f>46*200/50*1.27*1000</f>
        <v>233680</v>
      </c>
      <c r="AZ78" s="4">
        <f>2*200/50*1150</f>
        <v>9200</v>
      </c>
      <c r="BA78" s="4"/>
      <c r="BB78" s="4">
        <f>1*200/50*1000</f>
        <v>4000</v>
      </c>
      <c r="BC78" s="4"/>
      <c r="BD78" s="4"/>
      <c r="BE78" s="4">
        <f>11*200/50*1000</f>
        <v>44000</v>
      </c>
      <c r="BF78" s="4"/>
      <c r="BG78" s="4"/>
      <c r="BH78" s="4">
        <f>3*200*1.01/50*1000</f>
        <v>12120</v>
      </c>
      <c r="BI78" s="4">
        <v>8000</v>
      </c>
      <c r="BJ78" s="4"/>
      <c r="BK78" s="4"/>
      <c r="BL78" s="4"/>
      <c r="BM78" s="4"/>
      <c r="BN78" s="4">
        <f>122*200/1.25/50*1000</f>
        <v>390400</v>
      </c>
      <c r="BO78" s="4">
        <v>6400</v>
      </c>
      <c r="BP78" s="4">
        <v>3333.3333333333339</v>
      </c>
      <c r="BQ78" s="4"/>
      <c r="BR78" s="4"/>
      <c r="BS78" s="4">
        <v>8000</v>
      </c>
      <c r="BU78" s="4"/>
      <c r="BV78" s="4"/>
      <c r="BW78" s="4"/>
      <c r="BX78" s="4"/>
      <c r="BY78" s="4">
        <v>12000</v>
      </c>
      <c r="BZ78" s="4"/>
      <c r="CA78" s="4">
        <v>5714.2857142857147</v>
      </c>
      <c r="CB78" s="4"/>
      <c r="CC78" s="4">
        <v>18433.179723502308</v>
      </c>
      <c r="CD78" s="4">
        <v>7142.8571428571422</v>
      </c>
      <c r="CE78" s="4">
        <v>4000</v>
      </c>
      <c r="CF78" s="4"/>
      <c r="CG78" s="4"/>
      <c r="CH78" s="4">
        <v>218867.92452830187</v>
      </c>
      <c r="CI78" s="4">
        <v>7843.1372549019607</v>
      </c>
      <c r="CJ78" s="4">
        <v>37037.037037037036</v>
      </c>
      <c r="CK78" s="4">
        <v>19607.843137254902</v>
      </c>
      <c r="CL78" s="4">
        <v>10909.090909090908</v>
      </c>
      <c r="CM78" s="4">
        <v>16000</v>
      </c>
      <c r="CN78" s="4">
        <v>28000</v>
      </c>
      <c r="CO78" s="4">
        <v>64150.943396226408</v>
      </c>
      <c r="CP78" s="4">
        <v>10909.090909090908</v>
      </c>
      <c r="CQ78" s="4">
        <v>24999.999999999996</v>
      </c>
      <c r="CR78" s="4">
        <v>6153.8461538461534</v>
      </c>
      <c r="CS78" s="4">
        <v>6779.6610169491532</v>
      </c>
      <c r="CT78" s="4">
        <v>4000</v>
      </c>
      <c r="CU78" s="4">
        <v>11428.571428571429</v>
      </c>
      <c r="CV78" s="4">
        <v>8000</v>
      </c>
      <c r="CW78" s="4">
        <v>1073.8255033557048</v>
      </c>
      <c r="CX78" s="4">
        <v>10714.285714285714</v>
      </c>
      <c r="CY78" s="4">
        <v>11764.705882352942</v>
      </c>
      <c r="CZ78" s="4">
        <v>19607.843137254902</v>
      </c>
      <c r="DA78" s="4"/>
      <c r="DB78" s="4">
        <v>28571.428571428569</v>
      </c>
      <c r="DC78" s="4">
        <v>14285.714285714284</v>
      </c>
      <c r="DD78" s="4">
        <v>15094.33962264151</v>
      </c>
      <c r="DE78" s="4">
        <v>18181.81818181818</v>
      </c>
      <c r="DF78" s="4"/>
      <c r="DG78" s="4">
        <v>11538.461538461539</v>
      </c>
      <c r="DH78" s="4"/>
      <c r="DI78" s="4">
        <v>16000</v>
      </c>
      <c r="DJ78" s="4">
        <v>17857.142857142855</v>
      </c>
    </row>
    <row r="79" spans="1:115" x14ac:dyDescent="0.3">
      <c r="A79" s="16"/>
      <c r="B79" s="17" t="s">
        <v>139</v>
      </c>
      <c r="C79" s="4">
        <f>11*200/50*1000</f>
        <v>44000</v>
      </c>
      <c r="D79" s="4">
        <f>17*200/50*1000</f>
        <v>68000</v>
      </c>
      <c r="E79" s="4"/>
      <c r="F79" s="4"/>
      <c r="G79" s="4">
        <f>6*200/42*1000</f>
        <v>28571.428571428572</v>
      </c>
      <c r="H79" s="4"/>
      <c r="I79" s="4">
        <f>1.5*200*1.04/50*1000</f>
        <v>6240</v>
      </c>
      <c r="J79" s="4">
        <f>5.9*200/50*1000</f>
        <v>23600</v>
      </c>
      <c r="K79" s="4">
        <f>3.6*200*1.03/50*1000</f>
        <v>14832</v>
      </c>
      <c r="L79" s="4">
        <f>2*4000</f>
        <v>8000</v>
      </c>
      <c r="M79" s="4">
        <v>1990200</v>
      </c>
      <c r="N79" s="4">
        <v>2761200</v>
      </c>
      <c r="O79" s="4">
        <v>2068240</v>
      </c>
      <c r="P79" s="4">
        <v>2242720</v>
      </c>
      <c r="Q79" s="4">
        <v>1386480</v>
      </c>
      <c r="R79" s="4">
        <v>2242240</v>
      </c>
      <c r="S79" s="4">
        <v>1344000</v>
      </c>
      <c r="T79" s="4">
        <v>1056000</v>
      </c>
      <c r="U79" s="4">
        <v>1288000</v>
      </c>
      <c r="V79" s="4">
        <v>160000</v>
      </c>
      <c r="W79" s="4">
        <v>57680</v>
      </c>
      <c r="X79" s="4">
        <v>28476</v>
      </c>
      <c r="Y79" s="4">
        <v>24400</v>
      </c>
      <c r="Z79" s="4">
        <v>12800</v>
      </c>
      <c r="AA79" s="4">
        <v>9200</v>
      </c>
      <c r="AB79" s="4">
        <v>11544</v>
      </c>
      <c r="AC79" s="4">
        <v>5600</v>
      </c>
      <c r="AD79" s="4">
        <v>5200</v>
      </c>
      <c r="AE79" s="4">
        <v>4800</v>
      </c>
      <c r="AF79" s="4">
        <v>832</v>
      </c>
      <c r="AG79" s="4">
        <v>2400</v>
      </c>
      <c r="AH79" s="4">
        <v>7200</v>
      </c>
      <c r="AI79" s="4">
        <v>12800</v>
      </c>
      <c r="AJ79" s="4"/>
      <c r="AK79" s="4"/>
      <c r="AL79" s="4">
        <v>12064</v>
      </c>
      <c r="AM79" s="4">
        <v>4400</v>
      </c>
      <c r="AN79" s="4">
        <v>800</v>
      </c>
      <c r="AO79" s="4">
        <v>7600</v>
      </c>
      <c r="AP79" s="4">
        <v>4400</v>
      </c>
      <c r="AQ79" s="4">
        <v>4800</v>
      </c>
      <c r="AR79" s="4">
        <v>2800</v>
      </c>
      <c r="AS79" s="4"/>
      <c r="AT79" s="4">
        <v>1600</v>
      </c>
      <c r="AU79" s="4">
        <v>190000</v>
      </c>
      <c r="AV79" s="4">
        <v>298000</v>
      </c>
      <c r="AW79" s="4">
        <f>123*200/50*1000</f>
        <v>492000</v>
      </c>
      <c r="AX79" s="4">
        <f>32*200/50*1000</f>
        <v>128000</v>
      </c>
      <c r="AY79" s="4">
        <f>63*200/50*1.27*1000</f>
        <v>320040</v>
      </c>
      <c r="AZ79" s="4">
        <f>235*200/50*1150</f>
        <v>1081000</v>
      </c>
      <c r="BA79" s="4">
        <f>11*200/50*1050</f>
        <v>46200</v>
      </c>
      <c r="BB79" s="4">
        <f>48*200/50*1000</f>
        <v>192000</v>
      </c>
      <c r="BC79" s="4"/>
      <c r="BD79" s="4"/>
      <c r="BE79" s="4">
        <f>78*200/50*1000</f>
        <v>312000</v>
      </c>
      <c r="BF79" s="4">
        <f>12*200*1.17/50*1000</f>
        <v>56160</v>
      </c>
      <c r="BG79" s="4">
        <f>17*200/50*1000</f>
        <v>68000</v>
      </c>
      <c r="BH79" s="4">
        <f>1*200*1.01/50*1000</f>
        <v>4040</v>
      </c>
      <c r="BI79" s="4">
        <f>28*200/50*1000</f>
        <v>112000</v>
      </c>
      <c r="BJ79" s="4"/>
      <c r="BK79" s="4"/>
      <c r="BL79" s="4"/>
      <c r="BM79" s="4"/>
      <c r="BN79" s="4"/>
      <c r="BO79" s="4">
        <v>25600</v>
      </c>
      <c r="BP79" s="4"/>
      <c r="BQ79" s="4"/>
      <c r="BR79" s="4"/>
      <c r="BS79" s="4">
        <v>12000</v>
      </c>
      <c r="BT79" s="4">
        <v>4000</v>
      </c>
      <c r="BU79" s="4"/>
      <c r="BV79" s="4"/>
      <c r="BW79" s="4"/>
      <c r="BX79" s="4"/>
      <c r="BY79" s="4">
        <v>8000</v>
      </c>
      <c r="BZ79" s="4"/>
      <c r="CA79" s="4"/>
      <c r="CB79" s="4">
        <v>8000</v>
      </c>
      <c r="CC79" s="4">
        <v>11059.907834101383</v>
      </c>
      <c r="CD79" s="4">
        <v>14285.714285714284</v>
      </c>
      <c r="CE79" s="4"/>
      <c r="CF79" s="4"/>
      <c r="CG79" s="4"/>
      <c r="CH79" s="4"/>
      <c r="CI79" s="4">
        <v>266666.66666666669</v>
      </c>
      <c r="CJ79" s="4">
        <v>392592.59259259253</v>
      </c>
      <c r="CK79" s="4">
        <v>360784.31372549024</v>
      </c>
      <c r="CL79" s="4">
        <v>174545.45454545453</v>
      </c>
      <c r="CM79" s="4">
        <v>120000</v>
      </c>
      <c r="CN79" s="4">
        <v>188000</v>
      </c>
      <c r="CO79" s="4"/>
      <c r="CP79" s="4">
        <v>54545.454545454537</v>
      </c>
      <c r="CQ79" s="4">
        <v>49999.999999999993</v>
      </c>
      <c r="CR79" s="4">
        <v>64615.38461538461</v>
      </c>
      <c r="CS79" s="4">
        <v>54237.288135593226</v>
      </c>
      <c r="CT79" s="4">
        <v>52000</v>
      </c>
      <c r="CU79" s="4">
        <v>53333.333333333328</v>
      </c>
      <c r="CV79" s="4">
        <v>192000</v>
      </c>
      <c r="CW79" s="4">
        <v>7516.7785234899329</v>
      </c>
      <c r="CX79" s="4">
        <v>164285.71428571429</v>
      </c>
      <c r="CY79" s="4">
        <v>78431.372549019608</v>
      </c>
      <c r="CZ79" s="4">
        <v>145098.03921568627</v>
      </c>
      <c r="DA79" s="4"/>
      <c r="DB79" s="4">
        <v>32142.857142857138</v>
      </c>
      <c r="DC79" s="4">
        <v>39285.714285714275</v>
      </c>
      <c r="DD79" s="4">
        <v>33962.264150943389</v>
      </c>
      <c r="DE79" s="4"/>
      <c r="DF79" s="4">
        <v>23076.923076923078</v>
      </c>
      <c r="DG79" s="4">
        <v>11538.461538461539</v>
      </c>
      <c r="DH79" s="4">
        <v>36000</v>
      </c>
      <c r="DI79" s="4">
        <v>52000</v>
      </c>
      <c r="DJ79" s="4">
        <v>39285.714285714275</v>
      </c>
      <c r="DK79" s="4"/>
    </row>
    <row r="80" spans="1:115" x14ac:dyDescent="0.3">
      <c r="A80" s="16"/>
      <c r="B80" s="17" t="s">
        <v>140</v>
      </c>
      <c r="C80" s="4"/>
      <c r="D80" s="4">
        <v>800</v>
      </c>
      <c r="E80" s="4"/>
      <c r="F80" s="4"/>
      <c r="G80" s="4"/>
      <c r="H80" s="4">
        <f>1*200/45*1000</f>
        <v>4444.4444444444443</v>
      </c>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f>2*200/50*1000</f>
        <v>8000</v>
      </c>
      <c r="BF80" s="4">
        <f>3*200*1.17/50*1000</f>
        <v>14040</v>
      </c>
      <c r="BG80" s="4"/>
      <c r="BH80" s="4"/>
      <c r="BI80" s="4"/>
      <c r="BJ80" s="4"/>
      <c r="BK80" s="4"/>
      <c r="BL80" s="4"/>
      <c r="BM80" s="4"/>
      <c r="BN80" s="4"/>
      <c r="BO80" s="4"/>
      <c r="BP80" s="4"/>
      <c r="BQ80" s="4"/>
      <c r="BR80" s="4"/>
      <c r="BS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W80" s="4"/>
      <c r="CX80" s="4"/>
      <c r="CY80" s="4"/>
      <c r="CZ80" s="4"/>
      <c r="DA80" s="4"/>
      <c r="DB80" s="4"/>
      <c r="DC80" s="4"/>
      <c r="DD80" s="4"/>
      <c r="DE80" s="4"/>
      <c r="DF80" s="4"/>
      <c r="DG80" s="4"/>
      <c r="DH80" s="4"/>
      <c r="DI80" s="4"/>
      <c r="DJ80" s="4"/>
    </row>
    <row r="81" spans="1:115" x14ac:dyDescent="0.3">
      <c r="A81" s="16"/>
      <c r="B81" s="17" t="s">
        <v>141</v>
      </c>
      <c r="C81" s="4"/>
      <c r="D81" s="4"/>
      <c r="E81" s="4"/>
      <c r="F81" s="4"/>
      <c r="G81" s="4"/>
      <c r="H81" s="4">
        <f>3*200/45*1000</f>
        <v>13333.333333333334</v>
      </c>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W81" s="4"/>
      <c r="CX81" s="4"/>
      <c r="CY81" s="4"/>
      <c r="CZ81" s="4"/>
      <c r="DA81" s="4"/>
      <c r="DB81" s="4"/>
      <c r="DC81" s="4"/>
      <c r="DD81" s="4"/>
      <c r="DE81" s="4"/>
      <c r="DF81" s="4"/>
      <c r="DG81" s="4"/>
      <c r="DH81" s="4"/>
      <c r="DI81" s="4"/>
      <c r="DJ81" s="4"/>
    </row>
    <row r="82" spans="1:115" x14ac:dyDescent="0.3">
      <c r="A82" s="16"/>
      <c r="B82" s="17" t="s">
        <v>142</v>
      </c>
      <c r="C82" s="4"/>
      <c r="D82" s="4">
        <f>0.5*200/50*1000</f>
        <v>2000</v>
      </c>
      <c r="E82" s="4"/>
      <c r="F82" s="4"/>
      <c r="G82" s="4">
        <f>0.6*200/42*1000</f>
        <v>2857.1428571428573</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f>0.5*200/50*1000</f>
        <v>2000</v>
      </c>
      <c r="AX82" s="4">
        <f>12*200/50*1000</f>
        <v>48000</v>
      </c>
      <c r="AY82" s="4">
        <f>9*200/50*1.27*1000</f>
        <v>45720</v>
      </c>
      <c r="AZ82" s="4"/>
      <c r="BA82" s="4"/>
      <c r="BB82" s="4"/>
      <c r="BC82" s="4">
        <f>60*200/50*1000</f>
        <v>240000</v>
      </c>
      <c r="BD82" s="4">
        <f>2*200/50*1050</f>
        <v>8400</v>
      </c>
      <c r="BE82" s="4"/>
      <c r="BF82" s="4"/>
      <c r="BG82" s="4"/>
      <c r="BH82" s="4"/>
      <c r="BI82" s="4"/>
      <c r="BJ82" s="4"/>
      <c r="BK82" s="4"/>
      <c r="BL82" s="4"/>
      <c r="BM82" s="4"/>
      <c r="BN82" s="4"/>
      <c r="BO82" s="4"/>
      <c r="BP82" s="4"/>
      <c r="BQ82" s="4"/>
      <c r="BR82" s="4"/>
      <c r="BS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v>1694.9152542372883</v>
      </c>
      <c r="CT82" s="4"/>
      <c r="CU82" s="4"/>
      <c r="CW82" s="4"/>
      <c r="CX82" s="4"/>
      <c r="CY82" s="4">
        <v>15686.274509803921</v>
      </c>
      <c r="CZ82" s="4"/>
      <c r="DA82" s="4"/>
      <c r="DB82" s="4">
        <v>10714.285714285714</v>
      </c>
      <c r="DC82" s="4"/>
      <c r="DD82" s="4"/>
      <c r="DE82" s="4"/>
      <c r="DF82" s="4">
        <v>7692.3076923076915</v>
      </c>
      <c r="DG82" s="4">
        <v>7692.3076923076915</v>
      </c>
      <c r="DH82" s="4"/>
      <c r="DI82" s="4">
        <v>800</v>
      </c>
      <c r="DJ82" s="4">
        <v>7142.8571428571422</v>
      </c>
      <c r="DK82" s="4"/>
    </row>
    <row r="83" spans="1:115" x14ac:dyDescent="0.3">
      <c r="A83" s="16" t="s">
        <v>143</v>
      </c>
      <c r="B83" s="17" t="s">
        <v>144</v>
      </c>
      <c r="C83" s="4">
        <f>3*200/50*1000</f>
        <v>12000</v>
      </c>
      <c r="D83" s="4">
        <f>1*200/50*1000</f>
        <v>4000</v>
      </c>
      <c r="E83" s="4"/>
      <c r="F83" s="4"/>
      <c r="G83" s="4">
        <f>1*200/42*1000</f>
        <v>4761.9047619047615</v>
      </c>
      <c r="H83" s="4">
        <f>3*200/45*1000</f>
        <v>13333.333333333334</v>
      </c>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W83" s="4"/>
      <c r="CX83" s="4"/>
      <c r="CY83" s="4"/>
      <c r="CZ83" s="4"/>
      <c r="DA83" s="4"/>
      <c r="DB83" s="4"/>
      <c r="DC83" s="4"/>
      <c r="DD83" s="4"/>
      <c r="DE83" s="4"/>
      <c r="DF83" s="4"/>
      <c r="DG83" s="4"/>
      <c r="DH83" s="4"/>
      <c r="DI83" s="4"/>
      <c r="DJ83" s="4"/>
    </row>
    <row r="84" spans="1:115" x14ac:dyDescent="0.3">
      <c r="A84" s="16" t="s">
        <v>145</v>
      </c>
      <c r="B84" s="17" t="s">
        <v>146</v>
      </c>
      <c r="C84" s="4"/>
      <c r="D84" s="4"/>
      <c r="E84" s="4"/>
      <c r="F84" s="4"/>
      <c r="G84" s="4"/>
      <c r="H84" s="4">
        <f>1*200/45*1000</f>
        <v>4444.4444444444443</v>
      </c>
      <c r="I84" s="4"/>
      <c r="J84" s="4"/>
      <c r="K84" s="4"/>
      <c r="L84" s="4"/>
      <c r="M84" s="4"/>
      <c r="N84" s="4"/>
      <c r="O84" s="4"/>
      <c r="P84" s="4"/>
      <c r="Q84" s="4"/>
      <c r="R84" s="4"/>
      <c r="S84" s="4"/>
      <c r="T84" s="4">
        <v>400</v>
      </c>
      <c r="U84" s="4">
        <v>400</v>
      </c>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W84" s="4"/>
      <c r="CX84" s="4"/>
      <c r="CY84" s="4"/>
      <c r="CZ84" s="4"/>
      <c r="DA84" s="4"/>
      <c r="DB84" s="4"/>
      <c r="DC84" s="4"/>
      <c r="DD84" s="4"/>
      <c r="DE84" s="4"/>
      <c r="DF84" s="4"/>
      <c r="DG84" s="4"/>
      <c r="DH84" s="4"/>
      <c r="DI84" s="4"/>
      <c r="DJ84" s="4"/>
    </row>
    <row r="85" spans="1:115" x14ac:dyDescent="0.3">
      <c r="A85" s="16" t="s">
        <v>147</v>
      </c>
      <c r="B85" s="11" t="s">
        <v>147</v>
      </c>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U85" s="4"/>
      <c r="BV85" s="4"/>
      <c r="BW85" s="4"/>
      <c r="BX85" s="4"/>
      <c r="BY85" s="4"/>
      <c r="BZ85" s="4"/>
      <c r="CA85" s="4"/>
      <c r="CB85" s="4"/>
      <c r="CC85" s="4"/>
      <c r="CD85" s="4"/>
      <c r="CE85" s="4"/>
      <c r="CF85" s="4"/>
      <c r="CG85" s="4"/>
      <c r="CH85" s="4"/>
      <c r="CI85" s="4"/>
      <c r="CJ85" s="4">
        <v>22222.222222222223</v>
      </c>
      <c r="CK85" s="4">
        <v>7843.1372549019607</v>
      </c>
      <c r="CL85" s="4"/>
      <c r="CM85" s="4"/>
      <c r="CN85" s="4"/>
      <c r="CO85" s="4"/>
      <c r="CP85" s="4">
        <v>727.27272727272714</v>
      </c>
      <c r="CQ85" s="4"/>
      <c r="CR85" s="4">
        <v>615.38461538461536</v>
      </c>
      <c r="CS85" s="4"/>
      <c r="CT85" s="4"/>
      <c r="CU85" s="4"/>
      <c r="CW85" s="4"/>
      <c r="CX85" s="4">
        <v>3571.4285714285711</v>
      </c>
      <c r="CY85" s="4"/>
      <c r="CZ85" s="4"/>
      <c r="DA85" s="4"/>
      <c r="DB85" s="4">
        <v>3571.4285714285711</v>
      </c>
      <c r="DC85" s="4"/>
      <c r="DD85" s="4">
        <v>1886.7924528301887</v>
      </c>
      <c r="DE85" s="4"/>
      <c r="DF85" s="4"/>
      <c r="DG85" s="4"/>
      <c r="DH85" s="4"/>
      <c r="DI85" s="4"/>
      <c r="DJ85" s="4"/>
    </row>
    <row r="86" spans="1:115" x14ac:dyDescent="0.3">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W86" s="4"/>
      <c r="CX86" s="4"/>
      <c r="CY86" s="4"/>
      <c r="CZ86" s="4"/>
      <c r="DA86" s="4"/>
      <c r="DB86" s="4"/>
      <c r="DC86" s="4"/>
      <c r="DD86" s="4"/>
      <c r="DE86" s="4"/>
      <c r="DF86" s="4"/>
      <c r="DG86" s="4"/>
      <c r="DH86" s="4"/>
      <c r="DI86" s="4"/>
      <c r="DJ86" s="4"/>
    </row>
    <row r="87" spans="1:115" x14ac:dyDescent="0.3">
      <c r="A87" s="5" t="s">
        <v>148</v>
      </c>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W87" s="4"/>
      <c r="CX87" s="4"/>
      <c r="CY87" s="4"/>
      <c r="CZ87" s="4"/>
      <c r="DA87" s="4"/>
      <c r="DB87" s="4"/>
      <c r="DC87" s="4"/>
      <c r="DD87" s="4"/>
      <c r="DE87" s="4"/>
      <c r="DF87" s="4"/>
      <c r="DG87" s="4"/>
      <c r="DH87" s="4"/>
      <c r="DI87" s="4"/>
      <c r="DJ87" s="4"/>
    </row>
    <row r="88" spans="1:115" x14ac:dyDescent="0.3">
      <c r="A88" s="16" t="s">
        <v>149</v>
      </c>
      <c r="B88" s="17" t="s">
        <v>150</v>
      </c>
      <c r="C88" s="4"/>
      <c r="D88" s="4"/>
      <c r="E88" s="4"/>
      <c r="F88" s="4"/>
      <c r="G88" s="4"/>
      <c r="H88" s="4"/>
      <c r="I88" s="4"/>
      <c r="J88" s="4"/>
      <c r="K88" s="4"/>
      <c r="L88" s="4"/>
      <c r="M88" s="4"/>
      <c r="N88" s="4">
        <v>520</v>
      </c>
      <c r="O88" s="4"/>
      <c r="P88" s="4">
        <v>856</v>
      </c>
      <c r="Q88" s="4">
        <v>339.2</v>
      </c>
      <c r="R88" s="4">
        <v>416</v>
      </c>
      <c r="S88" s="4">
        <v>800</v>
      </c>
      <c r="T88" s="4"/>
      <c r="U88" s="4">
        <v>400</v>
      </c>
      <c r="V88" s="4">
        <v>400</v>
      </c>
      <c r="W88" s="4">
        <v>412</v>
      </c>
      <c r="X88" s="4">
        <v>452</v>
      </c>
      <c r="Y88" s="4"/>
      <c r="Z88" s="4">
        <v>400</v>
      </c>
      <c r="AA88" s="4"/>
      <c r="AB88" s="4"/>
      <c r="AC88" s="4"/>
      <c r="AD88" s="4"/>
      <c r="AE88" s="4">
        <v>400</v>
      </c>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U88" s="4"/>
      <c r="BV88" s="4"/>
      <c r="BW88" s="4"/>
      <c r="BX88" s="4"/>
      <c r="BY88" s="4"/>
      <c r="BZ88" s="4"/>
      <c r="CA88" s="4"/>
      <c r="CB88" s="4"/>
      <c r="CC88" s="4"/>
      <c r="CD88" s="4"/>
      <c r="CE88" s="4"/>
      <c r="CF88" s="4"/>
      <c r="CG88" s="4"/>
      <c r="CH88" s="4">
        <v>3773.5849056603774</v>
      </c>
      <c r="CI88" s="4"/>
      <c r="CJ88" s="4"/>
      <c r="CK88" s="4"/>
      <c r="CL88" s="4"/>
      <c r="CM88" s="4"/>
      <c r="CN88" s="4"/>
      <c r="CO88" s="4"/>
      <c r="CP88" s="4"/>
      <c r="CQ88" s="4"/>
      <c r="CR88" s="4"/>
      <c r="CS88" s="4"/>
      <c r="CT88" s="4"/>
      <c r="CU88" s="4"/>
      <c r="CW88" s="4">
        <v>268.45637583892619</v>
      </c>
      <c r="CX88" s="4"/>
      <c r="CY88" s="4"/>
      <c r="CZ88" s="4"/>
      <c r="DA88" s="4"/>
      <c r="DB88" s="4"/>
      <c r="DC88" s="4"/>
      <c r="DD88" s="4"/>
      <c r="DE88" s="4"/>
      <c r="DF88" s="4"/>
      <c r="DG88" s="4"/>
      <c r="DH88" s="4"/>
      <c r="DI88" s="4"/>
      <c r="DJ88" s="4"/>
    </row>
    <row r="89" spans="1:115" x14ac:dyDescent="0.3">
      <c r="A89" s="16" t="s">
        <v>151</v>
      </c>
      <c r="B89" s="17" t="s">
        <v>152</v>
      </c>
      <c r="C89" s="4"/>
      <c r="D89" s="4"/>
      <c r="E89" s="4"/>
      <c r="F89" s="4">
        <v>4000</v>
      </c>
      <c r="G89" s="4"/>
      <c r="H89" s="4"/>
      <c r="I89" s="4">
        <f>0.1*200*1.04/50*1000</f>
        <v>416.00000000000006</v>
      </c>
      <c r="J89" s="4"/>
      <c r="K89" s="4"/>
      <c r="L89" s="4"/>
      <c r="M89" s="4">
        <v>1284</v>
      </c>
      <c r="N89" s="4"/>
      <c r="O89" s="4">
        <v>412</v>
      </c>
      <c r="P89" s="4">
        <v>428</v>
      </c>
      <c r="Q89" s="4">
        <v>424</v>
      </c>
      <c r="R89" s="4"/>
      <c r="S89" s="4"/>
      <c r="T89" s="4"/>
      <c r="U89" s="4"/>
      <c r="V89" s="4"/>
      <c r="W89" s="4">
        <v>2472</v>
      </c>
      <c r="X89" s="4">
        <v>2260</v>
      </c>
      <c r="Y89" s="4">
        <v>3600</v>
      </c>
      <c r="Z89" s="4">
        <v>3200</v>
      </c>
      <c r="AA89" s="4">
        <v>460</v>
      </c>
      <c r="AB89" s="4">
        <v>1332</v>
      </c>
      <c r="AC89" s="4">
        <v>2400</v>
      </c>
      <c r="AD89" s="4">
        <v>3600</v>
      </c>
      <c r="AE89" s="4">
        <v>1600</v>
      </c>
      <c r="AF89" s="4">
        <v>832</v>
      </c>
      <c r="AG89" s="4">
        <v>1600</v>
      </c>
      <c r="AH89" s="4">
        <v>1600</v>
      </c>
      <c r="AI89" s="4"/>
      <c r="AJ89" s="4"/>
      <c r="AK89" s="4">
        <v>3600</v>
      </c>
      <c r="AL89" s="4">
        <v>2080</v>
      </c>
      <c r="AM89" s="4">
        <v>2800</v>
      </c>
      <c r="AN89" s="4">
        <v>400</v>
      </c>
      <c r="AO89" s="4"/>
      <c r="AP89" s="4">
        <v>4400</v>
      </c>
      <c r="AQ89" s="4">
        <v>1200</v>
      </c>
      <c r="AR89" s="4">
        <v>1600</v>
      </c>
      <c r="AS89" s="4"/>
      <c r="AT89" s="4">
        <v>400</v>
      </c>
      <c r="AU89" s="4">
        <v>800</v>
      </c>
      <c r="AV89" s="4">
        <v>800</v>
      </c>
      <c r="AW89" s="4"/>
      <c r="AX89" s="4"/>
      <c r="AY89" s="4"/>
      <c r="AZ89" s="4"/>
      <c r="BA89" s="4"/>
      <c r="BB89" s="4"/>
      <c r="BC89" s="4"/>
      <c r="BD89" s="4"/>
      <c r="BE89" s="4">
        <f>2*200/50*1000</f>
        <v>8000</v>
      </c>
      <c r="BF89" s="4">
        <f>1*200*1.17/50*1000</f>
        <v>4680</v>
      </c>
      <c r="BG89" s="4">
        <f>4*200/50*1000</f>
        <v>16000</v>
      </c>
      <c r="BH89" s="4">
        <f>2*200*1.01/50*1000</f>
        <v>8080</v>
      </c>
      <c r="BI89" s="4">
        <v>4000</v>
      </c>
      <c r="BJ89" s="4">
        <v>4000</v>
      </c>
      <c r="BK89" s="4"/>
      <c r="BL89" s="4"/>
      <c r="BM89" s="4"/>
      <c r="BN89" s="4"/>
      <c r="BO89" s="4">
        <v>1600</v>
      </c>
      <c r="BP89" s="4"/>
      <c r="BQ89" s="4"/>
      <c r="BR89" s="4"/>
      <c r="BS89" s="4"/>
      <c r="BU89" s="4"/>
      <c r="BV89" s="4"/>
      <c r="BW89" s="4"/>
      <c r="BX89" s="4"/>
      <c r="BY89" s="4"/>
      <c r="BZ89" s="4"/>
      <c r="CA89" s="4"/>
      <c r="CB89" s="4"/>
      <c r="CC89" s="4"/>
      <c r="CD89" s="4"/>
      <c r="CE89" s="4">
        <v>4000</v>
      </c>
      <c r="CF89" s="4"/>
      <c r="CG89" s="4"/>
      <c r="CH89" s="4"/>
      <c r="CI89" s="4"/>
      <c r="CJ89" s="4"/>
      <c r="CK89" s="4"/>
      <c r="CL89" s="4"/>
      <c r="CM89" s="4"/>
      <c r="CN89" s="4">
        <v>4000</v>
      </c>
      <c r="CO89" s="4"/>
      <c r="CP89" s="4"/>
      <c r="CQ89" s="4"/>
      <c r="CR89" s="4"/>
      <c r="CS89" s="4"/>
      <c r="CT89" s="4">
        <v>4000</v>
      </c>
      <c r="CU89" s="4"/>
      <c r="CV89" s="2">
        <v>4000</v>
      </c>
      <c r="CW89" s="4">
        <v>268.45637583892619</v>
      </c>
      <c r="CX89" s="4">
        <v>3571.4285714285711</v>
      </c>
      <c r="CY89" s="4"/>
      <c r="CZ89" s="4"/>
      <c r="DA89" s="4"/>
      <c r="DB89" s="4"/>
      <c r="DC89" s="4"/>
      <c r="DD89" s="4"/>
      <c r="DE89" s="4"/>
      <c r="DF89" s="4"/>
      <c r="DG89" s="4"/>
      <c r="DH89" s="4"/>
      <c r="DI89" s="4">
        <v>4000</v>
      </c>
      <c r="DJ89" s="4"/>
    </row>
    <row r="90" spans="1:115" x14ac:dyDescent="0.3">
      <c r="A90" s="16" t="s">
        <v>153</v>
      </c>
      <c r="B90" s="17" t="s">
        <v>154</v>
      </c>
      <c r="C90" s="4"/>
      <c r="D90" s="4"/>
      <c r="E90" s="4">
        <v>2000</v>
      </c>
      <c r="F90" s="4"/>
      <c r="G90" s="4">
        <f>0.25*200/42*1000</f>
        <v>1190.4761904761904</v>
      </c>
      <c r="H90" s="4">
        <f>3*200/45*1000</f>
        <v>13333.333333333334</v>
      </c>
      <c r="I90" s="4"/>
      <c r="J90" s="4"/>
      <c r="K90" s="4"/>
      <c r="L90" s="4"/>
      <c r="M90" s="4">
        <v>1284</v>
      </c>
      <c r="N90" s="4">
        <v>1040</v>
      </c>
      <c r="O90" s="4"/>
      <c r="P90" s="4">
        <v>428</v>
      </c>
      <c r="Q90" s="4">
        <v>848</v>
      </c>
      <c r="R90" s="4"/>
      <c r="S90" s="4"/>
      <c r="T90" s="4"/>
      <c r="U90" s="4"/>
      <c r="V90" s="4"/>
      <c r="W90" s="4">
        <v>824</v>
      </c>
      <c r="X90" s="4">
        <v>2712</v>
      </c>
      <c r="Y90" s="4">
        <v>800</v>
      </c>
      <c r="Z90" s="4"/>
      <c r="AA90" s="4">
        <v>1380</v>
      </c>
      <c r="AB90" s="4">
        <v>888</v>
      </c>
      <c r="AC90" s="4">
        <v>1600</v>
      </c>
      <c r="AD90" s="4"/>
      <c r="AE90" s="4">
        <v>400</v>
      </c>
      <c r="AF90" s="4"/>
      <c r="AG90" s="4">
        <v>16400</v>
      </c>
      <c r="AH90" s="4">
        <v>3600</v>
      </c>
      <c r="AI90" s="4">
        <v>800</v>
      </c>
      <c r="AJ90" s="4"/>
      <c r="AK90" s="4">
        <v>8800</v>
      </c>
      <c r="AL90" s="4">
        <v>19136</v>
      </c>
      <c r="AM90" s="4">
        <v>3600</v>
      </c>
      <c r="AN90" s="4">
        <v>800</v>
      </c>
      <c r="AO90" s="4">
        <v>6000</v>
      </c>
      <c r="AP90" s="4">
        <v>1200</v>
      </c>
      <c r="AQ90" s="4">
        <v>800</v>
      </c>
      <c r="AR90" s="4">
        <v>2000</v>
      </c>
      <c r="AS90" s="4"/>
      <c r="AT90" s="4">
        <v>800</v>
      </c>
      <c r="AU90" s="4">
        <v>8800</v>
      </c>
      <c r="AV90" s="4">
        <v>18400</v>
      </c>
      <c r="AW90" s="4"/>
      <c r="AX90" s="4">
        <f>17*200/50*1000</f>
        <v>68000</v>
      </c>
      <c r="AY90" s="4"/>
      <c r="AZ90" s="4"/>
      <c r="BA90" s="4"/>
      <c r="BB90" s="4"/>
      <c r="BC90" s="4"/>
      <c r="BD90" s="4">
        <f>0.5*200/50*1050</f>
        <v>2100</v>
      </c>
      <c r="BE90" s="4">
        <f>1*200/50*1000</f>
        <v>4000</v>
      </c>
      <c r="BF90" s="4"/>
      <c r="BG90" s="4">
        <f>1*200/50*1000</f>
        <v>4000</v>
      </c>
      <c r="BH90" s="4"/>
      <c r="BI90" s="4"/>
      <c r="BJ90" s="4"/>
      <c r="BK90" s="4"/>
      <c r="BL90" s="4"/>
      <c r="BM90" s="4"/>
      <c r="BN90" s="4"/>
      <c r="BO90" s="4"/>
      <c r="BP90" s="4"/>
      <c r="BQ90" s="4"/>
      <c r="BR90" s="4"/>
      <c r="BS90" s="4"/>
      <c r="BU90" s="4"/>
      <c r="BV90" s="4"/>
      <c r="BW90" s="4"/>
      <c r="BX90" s="4"/>
      <c r="BY90" s="4"/>
      <c r="BZ90" s="4"/>
      <c r="CA90" s="4"/>
      <c r="CB90" s="4"/>
      <c r="CC90" s="4"/>
      <c r="CD90" s="4"/>
      <c r="CE90" s="4"/>
      <c r="CF90" s="4"/>
      <c r="CG90" s="4"/>
      <c r="CH90" s="4"/>
      <c r="CI90" s="4"/>
      <c r="CJ90" s="4">
        <v>29629.629629629628</v>
      </c>
      <c r="CK90" s="4">
        <v>3921.5686274509803</v>
      </c>
      <c r="CL90" s="4"/>
      <c r="CM90" s="4">
        <v>4000</v>
      </c>
      <c r="CN90" s="4">
        <v>4000</v>
      </c>
      <c r="CO90" s="4">
        <v>3773.5849056603774</v>
      </c>
      <c r="CP90" s="4">
        <v>3636.363636363636</v>
      </c>
      <c r="CQ90" s="4"/>
      <c r="CR90" s="4"/>
      <c r="CS90" s="4">
        <v>3389.8305084745766</v>
      </c>
      <c r="CT90" s="4"/>
      <c r="CU90" s="4">
        <v>3809.5238095238096</v>
      </c>
      <c r="CW90" s="4"/>
      <c r="CX90" s="4"/>
      <c r="CY90" s="4"/>
      <c r="CZ90" s="4"/>
      <c r="DA90" s="4"/>
      <c r="DB90" s="4"/>
      <c r="DC90" s="4"/>
      <c r="DD90" s="4"/>
      <c r="DE90" s="4"/>
      <c r="DF90" s="4"/>
      <c r="DG90" s="4">
        <v>3846.1538461538457</v>
      </c>
      <c r="DH90" s="4">
        <v>4000</v>
      </c>
      <c r="DI90" s="4">
        <v>4000</v>
      </c>
      <c r="DJ90" s="4"/>
    </row>
    <row r="91" spans="1:115" x14ac:dyDescent="0.3">
      <c r="A91" s="16" t="s">
        <v>155</v>
      </c>
      <c r="B91" s="17" t="s">
        <v>156</v>
      </c>
      <c r="C91" s="4"/>
      <c r="D91" s="4"/>
      <c r="E91" s="4"/>
      <c r="F91" s="4"/>
      <c r="G91" s="4"/>
      <c r="H91" s="4"/>
      <c r="I91" s="4">
        <f>0.1*200*1.04/50*1000</f>
        <v>416.00000000000006</v>
      </c>
      <c r="J91" s="4"/>
      <c r="K91" s="4"/>
      <c r="L91" s="4"/>
      <c r="M91" s="4"/>
      <c r="N91" s="4"/>
      <c r="O91" s="4"/>
      <c r="P91" s="4"/>
      <c r="Q91" s="4"/>
      <c r="R91" s="4"/>
      <c r="S91" s="4">
        <v>400</v>
      </c>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W91" s="4"/>
      <c r="CX91" s="4"/>
      <c r="CY91" s="4"/>
      <c r="CZ91" s="4"/>
      <c r="DA91" s="4"/>
      <c r="DB91" s="4"/>
      <c r="DC91" s="4"/>
      <c r="DD91" s="4"/>
      <c r="DE91" s="4"/>
      <c r="DF91" s="4"/>
      <c r="DG91" s="4"/>
      <c r="DH91" s="4"/>
      <c r="DI91" s="4"/>
      <c r="DJ91" s="4"/>
    </row>
    <row r="92" spans="1:115" x14ac:dyDescent="0.3">
      <c r="A92" s="16"/>
      <c r="B92" s="17" t="s">
        <v>157</v>
      </c>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U92" s="4"/>
      <c r="BV92" s="4"/>
      <c r="BW92" s="4"/>
      <c r="BX92" s="4"/>
      <c r="BY92" s="4"/>
      <c r="BZ92" s="4"/>
      <c r="CA92" s="4"/>
      <c r="CB92" s="4"/>
      <c r="CC92" s="4"/>
      <c r="CD92" s="4">
        <v>3571.4285714285711</v>
      </c>
      <c r="CE92" s="4"/>
      <c r="CF92" s="4"/>
      <c r="CG92" s="4"/>
      <c r="CH92" s="4"/>
      <c r="CI92" s="4"/>
      <c r="CJ92" s="4"/>
      <c r="CK92" s="4"/>
      <c r="CL92" s="4"/>
      <c r="CM92" s="4"/>
      <c r="CN92" s="4"/>
      <c r="CO92" s="4"/>
      <c r="CP92" s="4"/>
      <c r="CQ92" s="4"/>
      <c r="CR92" s="4"/>
      <c r="CS92" s="4"/>
      <c r="CT92" s="4"/>
      <c r="CU92" s="4"/>
      <c r="CW92" s="4"/>
      <c r="CX92" s="4"/>
      <c r="CY92" s="4"/>
      <c r="CZ92" s="4"/>
      <c r="DA92" s="4"/>
      <c r="DB92" s="4"/>
      <c r="DC92" s="4"/>
      <c r="DD92" s="4"/>
      <c r="DE92" s="4"/>
      <c r="DF92" s="4"/>
      <c r="DG92" s="4"/>
      <c r="DH92" s="4"/>
      <c r="DI92" s="4"/>
      <c r="DJ92" s="4"/>
    </row>
    <row r="93" spans="1:115" x14ac:dyDescent="0.3">
      <c r="A93" s="16"/>
      <c r="B93" s="17" t="s">
        <v>158</v>
      </c>
      <c r="C93" s="4"/>
      <c r="D93" s="4"/>
      <c r="E93" s="4"/>
      <c r="F93" s="4"/>
      <c r="G93" s="4"/>
      <c r="H93" s="4"/>
      <c r="I93" s="4"/>
      <c r="J93" s="4"/>
      <c r="K93" s="4"/>
      <c r="L93" s="4"/>
      <c r="M93" s="4"/>
      <c r="N93" s="4"/>
      <c r="O93" s="4"/>
      <c r="P93" s="4"/>
      <c r="Q93" s="4"/>
      <c r="R93" s="4"/>
      <c r="S93" s="4"/>
      <c r="T93" s="4"/>
      <c r="U93" s="4"/>
      <c r="V93" s="4"/>
      <c r="W93" s="4"/>
      <c r="X93" s="4"/>
      <c r="Y93" s="4"/>
      <c r="Z93" s="4"/>
      <c r="AA93" s="4"/>
      <c r="AB93" s="4"/>
      <c r="AC93" s="4">
        <v>400</v>
      </c>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W93" s="4"/>
      <c r="CX93" s="4"/>
      <c r="CY93" s="4"/>
      <c r="CZ93" s="4"/>
      <c r="DA93" s="4"/>
      <c r="DB93" s="4"/>
      <c r="DC93" s="4"/>
      <c r="DD93" s="4"/>
      <c r="DE93" s="4"/>
      <c r="DF93" s="4"/>
      <c r="DG93" s="4"/>
      <c r="DH93" s="4"/>
      <c r="DI93" s="4"/>
      <c r="DJ93" s="4"/>
    </row>
    <row r="94" spans="1:115" x14ac:dyDescent="0.3">
      <c r="A94" s="16" t="s">
        <v>159</v>
      </c>
      <c r="B94" s="17" t="s">
        <v>160</v>
      </c>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U94" s="4"/>
      <c r="BV94" s="4"/>
      <c r="BW94" s="4"/>
      <c r="BX94" s="4"/>
      <c r="BY94" s="4"/>
      <c r="BZ94" s="4"/>
      <c r="CA94" s="4"/>
      <c r="CB94" s="4"/>
      <c r="CC94" s="4"/>
      <c r="CD94" s="4"/>
      <c r="CE94" s="4">
        <v>8000</v>
      </c>
      <c r="CF94" s="4"/>
      <c r="CG94" s="4"/>
      <c r="CH94" s="4"/>
      <c r="CI94" s="4"/>
      <c r="CJ94" s="4"/>
      <c r="CK94" s="4"/>
      <c r="CL94" s="4"/>
      <c r="CM94" s="4"/>
      <c r="CN94" s="4"/>
      <c r="CO94" s="4"/>
      <c r="CP94" s="4"/>
      <c r="CQ94" s="4"/>
      <c r="CR94" s="4"/>
      <c r="CS94" s="4"/>
      <c r="CT94" s="4"/>
      <c r="CU94" s="4"/>
      <c r="CW94" s="4"/>
      <c r="CX94" s="4"/>
      <c r="CY94" s="4"/>
      <c r="CZ94" s="4"/>
      <c r="DA94" s="4"/>
      <c r="DB94" s="4"/>
      <c r="DC94" s="4"/>
      <c r="DD94" s="4"/>
      <c r="DE94" s="4"/>
      <c r="DF94" s="4"/>
      <c r="DG94" s="4"/>
      <c r="DH94" s="4"/>
      <c r="DI94" s="4"/>
      <c r="DJ94" s="4"/>
    </row>
    <row r="95" spans="1:115" x14ac:dyDescent="0.3">
      <c r="A95" s="16" t="s">
        <v>161</v>
      </c>
      <c r="B95" s="17" t="s">
        <v>162</v>
      </c>
      <c r="C95" s="4"/>
      <c r="D95" s="4"/>
      <c r="E95" s="4"/>
      <c r="F95" s="4"/>
      <c r="G95" s="4"/>
      <c r="H95" s="4"/>
      <c r="I95" s="4"/>
      <c r="J95" s="4"/>
      <c r="K95" s="4"/>
      <c r="L95" s="4"/>
      <c r="M95" s="4"/>
      <c r="N95" s="4"/>
      <c r="O95" s="4"/>
      <c r="P95" s="4">
        <v>856</v>
      </c>
      <c r="Q95" s="4"/>
      <c r="R95" s="4"/>
      <c r="S95" s="4"/>
      <c r="T95" s="4">
        <v>400</v>
      </c>
      <c r="U95" s="4"/>
      <c r="V95" s="4"/>
      <c r="W95" s="4"/>
      <c r="X95" s="4"/>
      <c r="Y95" s="4">
        <v>400</v>
      </c>
      <c r="Z95" s="4">
        <v>400</v>
      </c>
      <c r="AA95" s="4"/>
      <c r="AB95" s="4"/>
      <c r="AC95" s="4"/>
      <c r="AD95" s="4">
        <v>800</v>
      </c>
      <c r="AE95" s="4"/>
      <c r="AF95" s="4">
        <v>374.4</v>
      </c>
      <c r="AG95" s="4"/>
      <c r="AH95" s="4"/>
      <c r="AI95" s="4"/>
      <c r="AJ95" s="4"/>
      <c r="AK95" s="4"/>
      <c r="AL95" s="4"/>
      <c r="AM95" s="4"/>
      <c r="AN95" s="4"/>
      <c r="AO95" s="4"/>
      <c r="AP95" s="4"/>
      <c r="AQ95" s="4"/>
      <c r="AR95" s="4"/>
      <c r="AS95" s="4"/>
      <c r="AT95" s="4"/>
      <c r="AU95" s="4"/>
      <c r="AV95" s="4"/>
      <c r="AW95" s="4"/>
      <c r="AX95" s="4"/>
      <c r="AY95" s="4"/>
      <c r="AZ95" s="4"/>
      <c r="BA95" s="4"/>
      <c r="BB95" s="4"/>
      <c r="BC95" s="4"/>
      <c r="BD95" s="4"/>
      <c r="BE95" s="4">
        <f>2*200/50*1000</f>
        <v>8000</v>
      </c>
      <c r="BF95" s="4">
        <f>2*200*1.17/50*1000</f>
        <v>9360</v>
      </c>
      <c r="BG95" s="4">
        <f>0.5*200/50*1000</f>
        <v>2000</v>
      </c>
      <c r="BH95" s="4">
        <f>0.3*200*1.01/50*1000</f>
        <v>1212</v>
      </c>
      <c r="BI95" s="4"/>
      <c r="BJ95" s="4"/>
      <c r="BK95" s="4"/>
      <c r="BL95" s="4"/>
      <c r="BM95" s="4"/>
      <c r="BN95" s="4"/>
      <c r="BO95" s="4">
        <v>3200</v>
      </c>
      <c r="BP95" s="4"/>
      <c r="BQ95" s="4"/>
      <c r="BR95" s="4"/>
      <c r="BS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W95" s="4"/>
      <c r="CX95" s="4"/>
      <c r="CY95" s="4"/>
      <c r="CZ95" s="4"/>
      <c r="DA95" s="4"/>
      <c r="DB95" s="4"/>
      <c r="DC95" s="4"/>
      <c r="DD95" s="4"/>
      <c r="DE95" s="4"/>
      <c r="DF95" s="4"/>
      <c r="DG95" s="4"/>
      <c r="DH95" s="4"/>
      <c r="DI95" s="4"/>
      <c r="DJ95" s="4"/>
    </row>
    <row r="96" spans="1:115" x14ac:dyDescent="0.3">
      <c r="A96" s="16"/>
      <c r="B96" s="17" t="s">
        <v>163</v>
      </c>
      <c r="C96" s="4"/>
      <c r="D96" s="4"/>
      <c r="E96" s="4"/>
      <c r="F96" s="4"/>
      <c r="G96" s="4">
        <f>1*200/42*1000</f>
        <v>4761.9047619047615</v>
      </c>
      <c r="H96" s="4">
        <f>1*200/45*1000</f>
        <v>4444.4444444444443</v>
      </c>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W96" s="4"/>
      <c r="CX96" s="4"/>
      <c r="CY96" s="4"/>
      <c r="CZ96" s="4"/>
      <c r="DA96" s="4"/>
      <c r="DB96" s="4"/>
      <c r="DC96" s="4"/>
      <c r="DD96" s="4"/>
      <c r="DE96" s="4"/>
      <c r="DF96" s="4"/>
      <c r="DG96" s="4"/>
      <c r="DH96" s="4"/>
      <c r="DI96" s="4"/>
      <c r="DJ96" s="4"/>
    </row>
    <row r="97" spans="1:115" x14ac:dyDescent="0.3">
      <c r="A97" s="16"/>
      <c r="B97" s="17" t="s">
        <v>164</v>
      </c>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W97" s="4"/>
      <c r="CX97" s="4"/>
      <c r="CY97" s="4"/>
      <c r="CZ97" s="4"/>
      <c r="DA97" s="4"/>
      <c r="DB97" s="4"/>
      <c r="DC97" s="4"/>
      <c r="DD97" s="4"/>
      <c r="DE97" s="4"/>
      <c r="DF97" s="4"/>
      <c r="DG97" s="4"/>
      <c r="DH97" s="4"/>
      <c r="DI97" s="4"/>
      <c r="DJ97" s="4"/>
    </row>
    <row r="98" spans="1:115" x14ac:dyDescent="0.3">
      <c r="B98" s="11" t="s">
        <v>165</v>
      </c>
      <c r="C98" s="4"/>
      <c r="D98" s="4"/>
      <c r="E98" s="4"/>
      <c r="F98" s="4"/>
      <c r="G98" s="4"/>
      <c r="H98" s="4"/>
      <c r="I98" s="4"/>
      <c r="J98" s="4"/>
      <c r="K98" s="4"/>
      <c r="L98" s="4"/>
      <c r="M98" s="4">
        <v>428</v>
      </c>
      <c r="N98" s="4">
        <v>1040</v>
      </c>
      <c r="O98" s="4"/>
      <c r="P98" s="4">
        <v>1284</v>
      </c>
      <c r="Q98" s="4">
        <v>848</v>
      </c>
      <c r="R98" s="4">
        <v>2080</v>
      </c>
      <c r="S98" s="4">
        <v>1600</v>
      </c>
      <c r="T98" s="4">
        <v>1600</v>
      </c>
      <c r="U98" s="4">
        <v>800</v>
      </c>
      <c r="V98" s="4">
        <v>400</v>
      </c>
      <c r="W98" s="4">
        <v>4532</v>
      </c>
      <c r="X98" s="4">
        <v>2712</v>
      </c>
      <c r="Y98" s="4">
        <v>400</v>
      </c>
      <c r="Z98" s="4">
        <v>1600</v>
      </c>
      <c r="AA98" s="4">
        <v>920</v>
      </c>
      <c r="AB98" s="4">
        <v>1332</v>
      </c>
      <c r="AC98" s="4">
        <v>1200</v>
      </c>
      <c r="AD98" s="4">
        <v>4400</v>
      </c>
      <c r="AE98" s="4">
        <v>400</v>
      </c>
      <c r="AF98" s="4">
        <v>2496</v>
      </c>
      <c r="AG98" s="4">
        <v>3600</v>
      </c>
      <c r="AH98" s="4">
        <v>800</v>
      </c>
      <c r="AI98" s="4">
        <v>800</v>
      </c>
      <c r="AJ98" s="4"/>
      <c r="AK98" s="4">
        <v>4400</v>
      </c>
      <c r="AL98" s="4">
        <v>1664</v>
      </c>
      <c r="AM98" s="4"/>
      <c r="AN98" s="4">
        <v>400</v>
      </c>
      <c r="AO98" s="4">
        <v>400</v>
      </c>
      <c r="AP98" s="4">
        <v>400</v>
      </c>
      <c r="AQ98" s="4">
        <v>400</v>
      </c>
      <c r="AR98" s="4">
        <v>800</v>
      </c>
      <c r="AS98" s="4"/>
      <c r="AT98" s="4"/>
      <c r="AU98" s="4">
        <v>400</v>
      </c>
      <c r="AV98" s="4"/>
      <c r="AW98" s="4"/>
      <c r="AX98" s="4"/>
      <c r="AY98" s="4"/>
      <c r="AZ98" s="4"/>
      <c r="BA98" s="4"/>
      <c r="BB98" s="4"/>
      <c r="BC98" s="4"/>
      <c r="BD98" s="4"/>
      <c r="BE98" s="4"/>
      <c r="BF98" s="4"/>
      <c r="BG98" s="4"/>
      <c r="BH98" s="4"/>
      <c r="BI98" s="4"/>
      <c r="BJ98" s="4"/>
      <c r="BK98" s="4"/>
      <c r="BL98" s="4"/>
      <c r="BM98" s="4"/>
      <c r="BN98" s="4">
        <f>3*200/1.25/50*1000</f>
        <v>9600</v>
      </c>
      <c r="BO98" s="4"/>
      <c r="BP98" s="4"/>
      <c r="BQ98" s="4"/>
      <c r="BR98" s="4"/>
      <c r="BS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W98" s="4"/>
      <c r="CX98" s="4"/>
      <c r="CY98" s="4"/>
      <c r="CZ98" s="4"/>
      <c r="DA98" s="4"/>
      <c r="DB98" s="4">
        <v>7142.8571428571422</v>
      </c>
      <c r="DC98" s="4"/>
      <c r="DD98" s="4"/>
      <c r="DE98" s="4"/>
      <c r="DF98" s="4"/>
      <c r="DG98" s="4"/>
      <c r="DH98" s="4"/>
      <c r="DI98" s="4"/>
      <c r="DJ98" s="4"/>
    </row>
    <row r="99" spans="1:115" x14ac:dyDescent="0.3">
      <c r="A99" s="16" t="s">
        <v>166</v>
      </c>
      <c r="B99" s="17" t="s">
        <v>167</v>
      </c>
      <c r="C99" s="4"/>
      <c r="D99" s="4"/>
      <c r="E99" s="4">
        <v>1000</v>
      </c>
      <c r="F99" s="4">
        <v>2000</v>
      </c>
      <c r="G99" s="4">
        <f>1*200/42*1000</f>
        <v>4761.9047619047615</v>
      </c>
      <c r="H99" s="4">
        <f>3*200/45*1000</f>
        <v>13333.333333333334</v>
      </c>
      <c r="I99" s="4"/>
      <c r="J99" s="4"/>
      <c r="K99" s="4"/>
      <c r="L99" s="4">
        <v>400</v>
      </c>
      <c r="M99" s="4"/>
      <c r="N99" s="4"/>
      <c r="O99" s="4"/>
      <c r="P99" s="4"/>
      <c r="Q99" s="4"/>
      <c r="R99" s="4">
        <v>416</v>
      </c>
      <c r="S99" s="4">
        <v>400</v>
      </c>
      <c r="T99" s="4"/>
      <c r="U99" s="4"/>
      <c r="V99" s="4"/>
      <c r="W99" s="4"/>
      <c r="X99" s="4"/>
      <c r="Y99" s="4"/>
      <c r="Z99" s="4"/>
      <c r="AA99" s="4"/>
      <c r="AB99" s="4"/>
      <c r="AC99" s="4">
        <v>1200</v>
      </c>
      <c r="AD99" s="4"/>
      <c r="AE99" s="4"/>
      <c r="AF99" s="4">
        <v>832</v>
      </c>
      <c r="AG99" s="4"/>
      <c r="AH99" s="4"/>
      <c r="AI99" s="4"/>
      <c r="AJ99" s="4"/>
      <c r="AK99" s="4"/>
      <c r="AL99" s="4"/>
      <c r="AM99" s="4"/>
      <c r="AN99" s="4"/>
      <c r="AO99" s="4"/>
      <c r="AP99" s="4"/>
      <c r="AQ99" s="4"/>
      <c r="AR99" s="4"/>
      <c r="AS99" s="4"/>
      <c r="AT99" s="4"/>
      <c r="AU99" s="4"/>
      <c r="AV99" s="4"/>
      <c r="AW99" s="4"/>
      <c r="AX99" s="4">
        <f>2*200/50*1000</f>
        <v>8000</v>
      </c>
      <c r="AY99" s="4">
        <f>5*200/50*1.27*1000</f>
        <v>25400</v>
      </c>
      <c r="AZ99" s="4">
        <f>2*200/50*1150</f>
        <v>9200</v>
      </c>
      <c r="BA99" s="4">
        <f>7*200/50*1050</f>
        <v>29400</v>
      </c>
      <c r="BB99" s="4">
        <f>2*200/50*1000</f>
        <v>8000</v>
      </c>
      <c r="BC99" s="4"/>
      <c r="BD99" s="4">
        <f>0.25*200/50*1000</f>
        <v>1000</v>
      </c>
      <c r="BE99" s="4">
        <f>6*200/50*1000</f>
        <v>24000</v>
      </c>
      <c r="BF99" s="4">
        <f>2*200*1.17/50*1000</f>
        <v>9360</v>
      </c>
      <c r="BG99" s="4">
        <f>6*200/50*1000</f>
        <v>24000</v>
      </c>
      <c r="BH99" s="4">
        <f>2*200*1.01/50*1000</f>
        <v>8080</v>
      </c>
      <c r="BI99" s="4"/>
      <c r="BJ99" s="4">
        <v>8000</v>
      </c>
      <c r="BK99" s="4"/>
      <c r="BL99" s="4"/>
      <c r="BM99" s="4"/>
      <c r="BN99" s="4">
        <f>5*200/1.25/50*1000</f>
        <v>16000</v>
      </c>
      <c r="BO99" s="4"/>
      <c r="BP99" s="4">
        <v>8333.3333333333339</v>
      </c>
      <c r="BQ99" s="4">
        <v>3921.5686274509803</v>
      </c>
      <c r="BR99" s="4"/>
      <c r="BS99" s="4">
        <v>8000</v>
      </c>
      <c r="BU99" s="4"/>
      <c r="BV99" s="4"/>
      <c r="BW99" s="4"/>
      <c r="BX99" s="4"/>
      <c r="BY99" s="4"/>
      <c r="BZ99" s="4"/>
      <c r="CA99" s="4"/>
      <c r="CB99" s="4">
        <v>20000</v>
      </c>
      <c r="CC99" s="4">
        <v>14746.543778801844</v>
      </c>
      <c r="CD99" s="4">
        <v>3571.4285714285711</v>
      </c>
      <c r="CE99" s="4">
        <v>52000</v>
      </c>
      <c r="CF99" s="4"/>
      <c r="CG99" s="4"/>
      <c r="CH99" s="4"/>
      <c r="CI99" s="4">
        <v>3921.5686274509803</v>
      </c>
      <c r="CJ99" s="4">
        <v>29629.629629629628</v>
      </c>
      <c r="CK99" s="4">
        <v>31372.549019607843</v>
      </c>
      <c r="CL99" s="4">
        <v>10909.090909090908</v>
      </c>
      <c r="CM99" s="4">
        <v>24000</v>
      </c>
      <c r="CN99" s="4">
        <v>52000</v>
      </c>
      <c r="CO99" s="4">
        <v>3773.5849056603774</v>
      </c>
      <c r="CP99" s="4">
        <v>3636.363636363636</v>
      </c>
      <c r="CQ99" s="4">
        <v>7142.8571428571422</v>
      </c>
      <c r="CR99" s="4">
        <v>3076.9230769230767</v>
      </c>
      <c r="CS99" s="4">
        <v>6779.6610169491532</v>
      </c>
      <c r="CT99" s="4">
        <v>4000</v>
      </c>
      <c r="CU99" s="4">
        <v>26666.666666666664</v>
      </c>
      <c r="CV99" s="4"/>
      <c r="CW99" s="4"/>
      <c r="CX99" s="4">
        <v>7142.8571428571422</v>
      </c>
      <c r="CY99" s="4">
        <v>3921.5686274509803</v>
      </c>
      <c r="CZ99" s="4">
        <v>3921.5686274509803</v>
      </c>
      <c r="DA99" s="4"/>
      <c r="DB99" s="4">
        <v>14285.714285714284</v>
      </c>
      <c r="DC99" s="4">
        <v>3571.4285714285711</v>
      </c>
      <c r="DD99" s="4">
        <v>15094.33962264151</v>
      </c>
      <c r="DE99" s="4">
        <v>3636.363636363636</v>
      </c>
      <c r="DF99" s="4"/>
      <c r="DG99" s="4"/>
      <c r="DH99" s="4"/>
      <c r="DI99" s="4"/>
      <c r="DJ99" s="4">
        <v>3571.4285714285711</v>
      </c>
    </row>
    <row r="100" spans="1:115" x14ac:dyDescent="0.3">
      <c r="A100" s="16" t="s">
        <v>168</v>
      </c>
      <c r="B100" s="17" t="s">
        <v>169</v>
      </c>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v>800</v>
      </c>
      <c r="AD100" s="4">
        <v>800</v>
      </c>
      <c r="AE100" s="4">
        <v>800</v>
      </c>
      <c r="AF100" s="4">
        <v>832</v>
      </c>
      <c r="AG100" s="4">
        <v>400</v>
      </c>
      <c r="AH100" s="4">
        <v>400</v>
      </c>
      <c r="AI100" s="4">
        <v>400</v>
      </c>
      <c r="AJ100" s="4"/>
      <c r="AK100" s="4"/>
      <c r="AL100" s="4">
        <v>1248</v>
      </c>
      <c r="AM100" s="4"/>
      <c r="AN100" s="4"/>
      <c r="AO100" s="4"/>
      <c r="AP100" s="4">
        <v>400</v>
      </c>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U100" s="4"/>
      <c r="BV100" s="4"/>
      <c r="BW100" s="4"/>
      <c r="BX100" s="4"/>
      <c r="BY100" s="4"/>
      <c r="BZ100" s="4"/>
      <c r="CA100" s="4"/>
      <c r="CB100" s="4"/>
      <c r="CC100" s="4">
        <v>11059.907834101383</v>
      </c>
      <c r="CD100" s="4"/>
      <c r="CE100" s="4">
        <v>8000</v>
      </c>
      <c r="CF100" s="4"/>
      <c r="CG100" s="4"/>
      <c r="CH100" s="4">
        <v>11320.754716981133</v>
      </c>
      <c r="CI100" s="4"/>
      <c r="CJ100" s="4">
        <v>11111.111111111111</v>
      </c>
      <c r="CK100" s="4"/>
      <c r="CL100" s="4"/>
      <c r="CM100" s="4"/>
      <c r="CN100" s="4"/>
      <c r="CO100" s="4"/>
      <c r="CP100" s="4"/>
      <c r="CQ100" s="4"/>
      <c r="CR100" s="4"/>
      <c r="CS100" s="4"/>
      <c r="CT100" s="4">
        <v>2000</v>
      </c>
      <c r="CU100" s="4"/>
      <c r="CW100" s="4">
        <v>268.45637583892619</v>
      </c>
      <c r="CX100" s="4"/>
      <c r="CY100" s="4"/>
      <c r="CZ100" s="4">
        <v>784.31372549019613</v>
      </c>
      <c r="DA100" s="4"/>
      <c r="DB100" s="4">
        <v>3571.4285714285711</v>
      </c>
      <c r="DC100" s="4">
        <v>3571.4285714285711</v>
      </c>
      <c r="DD100" s="4">
        <v>1886.7924528301887</v>
      </c>
      <c r="DE100" s="4"/>
      <c r="DF100" s="4"/>
      <c r="DG100" s="4"/>
      <c r="DH100" s="4"/>
      <c r="DI100" s="4">
        <v>2000</v>
      </c>
      <c r="DJ100" s="4">
        <v>10714.285714285714</v>
      </c>
    </row>
    <row r="101" spans="1:115" x14ac:dyDescent="0.3">
      <c r="A101" s="16" t="s">
        <v>170</v>
      </c>
      <c r="B101" s="17" t="s">
        <v>171</v>
      </c>
      <c r="C101" s="4">
        <f>4*200/50*1000</f>
        <v>16000</v>
      </c>
      <c r="D101" s="4">
        <f>4*200/50*1000</f>
        <v>16000</v>
      </c>
      <c r="E101" s="4">
        <v>16000</v>
      </c>
      <c r="F101" s="4">
        <v>12000</v>
      </c>
      <c r="G101" s="4"/>
      <c r="H101" s="4"/>
      <c r="I101" s="4">
        <f>0.4*200*1.04/50*1000</f>
        <v>1664.0000000000002</v>
      </c>
      <c r="J101" s="4">
        <f>0.5*200/50*1000</f>
        <v>2000</v>
      </c>
      <c r="K101" s="4">
        <f>0.2*200*1.03/50*1000</f>
        <v>824.00000000000011</v>
      </c>
      <c r="L101" s="4">
        <v>2400</v>
      </c>
      <c r="M101" s="4"/>
      <c r="N101" s="4"/>
      <c r="O101" s="4"/>
      <c r="P101" s="4">
        <v>428</v>
      </c>
      <c r="Q101" s="4">
        <v>339.2</v>
      </c>
      <c r="R101" s="4"/>
      <c r="S101" s="4">
        <v>400</v>
      </c>
      <c r="T101" s="4">
        <v>800</v>
      </c>
      <c r="U101" s="4">
        <v>800</v>
      </c>
      <c r="V101" s="4">
        <v>800</v>
      </c>
      <c r="W101" s="4">
        <v>824</v>
      </c>
      <c r="X101" s="4"/>
      <c r="Y101" s="4">
        <v>2400</v>
      </c>
      <c r="Z101" s="4">
        <v>1200</v>
      </c>
      <c r="AA101" s="4">
        <v>460</v>
      </c>
      <c r="AB101" s="4">
        <v>1332</v>
      </c>
      <c r="AC101" s="4"/>
      <c r="AD101" s="4">
        <v>800</v>
      </c>
      <c r="AE101" s="4">
        <v>800</v>
      </c>
      <c r="AF101" s="4"/>
      <c r="AG101" s="4"/>
      <c r="AH101" s="4"/>
      <c r="AI101" s="4"/>
      <c r="AJ101" s="4"/>
      <c r="AK101" s="4"/>
      <c r="AL101" s="4"/>
      <c r="AM101" s="4"/>
      <c r="AN101" s="4"/>
      <c r="AO101" s="4"/>
      <c r="AP101" s="4"/>
      <c r="AQ101" s="4"/>
      <c r="AR101" s="4"/>
      <c r="AS101" s="4"/>
      <c r="AT101" s="4"/>
      <c r="AU101" s="4"/>
      <c r="AV101" s="4"/>
      <c r="AW101" s="4">
        <f>28*200/50*1000</f>
        <v>112000</v>
      </c>
      <c r="AX101" s="4"/>
      <c r="AY101" s="4"/>
      <c r="AZ101" s="4"/>
      <c r="BA101" s="4"/>
      <c r="BB101" s="4"/>
      <c r="BC101" s="4"/>
      <c r="BD101" s="4"/>
      <c r="BE101" s="4"/>
      <c r="BF101" s="4">
        <f>1*200*1.17/50*1000</f>
        <v>4680</v>
      </c>
      <c r="BG101" s="4">
        <f>0.5*200/50*1000</f>
        <v>2000</v>
      </c>
      <c r="BH101" s="4">
        <f>2*200*1.01/50*1000</f>
        <v>8080</v>
      </c>
      <c r="BI101" s="4"/>
      <c r="BJ101" s="4"/>
      <c r="BK101" s="4"/>
      <c r="BL101" s="4"/>
      <c r="BM101" s="4"/>
      <c r="BN101" s="4"/>
      <c r="BO101" s="4">
        <v>6400</v>
      </c>
      <c r="BP101" s="4"/>
      <c r="BQ101" s="4"/>
      <c r="BR101" s="4"/>
      <c r="BS101" s="4"/>
      <c r="BU101" s="4"/>
      <c r="BV101" s="4"/>
      <c r="BW101" s="4"/>
      <c r="BX101" s="4"/>
      <c r="BY101" s="4"/>
      <c r="BZ101" s="4"/>
      <c r="CA101" s="4"/>
      <c r="CB101" s="4"/>
      <c r="CC101" s="4"/>
      <c r="CD101" s="4"/>
      <c r="CE101" s="4">
        <v>28000</v>
      </c>
      <c r="CF101" s="4"/>
      <c r="CG101" s="4"/>
      <c r="CH101" s="4">
        <v>754.71698113207538</v>
      </c>
      <c r="CI101" s="4"/>
      <c r="CJ101" s="4">
        <v>25925.925925925927</v>
      </c>
      <c r="CK101" s="4">
        <v>43137.25490196079</v>
      </c>
      <c r="CL101" s="4">
        <v>32727.272727272728</v>
      </c>
      <c r="CM101" s="4">
        <v>12000</v>
      </c>
      <c r="CN101" s="4">
        <v>28000</v>
      </c>
      <c r="CO101" s="4">
        <v>3773.5849056603774</v>
      </c>
      <c r="CP101" s="4"/>
      <c r="CQ101" s="4">
        <v>3571.4285714285711</v>
      </c>
      <c r="CR101" s="4"/>
      <c r="CS101" s="4">
        <v>3389.8305084745766</v>
      </c>
      <c r="CT101" s="4">
        <v>24000</v>
      </c>
      <c r="CU101" s="4">
        <v>26666.666666666664</v>
      </c>
      <c r="CV101" s="4">
        <v>16000</v>
      </c>
      <c r="CW101" s="4">
        <v>536.91275167785238</v>
      </c>
      <c r="CX101" s="4">
        <v>64285.714285714275</v>
      </c>
      <c r="CY101" s="4">
        <v>11764.705882352942</v>
      </c>
      <c r="CZ101" s="4"/>
      <c r="DA101" s="4"/>
      <c r="DB101" s="4">
        <v>50000</v>
      </c>
      <c r="DC101" s="4">
        <v>14285.714285714284</v>
      </c>
      <c r="DD101" s="4"/>
      <c r="DE101" s="4">
        <v>10909.090909090908</v>
      </c>
      <c r="DF101" s="4">
        <v>3846.1538461538457</v>
      </c>
      <c r="DG101" s="4">
        <v>11538.461538461539</v>
      </c>
      <c r="DH101" s="4">
        <v>4000</v>
      </c>
      <c r="DI101" s="4">
        <v>2000</v>
      </c>
      <c r="DJ101" s="4">
        <v>7142.8571428571422</v>
      </c>
      <c r="DK101" s="4"/>
    </row>
    <row r="102" spans="1:115" x14ac:dyDescent="0.3">
      <c r="A102" s="16" t="s">
        <v>172</v>
      </c>
      <c r="B102" s="17" t="s">
        <v>173</v>
      </c>
      <c r="C102" s="4"/>
      <c r="D102" s="4"/>
      <c r="E102" s="4"/>
      <c r="F102" s="4"/>
      <c r="G102" s="4"/>
      <c r="H102" s="4"/>
      <c r="I102" s="4"/>
      <c r="J102" s="4"/>
      <c r="K102" s="4"/>
      <c r="L102" s="4"/>
      <c r="M102" s="4"/>
      <c r="N102" s="4"/>
      <c r="O102" s="4"/>
      <c r="P102" s="4"/>
      <c r="Q102" s="4"/>
      <c r="R102" s="4"/>
      <c r="S102" s="4"/>
      <c r="T102" s="4"/>
      <c r="U102" s="4"/>
      <c r="V102" s="4"/>
      <c r="W102" s="4"/>
      <c r="X102" s="4"/>
      <c r="Y102" s="4">
        <v>320</v>
      </c>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v>4000</v>
      </c>
      <c r="BK102" s="4"/>
      <c r="BL102" s="4"/>
      <c r="BM102" s="4"/>
      <c r="BN102" s="4"/>
      <c r="BO102" s="4">
        <v>6400</v>
      </c>
      <c r="BP102" s="4"/>
      <c r="BQ102" s="4"/>
      <c r="BR102" s="4"/>
      <c r="BS102" s="4"/>
      <c r="BU102" s="4"/>
      <c r="BV102" s="4"/>
      <c r="BW102" s="4"/>
      <c r="BX102" s="4"/>
      <c r="BY102" s="4"/>
      <c r="BZ102" s="4"/>
      <c r="CA102" s="4"/>
      <c r="CB102" s="4"/>
      <c r="CC102" s="4"/>
      <c r="CD102" s="4"/>
      <c r="CE102" s="4"/>
      <c r="CF102" s="4"/>
      <c r="CG102" s="4"/>
      <c r="CH102" s="4"/>
      <c r="CI102" s="4"/>
      <c r="CJ102" s="4"/>
      <c r="CK102" s="4">
        <v>3921.5686274509803</v>
      </c>
      <c r="CL102" s="4"/>
      <c r="CM102" s="4"/>
      <c r="CN102" s="4"/>
      <c r="CO102" s="4"/>
      <c r="CP102" s="4"/>
      <c r="CQ102" s="4"/>
      <c r="CR102" s="4"/>
      <c r="CS102" s="4"/>
      <c r="CT102" s="4"/>
      <c r="CU102" s="4"/>
      <c r="CW102" s="4"/>
      <c r="CX102" s="4"/>
      <c r="CY102" s="4"/>
      <c r="CZ102" s="4"/>
      <c r="DA102" s="4"/>
      <c r="DB102" s="4"/>
      <c r="DC102" s="4"/>
      <c r="DD102" s="4"/>
      <c r="DE102" s="4"/>
      <c r="DF102" s="4"/>
      <c r="DG102" s="4"/>
      <c r="DH102" s="4"/>
      <c r="DI102" s="4"/>
      <c r="DJ102" s="4"/>
    </row>
    <row r="103" spans="1:115" x14ac:dyDescent="0.3">
      <c r="A103" s="16" t="s">
        <v>174</v>
      </c>
      <c r="B103" s="17" t="s">
        <v>175</v>
      </c>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W103" s="4"/>
      <c r="CX103" s="4">
        <v>3571.4285714285711</v>
      </c>
      <c r="CY103" s="4"/>
      <c r="CZ103" s="4"/>
      <c r="DA103" s="4"/>
      <c r="DB103" s="4"/>
      <c r="DC103" s="4"/>
      <c r="DD103" s="4"/>
      <c r="DE103" s="4"/>
      <c r="DF103" s="4"/>
      <c r="DG103" s="4"/>
      <c r="DH103" s="4"/>
      <c r="DI103" s="4"/>
      <c r="DJ103" s="4"/>
    </row>
    <row r="104" spans="1:115" x14ac:dyDescent="0.3">
      <c r="A104" s="16" t="s">
        <v>176</v>
      </c>
      <c r="B104" s="17" t="s">
        <v>177</v>
      </c>
      <c r="C104" s="4"/>
      <c r="D104" s="4"/>
      <c r="E104" s="4"/>
      <c r="F104" s="4">
        <v>2000</v>
      </c>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f>0.5*200*1.17/50*1000</f>
        <v>2340</v>
      </c>
      <c r="BG104" s="4"/>
      <c r="BH104" s="4"/>
      <c r="BI104" s="4"/>
      <c r="BJ104" s="4"/>
      <c r="BK104" s="4"/>
      <c r="BL104" s="4"/>
      <c r="BM104" s="4"/>
      <c r="BN104" s="4"/>
      <c r="BO104" s="4"/>
      <c r="BP104" s="4"/>
      <c r="BQ104" s="4"/>
      <c r="BR104" s="4"/>
      <c r="BS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W104" s="4"/>
      <c r="CX104" s="4"/>
      <c r="CY104" s="4"/>
      <c r="CZ104" s="4"/>
      <c r="DA104" s="4"/>
      <c r="DB104" s="4"/>
      <c r="DC104" s="4"/>
      <c r="DD104" s="4"/>
      <c r="DE104" s="4"/>
      <c r="DF104" s="4"/>
      <c r="DG104" s="4"/>
      <c r="DH104" s="4"/>
      <c r="DI104" s="4"/>
      <c r="DJ104" s="4"/>
    </row>
    <row r="105" spans="1:115" x14ac:dyDescent="0.3">
      <c r="A105" s="16" t="s">
        <v>178</v>
      </c>
      <c r="B105" s="17" t="s">
        <v>179</v>
      </c>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W105" s="4"/>
      <c r="CX105" s="4"/>
      <c r="CY105" s="4"/>
      <c r="CZ105" s="4"/>
      <c r="DA105" s="4"/>
      <c r="DB105" s="4"/>
      <c r="DC105" s="4"/>
      <c r="DD105" s="4"/>
      <c r="DE105" s="4"/>
      <c r="DF105" s="4"/>
      <c r="DG105" s="4"/>
      <c r="DH105" s="4"/>
      <c r="DI105" s="4"/>
      <c r="DJ105" s="4"/>
    </row>
    <row r="106" spans="1:115" x14ac:dyDescent="0.3">
      <c r="A106" s="16" t="s">
        <v>180</v>
      </c>
      <c r="B106" s="17" t="s">
        <v>181</v>
      </c>
      <c r="C106" s="4"/>
      <c r="D106" s="4"/>
      <c r="E106" s="4"/>
      <c r="F106" s="4"/>
      <c r="G106" s="4"/>
      <c r="H106" s="4"/>
      <c r="I106" s="4"/>
      <c r="J106" s="4"/>
      <c r="K106" s="4"/>
      <c r="L106" s="4"/>
      <c r="M106" s="4"/>
      <c r="N106" s="4"/>
      <c r="O106" s="4"/>
      <c r="P106" s="4">
        <v>428</v>
      </c>
      <c r="Q106" s="4"/>
      <c r="R106" s="4">
        <v>832</v>
      </c>
      <c r="S106" s="4"/>
      <c r="T106" s="4"/>
      <c r="U106" s="4"/>
      <c r="V106" s="4"/>
      <c r="W106" s="4"/>
      <c r="X106" s="4"/>
      <c r="Y106" s="4"/>
      <c r="Z106" s="4"/>
      <c r="AA106" s="4">
        <v>1840</v>
      </c>
      <c r="AB106" s="4">
        <v>1776</v>
      </c>
      <c r="AC106" s="4">
        <v>5600</v>
      </c>
      <c r="AD106" s="4">
        <v>4400</v>
      </c>
      <c r="AE106" s="4">
        <v>1600</v>
      </c>
      <c r="AF106" s="4">
        <v>2080</v>
      </c>
      <c r="AG106" s="4">
        <v>22000</v>
      </c>
      <c r="AH106" s="4">
        <v>10800</v>
      </c>
      <c r="AI106" s="4">
        <v>9600</v>
      </c>
      <c r="AJ106" s="4"/>
      <c r="AK106" s="4">
        <v>400</v>
      </c>
      <c r="AL106" s="4">
        <v>1248</v>
      </c>
      <c r="AM106" s="4">
        <v>2400</v>
      </c>
      <c r="AN106" s="4">
        <v>2000</v>
      </c>
      <c r="AO106" s="4">
        <v>8000</v>
      </c>
      <c r="AP106" s="4">
        <v>800</v>
      </c>
      <c r="AQ106" s="4"/>
      <c r="AR106" s="4"/>
      <c r="AS106" s="4"/>
      <c r="AT106" s="4"/>
      <c r="AU106" s="4">
        <v>800</v>
      </c>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W106" s="4"/>
      <c r="CX106" s="4"/>
      <c r="CY106" s="4"/>
      <c r="CZ106" s="4"/>
      <c r="DA106" s="4"/>
      <c r="DB106" s="4"/>
      <c r="DC106" s="4"/>
      <c r="DD106" s="4"/>
      <c r="DE106" s="4"/>
      <c r="DF106" s="4"/>
      <c r="DG106" s="4"/>
      <c r="DH106" s="4"/>
      <c r="DI106" s="4"/>
      <c r="DJ106" s="4"/>
    </row>
    <row r="107" spans="1:115" x14ac:dyDescent="0.3">
      <c r="A107" s="16"/>
      <c r="B107" s="17" t="s">
        <v>182</v>
      </c>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f>3*200/50*1.27*1000</f>
        <v>15240</v>
      </c>
      <c r="AZ107" s="4">
        <f>2*200/50*1150</f>
        <v>9200</v>
      </c>
      <c r="BA107" s="4">
        <f>3*200/50*1050</f>
        <v>12600</v>
      </c>
      <c r="BB107" s="4">
        <f>14*200/50*1000</f>
        <v>56000</v>
      </c>
      <c r="BC107" s="4">
        <f>5*200/50*1000</f>
        <v>20000</v>
      </c>
      <c r="BD107" s="4"/>
      <c r="BE107" s="4">
        <f>1*200/50*1000</f>
        <v>4000</v>
      </c>
      <c r="BF107" s="4">
        <f>2*200*1.17/50*1000</f>
        <v>9360</v>
      </c>
      <c r="BG107" s="4"/>
      <c r="BH107" s="4">
        <f>0.5*200*1.01/50*1000</f>
        <v>2020</v>
      </c>
      <c r="BI107" s="4">
        <v>8000</v>
      </c>
      <c r="BJ107" s="4"/>
      <c r="BK107" s="4"/>
      <c r="BL107" s="4"/>
      <c r="BM107" s="4"/>
      <c r="BN107" s="4">
        <f>1*200/1.25/50*1000</f>
        <v>3200</v>
      </c>
      <c r="BO107" s="4"/>
      <c r="BP107" s="4">
        <v>46666.666666666672</v>
      </c>
      <c r="BQ107" s="4"/>
      <c r="BR107" s="4"/>
      <c r="BS107" s="4">
        <v>8000</v>
      </c>
      <c r="BT107" s="4">
        <v>4000</v>
      </c>
      <c r="BU107" s="4"/>
      <c r="BV107" s="4"/>
      <c r="BW107" s="4"/>
      <c r="BX107" s="4"/>
      <c r="BY107" s="4"/>
      <c r="BZ107" s="4"/>
      <c r="CA107" s="4"/>
      <c r="CB107" s="4"/>
      <c r="CC107" s="4">
        <v>14746.543778801844</v>
      </c>
      <c r="CD107" s="4">
        <v>3571.4285714285711</v>
      </c>
      <c r="CE107" s="4"/>
      <c r="CF107" s="4"/>
      <c r="CG107" s="4"/>
      <c r="CH107" s="4"/>
      <c r="CI107" s="4">
        <v>3921.5686274509803</v>
      </c>
      <c r="CJ107" s="4"/>
      <c r="CK107" s="4"/>
      <c r="CL107" s="4">
        <v>14545.454545454544</v>
      </c>
      <c r="CM107" s="4">
        <v>16000</v>
      </c>
      <c r="CN107" s="4">
        <v>4000</v>
      </c>
      <c r="CO107" s="4">
        <v>3773.5849056603774</v>
      </c>
      <c r="CP107" s="4"/>
      <c r="CQ107" s="4"/>
      <c r="CR107" s="4">
        <v>1538.4615384615383</v>
      </c>
      <c r="CS107" s="4">
        <v>3389.8305084745766</v>
      </c>
      <c r="CT107" s="4"/>
      <c r="CU107" s="4"/>
      <c r="CV107" s="2">
        <v>28000</v>
      </c>
      <c r="CW107" s="4">
        <v>805.36912751677858</v>
      </c>
      <c r="CX107" s="4">
        <v>3571.4285714285711</v>
      </c>
      <c r="CY107" s="4"/>
      <c r="CZ107" s="4"/>
      <c r="DA107" s="4"/>
      <c r="DB107" s="4"/>
      <c r="DC107" s="4">
        <v>3571.4285714285711</v>
      </c>
      <c r="DD107" s="4"/>
      <c r="DE107" s="4"/>
      <c r="DF107" s="4"/>
      <c r="DG107" s="4"/>
      <c r="DH107" s="4"/>
      <c r="DI107" s="4"/>
      <c r="DJ107" s="4"/>
    </row>
    <row r="108" spans="1:115" x14ac:dyDescent="0.3">
      <c r="A108" s="16" t="s">
        <v>183</v>
      </c>
      <c r="B108" s="17" t="s">
        <v>184</v>
      </c>
      <c r="C108" s="4">
        <f>4*200/50*1000</f>
        <v>16000</v>
      </c>
      <c r="D108" s="4"/>
      <c r="E108" s="4">
        <v>4000</v>
      </c>
      <c r="F108" s="4">
        <v>4000</v>
      </c>
      <c r="G108" s="4"/>
      <c r="H108" s="4">
        <f>1*200/45*1000</f>
        <v>4444.4444444444443</v>
      </c>
      <c r="I108" s="4"/>
      <c r="J108" s="4"/>
      <c r="K108" s="4"/>
      <c r="L108" s="4"/>
      <c r="M108" s="4"/>
      <c r="N108" s="4"/>
      <c r="O108" s="4"/>
      <c r="P108" s="4">
        <v>1712</v>
      </c>
      <c r="Q108" s="4"/>
      <c r="R108" s="4">
        <v>416</v>
      </c>
      <c r="S108" s="4">
        <v>400</v>
      </c>
      <c r="T108" s="4">
        <v>400</v>
      </c>
      <c r="U108" s="4">
        <v>400</v>
      </c>
      <c r="V108" s="4"/>
      <c r="W108" s="4">
        <v>412</v>
      </c>
      <c r="X108" s="4"/>
      <c r="Y108" s="4">
        <v>1200</v>
      </c>
      <c r="Z108" s="4"/>
      <c r="AA108" s="4"/>
      <c r="AB108" s="4"/>
      <c r="AC108" s="4"/>
      <c r="AD108" s="4">
        <v>400</v>
      </c>
      <c r="AE108" s="4">
        <v>800</v>
      </c>
      <c r="AF108" s="4">
        <v>416</v>
      </c>
      <c r="AG108" s="4">
        <v>400</v>
      </c>
      <c r="AH108" s="4">
        <v>400</v>
      </c>
      <c r="AI108" s="4"/>
      <c r="AJ108" s="4"/>
      <c r="AK108" s="4"/>
      <c r="AL108" s="4"/>
      <c r="AM108" s="4"/>
      <c r="AN108" s="4"/>
      <c r="AO108" s="4"/>
      <c r="AP108" s="4"/>
      <c r="AQ108" s="4"/>
      <c r="AR108" s="4"/>
      <c r="AS108" s="4"/>
      <c r="AT108" s="4"/>
      <c r="AU108" s="4"/>
      <c r="AV108" s="4"/>
      <c r="AW108" s="4"/>
      <c r="AX108" s="4"/>
      <c r="AY108" s="4"/>
      <c r="AZ108" s="4"/>
      <c r="BA108" s="4"/>
      <c r="BB108" s="4"/>
      <c r="BC108" s="4">
        <f>4*200/50*1000</f>
        <v>16000</v>
      </c>
      <c r="BD108" s="4"/>
      <c r="BE108" s="4"/>
      <c r="BF108" s="4"/>
      <c r="BG108" s="4"/>
      <c r="BH108" s="4">
        <f>1*200*1.01/50*1000</f>
        <v>4040</v>
      </c>
      <c r="BI108" s="4">
        <v>4000</v>
      </c>
      <c r="BJ108" s="4"/>
      <c r="BK108" s="4"/>
      <c r="BL108" s="4"/>
      <c r="BM108" s="4"/>
      <c r="BN108" s="4">
        <f>1*200/1.25/50*1000</f>
        <v>3200</v>
      </c>
      <c r="BO108" s="4">
        <v>1600</v>
      </c>
      <c r="BP108" s="4"/>
      <c r="BQ108" s="4"/>
      <c r="BR108" s="4"/>
      <c r="BS108" s="4"/>
      <c r="BU108" s="4"/>
      <c r="BV108" s="4"/>
      <c r="BW108" s="4"/>
      <c r="BX108" s="4"/>
      <c r="BY108" s="4">
        <v>2000</v>
      </c>
      <c r="BZ108" s="4"/>
      <c r="CA108" s="4">
        <v>5714.2857142857147</v>
      </c>
      <c r="CB108" s="4"/>
      <c r="CC108" s="4"/>
      <c r="CD108" s="4">
        <v>1785.7142857142856</v>
      </c>
      <c r="CE108" s="4"/>
      <c r="CF108" s="4"/>
      <c r="CG108" s="4"/>
      <c r="CH108" s="4">
        <v>1886.7924528301887</v>
      </c>
      <c r="CI108" s="4"/>
      <c r="CJ108" s="4"/>
      <c r="CK108" s="4"/>
      <c r="CL108" s="4"/>
      <c r="CM108" s="4">
        <v>4000</v>
      </c>
      <c r="CN108" s="4">
        <v>4000</v>
      </c>
      <c r="CO108" s="4"/>
      <c r="CP108" s="4"/>
      <c r="CQ108" s="4"/>
      <c r="CR108" s="4"/>
      <c r="CS108" s="4"/>
      <c r="CT108" s="4"/>
      <c r="CU108" s="4"/>
      <c r="CW108" s="4">
        <v>268.45637583892619</v>
      </c>
      <c r="CX108" s="4">
        <v>3571.4285714285711</v>
      </c>
      <c r="CY108" s="4"/>
      <c r="CZ108" s="4"/>
      <c r="DA108" s="4"/>
      <c r="DB108" s="4"/>
      <c r="DC108" s="4"/>
      <c r="DD108" s="4"/>
      <c r="DE108" s="4"/>
      <c r="DF108" s="4"/>
      <c r="DG108" s="4"/>
      <c r="DH108" s="4"/>
      <c r="DI108" s="4"/>
      <c r="DJ108" s="4"/>
    </row>
    <row r="109" spans="1:115" x14ac:dyDescent="0.3">
      <c r="B109" s="17" t="s">
        <v>185</v>
      </c>
      <c r="C109" s="4"/>
      <c r="D109" s="4"/>
      <c r="E109" s="4">
        <v>2000</v>
      </c>
      <c r="F109" s="4"/>
      <c r="G109" s="4"/>
      <c r="H109" s="4"/>
      <c r="I109" s="4"/>
      <c r="J109" s="4"/>
      <c r="K109" s="4"/>
      <c r="L109" s="4"/>
      <c r="M109" s="4"/>
      <c r="N109" s="4"/>
      <c r="O109" s="4"/>
      <c r="P109" s="4"/>
      <c r="Q109" s="4"/>
      <c r="R109" s="4"/>
      <c r="S109" s="4"/>
      <c r="T109" s="4"/>
      <c r="U109" s="4"/>
      <c r="V109" s="4"/>
      <c r="W109" s="4">
        <v>412</v>
      </c>
      <c r="X109" s="4">
        <v>904</v>
      </c>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v>6400</v>
      </c>
      <c r="BP109" s="4">
        <v>3333.3333333333339</v>
      </c>
      <c r="BQ109" s="4"/>
      <c r="BR109" s="4"/>
      <c r="BS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W109" s="4"/>
      <c r="CX109" s="4"/>
      <c r="CY109" s="4"/>
      <c r="CZ109" s="4"/>
      <c r="DA109" s="4"/>
      <c r="DB109" s="4"/>
      <c r="DC109" s="4"/>
      <c r="DD109" s="4"/>
      <c r="DE109" s="4"/>
      <c r="DF109" s="4"/>
      <c r="DG109" s="4"/>
      <c r="DH109" s="4"/>
      <c r="DI109" s="4"/>
      <c r="DJ109" s="4"/>
    </row>
    <row r="110" spans="1:115" x14ac:dyDescent="0.3">
      <c r="B110" s="17" t="s">
        <v>186</v>
      </c>
      <c r="C110" s="4"/>
      <c r="D110" s="4"/>
      <c r="E110" s="4">
        <v>2000</v>
      </c>
      <c r="F110" s="4"/>
      <c r="G110" s="4">
        <f>0.3*200/42*1000</f>
        <v>1428.5714285714287</v>
      </c>
      <c r="H110" s="4"/>
      <c r="I110" s="4"/>
      <c r="J110" s="4"/>
      <c r="K110" s="4"/>
      <c r="L110" s="4"/>
      <c r="M110" s="4"/>
      <c r="N110" s="4"/>
      <c r="O110" s="4">
        <v>412</v>
      </c>
      <c r="P110" s="4"/>
      <c r="Q110" s="4"/>
      <c r="R110" s="4"/>
      <c r="S110" s="4"/>
      <c r="T110" s="4"/>
      <c r="U110" s="4"/>
      <c r="V110" s="4"/>
      <c r="W110" s="4">
        <v>412</v>
      </c>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f>18*200/50*1150</f>
        <v>82800</v>
      </c>
      <c r="BA110" s="4">
        <f>1*200/50*1050</f>
        <v>4200</v>
      </c>
      <c r="BB110" s="4"/>
      <c r="BC110" s="4"/>
      <c r="BD110" s="4"/>
      <c r="BE110" s="4"/>
      <c r="BF110" s="4"/>
      <c r="BG110" s="4"/>
      <c r="BH110" s="4">
        <f>1*200*1.01/50*1000</f>
        <v>4040</v>
      </c>
      <c r="BI110" s="4"/>
      <c r="BJ110" s="4"/>
      <c r="BK110" s="4"/>
      <c r="BL110" s="4"/>
      <c r="BM110" s="4"/>
      <c r="BN110" s="4"/>
      <c r="BO110" s="4"/>
      <c r="BP110" s="4"/>
      <c r="BQ110" s="4"/>
      <c r="BR110" s="4"/>
      <c r="BS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W110" s="4"/>
      <c r="CX110" s="4"/>
      <c r="CY110" s="4"/>
      <c r="CZ110" s="4"/>
      <c r="DA110" s="4"/>
      <c r="DB110" s="4"/>
      <c r="DC110" s="4"/>
      <c r="DD110" s="4"/>
      <c r="DE110" s="4"/>
      <c r="DF110" s="4"/>
      <c r="DG110" s="4"/>
      <c r="DH110" s="4"/>
      <c r="DI110" s="4"/>
      <c r="DJ110" s="4"/>
    </row>
    <row r="111" spans="1:115" ht="17.399999999999999" x14ac:dyDescent="0.3">
      <c r="A111" s="24"/>
      <c r="B111" s="17" t="s">
        <v>187</v>
      </c>
      <c r="C111" s="4">
        <f>200/50*1000</f>
        <v>4000</v>
      </c>
      <c r="D111" s="4">
        <f>3*200/50*1000</f>
        <v>12000</v>
      </c>
      <c r="E111" s="4"/>
      <c r="F111" s="4"/>
      <c r="G111" s="4">
        <f>0.3*200/42*1000</f>
        <v>1428.5714285714287</v>
      </c>
      <c r="H111" s="4"/>
      <c r="I111" s="4">
        <f>0.4*200*1.04/50*1000</f>
        <v>1664.0000000000002</v>
      </c>
      <c r="J111" s="4">
        <f>0.6*200/50*1000</f>
        <v>2400</v>
      </c>
      <c r="K111" s="4">
        <f>0.6*200*1.03/50*1000</f>
        <v>2472</v>
      </c>
      <c r="L111" s="4">
        <v>2000</v>
      </c>
      <c r="M111" s="4">
        <v>2140</v>
      </c>
      <c r="N111" s="4">
        <v>1560</v>
      </c>
      <c r="O111" s="4">
        <v>412</v>
      </c>
      <c r="P111" s="4"/>
      <c r="Q111" s="4">
        <v>339.2</v>
      </c>
      <c r="R111" s="4"/>
      <c r="S111" s="4">
        <v>400</v>
      </c>
      <c r="T111" s="4">
        <v>400</v>
      </c>
      <c r="U111" s="4">
        <v>800</v>
      </c>
      <c r="V111" s="4"/>
      <c r="W111" s="4"/>
      <c r="X111" s="4"/>
      <c r="Y111" s="4"/>
      <c r="Z111" s="4"/>
      <c r="AA111" s="4"/>
      <c r="AB111" s="4"/>
      <c r="AC111" s="4">
        <v>400</v>
      </c>
      <c r="AD111" s="4"/>
      <c r="AE111" s="4"/>
      <c r="AF111" s="4"/>
      <c r="AG111" s="4"/>
      <c r="AH111" s="4"/>
      <c r="AI111" s="4">
        <v>800</v>
      </c>
      <c r="AJ111" s="4"/>
      <c r="AK111" s="4"/>
      <c r="AL111" s="4"/>
      <c r="AM111" s="4"/>
      <c r="AN111" s="4"/>
      <c r="AO111" s="4"/>
      <c r="AP111" s="4"/>
      <c r="AQ111" s="4"/>
      <c r="AR111" s="4"/>
      <c r="AS111" s="4"/>
      <c r="AT111" s="4"/>
      <c r="AU111" s="4"/>
      <c r="AV111" s="4"/>
      <c r="AW111" s="4"/>
      <c r="AX111" s="4"/>
      <c r="AY111" s="4"/>
      <c r="AZ111" s="4">
        <f>1*200/50*1150</f>
        <v>4600</v>
      </c>
      <c r="BA111" s="4"/>
      <c r="BB111" s="4"/>
      <c r="BC111" s="4"/>
      <c r="BD111" s="4"/>
      <c r="BE111" s="4"/>
      <c r="BF111" s="4"/>
      <c r="BG111" s="4"/>
      <c r="BH111" s="4">
        <f>1*200*1.01/50*1000</f>
        <v>4040</v>
      </c>
      <c r="BI111" s="4"/>
      <c r="BJ111" s="4">
        <v>4000</v>
      </c>
      <c r="BK111" s="4"/>
      <c r="BL111" s="4"/>
      <c r="BM111" s="4"/>
      <c r="BN111" s="4">
        <f>1*200/1.25/50*1000</f>
        <v>3200</v>
      </c>
      <c r="BO111" s="4">
        <v>12800</v>
      </c>
      <c r="BP111" s="4">
        <v>6666.6666666666679</v>
      </c>
      <c r="BQ111" s="4"/>
      <c r="BR111" s="4"/>
      <c r="BS111" s="4"/>
      <c r="BU111" s="4"/>
      <c r="BV111" s="4"/>
      <c r="BW111" s="4"/>
      <c r="BX111" s="4"/>
      <c r="BY111" s="4">
        <v>800</v>
      </c>
      <c r="BZ111" s="4"/>
      <c r="CA111" s="4">
        <v>2857.1428571428573</v>
      </c>
      <c r="CB111" s="4"/>
      <c r="CC111" s="4"/>
      <c r="CD111" s="4"/>
      <c r="CE111" s="4">
        <v>64000</v>
      </c>
      <c r="CF111" s="4"/>
      <c r="CG111" s="4"/>
      <c r="CH111" s="4"/>
      <c r="CI111" s="4"/>
      <c r="CJ111" s="4"/>
      <c r="CK111" s="4"/>
      <c r="CL111" s="4"/>
      <c r="CM111" s="4">
        <v>2000</v>
      </c>
      <c r="CN111" s="4">
        <v>4000</v>
      </c>
      <c r="CO111" s="4"/>
      <c r="CP111" s="4"/>
      <c r="CQ111" s="4"/>
      <c r="CR111" s="4"/>
      <c r="CS111" s="4"/>
      <c r="CT111" s="4"/>
      <c r="CU111" s="4"/>
      <c r="CW111" s="4"/>
      <c r="CX111" s="4"/>
      <c r="CY111" s="4"/>
      <c r="CZ111" s="4"/>
      <c r="DA111" s="4"/>
      <c r="DB111" s="4"/>
      <c r="DC111" s="4"/>
      <c r="DD111" s="4"/>
      <c r="DE111" s="4"/>
      <c r="DF111" s="4"/>
      <c r="DG111" s="4"/>
      <c r="DH111" s="4"/>
      <c r="DI111" s="4"/>
      <c r="DJ111" s="4"/>
    </row>
    <row r="112" spans="1:115" x14ac:dyDescent="0.3">
      <c r="B112" s="17" t="s">
        <v>188</v>
      </c>
      <c r="C112" s="4"/>
      <c r="D112" s="4"/>
      <c r="E112" s="4"/>
      <c r="F112" s="4"/>
      <c r="G112" s="4"/>
      <c r="H112" s="4">
        <f>1*200/45*1000</f>
        <v>4444.4444444444443</v>
      </c>
      <c r="I112" s="4"/>
      <c r="J112" s="4"/>
      <c r="K112" s="4"/>
      <c r="L112" s="4"/>
      <c r="M112" s="4"/>
      <c r="N112" s="4"/>
      <c r="O112" s="4"/>
      <c r="P112" s="4"/>
      <c r="Q112" s="4"/>
      <c r="R112" s="4"/>
      <c r="S112" s="4"/>
      <c r="T112" s="4"/>
      <c r="U112" s="4"/>
      <c r="V112" s="4"/>
      <c r="W112" s="4">
        <v>824</v>
      </c>
      <c r="X112" s="4"/>
      <c r="Y112" s="4">
        <v>3600</v>
      </c>
      <c r="Z112" s="4">
        <v>4400</v>
      </c>
      <c r="AA112" s="4">
        <v>2760</v>
      </c>
      <c r="AB112" s="4">
        <v>3552</v>
      </c>
      <c r="AC112" s="4">
        <v>1600</v>
      </c>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f>1*200/1.25/50*1000</f>
        <v>3200</v>
      </c>
      <c r="BO112" s="4">
        <v>32000</v>
      </c>
      <c r="BP112" s="4">
        <v>3333.3333333333339</v>
      </c>
      <c r="BQ112" s="4"/>
      <c r="BR112" s="4"/>
      <c r="BS112" s="4">
        <v>8000</v>
      </c>
      <c r="BT112" s="4">
        <v>12000</v>
      </c>
      <c r="BU112" s="4"/>
      <c r="BV112" s="4"/>
      <c r="BW112" s="4"/>
      <c r="BX112" s="4"/>
      <c r="BY112" s="4"/>
      <c r="BZ112" s="4"/>
      <c r="CA112" s="4"/>
      <c r="CB112" s="4"/>
      <c r="CC112" s="4"/>
      <c r="CD112" s="4"/>
      <c r="CE112" s="4"/>
      <c r="CF112" s="4"/>
      <c r="CG112" s="4"/>
      <c r="CH112" s="4"/>
      <c r="CI112" s="4"/>
      <c r="CJ112" s="4">
        <v>14814.814814814814</v>
      </c>
      <c r="CK112" s="4"/>
      <c r="CL112" s="4"/>
      <c r="CM112" s="4">
        <v>4000</v>
      </c>
      <c r="CN112" s="4">
        <v>4000</v>
      </c>
      <c r="CO112" s="4">
        <v>7547.1698113207549</v>
      </c>
      <c r="CP112" s="4">
        <v>3636.363636363636</v>
      </c>
      <c r="CQ112" s="4"/>
      <c r="CR112" s="4">
        <v>3076.9230769230767</v>
      </c>
      <c r="CS112" s="4"/>
      <c r="CT112" s="4"/>
      <c r="CU112" s="4">
        <v>11428.571428571429</v>
      </c>
      <c r="CW112" s="4"/>
      <c r="CX112" s="4">
        <v>7142.8571428571422</v>
      </c>
      <c r="CY112" s="4"/>
      <c r="CZ112" s="4"/>
      <c r="DA112" s="4"/>
      <c r="DB112" s="4">
        <v>14285.714285714284</v>
      </c>
      <c r="DC112" s="4"/>
      <c r="DD112" s="4">
        <v>7547.1698113207549</v>
      </c>
      <c r="DE112" s="4">
        <v>3636.363636363636</v>
      </c>
      <c r="DF112" s="4">
        <v>3846.1538461538457</v>
      </c>
      <c r="DG112" s="4">
        <v>38461.538461538461</v>
      </c>
      <c r="DH112" s="4">
        <v>36000</v>
      </c>
      <c r="DI112" s="4">
        <v>28000</v>
      </c>
      <c r="DJ112" s="4">
        <v>10714.285714285714</v>
      </c>
      <c r="DK112" s="4"/>
    </row>
    <row r="113" spans="1:114" x14ac:dyDescent="0.3">
      <c r="B113" s="17" t="s">
        <v>189</v>
      </c>
      <c r="C113" s="4">
        <f>11*200/50*1000</f>
        <v>44000</v>
      </c>
      <c r="D113" s="4"/>
      <c r="E113" s="4"/>
      <c r="F113" s="4"/>
      <c r="G113" s="4"/>
      <c r="H113" s="4"/>
      <c r="I113" s="4"/>
      <c r="J113" s="4"/>
      <c r="K113" s="4"/>
      <c r="L113" s="4"/>
      <c r="M113" s="4"/>
      <c r="N113" s="4"/>
      <c r="O113" s="4">
        <v>1236</v>
      </c>
      <c r="P113" s="4"/>
      <c r="Q113" s="4">
        <v>339.2</v>
      </c>
      <c r="R113" s="4"/>
      <c r="S113" s="4">
        <v>400</v>
      </c>
      <c r="T113" s="4"/>
      <c r="U113" s="4">
        <v>800</v>
      </c>
      <c r="V113" s="4"/>
      <c r="W113" s="4"/>
      <c r="X113" s="4"/>
      <c r="Y113" s="4">
        <v>800</v>
      </c>
      <c r="Z113" s="4">
        <v>400</v>
      </c>
      <c r="AA113" s="4">
        <v>460</v>
      </c>
      <c r="AB113" s="4"/>
      <c r="AC113" s="4">
        <v>400</v>
      </c>
      <c r="AD113" s="4"/>
      <c r="AE113" s="4"/>
      <c r="AF113" s="4"/>
      <c r="AG113" s="4"/>
      <c r="AH113" s="4"/>
      <c r="AI113" s="4">
        <v>800</v>
      </c>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W113" s="4"/>
      <c r="CX113" s="4"/>
      <c r="CY113" s="4"/>
      <c r="CZ113" s="4"/>
      <c r="DA113" s="4"/>
      <c r="DB113" s="4"/>
      <c r="DC113" s="4"/>
      <c r="DD113" s="4"/>
      <c r="DE113" s="4"/>
      <c r="DF113" s="4"/>
      <c r="DG113" s="4"/>
      <c r="DH113" s="4"/>
      <c r="DI113" s="4"/>
      <c r="DJ113" s="4"/>
    </row>
    <row r="114" spans="1:114" x14ac:dyDescent="0.3">
      <c r="B114" s="17" t="s">
        <v>190</v>
      </c>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v>400</v>
      </c>
      <c r="AH114" s="4"/>
      <c r="AI114" s="4">
        <v>400</v>
      </c>
      <c r="AJ114" s="4"/>
      <c r="AK114" s="4"/>
      <c r="AL114" s="4">
        <v>1664</v>
      </c>
      <c r="AM114" s="4"/>
      <c r="AN114" s="4"/>
      <c r="AO114" s="4"/>
      <c r="AP114" s="4"/>
      <c r="AQ114" s="4"/>
      <c r="AR114" s="4">
        <v>400</v>
      </c>
      <c r="AS114" s="4"/>
      <c r="AT114" s="4"/>
      <c r="AU114" s="4"/>
      <c r="AV114" s="4">
        <v>7200</v>
      </c>
      <c r="AW114" s="4">
        <f>2*200/50*1000</f>
        <v>8000</v>
      </c>
      <c r="AX114" s="4"/>
      <c r="AY114" s="4"/>
      <c r="AZ114" s="4"/>
      <c r="BA114" s="4"/>
      <c r="BB114" s="4"/>
      <c r="BC114" s="4"/>
      <c r="BD114" s="4"/>
      <c r="BE114" s="4">
        <f>95*200/50*1000</f>
        <v>380000</v>
      </c>
      <c r="BF114" s="4">
        <f>182*200*1.17/50*1000</f>
        <v>851760</v>
      </c>
      <c r="BG114" s="4">
        <f>137*200/50*1000</f>
        <v>548000</v>
      </c>
      <c r="BH114" s="4">
        <f>4*200*1.01/50*1000</f>
        <v>16160</v>
      </c>
      <c r="BI114" s="4">
        <v>40000</v>
      </c>
      <c r="BJ114" s="4">
        <v>8000</v>
      </c>
      <c r="BK114" s="4"/>
      <c r="BL114" s="4"/>
      <c r="BM114" s="4"/>
      <c r="BN114" s="4">
        <f>8*200/1.25/50*1000</f>
        <v>25600</v>
      </c>
      <c r="BO114" s="4">
        <v>70400</v>
      </c>
      <c r="BP114" s="4">
        <v>20000</v>
      </c>
      <c r="BQ114" s="4"/>
      <c r="BR114" s="4"/>
      <c r="BS114" s="4"/>
      <c r="BU114" s="4"/>
      <c r="BV114" s="4"/>
      <c r="BW114" s="4"/>
      <c r="BX114" s="4"/>
      <c r="BY114" s="4">
        <v>4000</v>
      </c>
      <c r="BZ114" s="4"/>
      <c r="CA114" s="4">
        <v>2857.1428571428573</v>
      </c>
      <c r="CB114" s="4">
        <v>4000</v>
      </c>
      <c r="CC114" s="4">
        <v>1843.3179723502305</v>
      </c>
      <c r="CD114" s="4"/>
      <c r="CE114" s="4">
        <v>12000</v>
      </c>
      <c r="CF114" s="4"/>
      <c r="CG114" s="4"/>
      <c r="CH114" s="4">
        <v>7547.1698113207549</v>
      </c>
      <c r="CI114" s="4"/>
      <c r="CJ114" s="4"/>
      <c r="CK114" s="4"/>
      <c r="CL114" s="4"/>
      <c r="CM114" s="4"/>
      <c r="CN114" s="4"/>
      <c r="CO114" s="4"/>
      <c r="CP114" s="4"/>
      <c r="CQ114" s="4"/>
      <c r="CR114" s="4"/>
      <c r="CS114" s="4">
        <v>1694.9152542372883</v>
      </c>
      <c r="CT114" s="4">
        <v>6000</v>
      </c>
      <c r="CU114" s="4"/>
      <c r="CV114" s="2">
        <v>4000</v>
      </c>
      <c r="CW114" s="4"/>
      <c r="CX114" s="4"/>
      <c r="CY114" s="4"/>
      <c r="CZ114" s="4">
        <v>784.31372549019613</v>
      </c>
      <c r="DA114" s="4"/>
      <c r="DB114" s="4"/>
      <c r="DC114" s="4"/>
      <c r="DD114" s="4">
        <v>11320.754716981133</v>
      </c>
      <c r="DE114" s="4"/>
      <c r="DF114" s="4"/>
      <c r="DG114" s="4"/>
      <c r="DH114" s="4"/>
      <c r="DI114" s="4"/>
      <c r="DJ114" s="4"/>
    </row>
    <row r="115" spans="1:114" x14ac:dyDescent="0.3">
      <c r="A115" s="16" t="s">
        <v>191</v>
      </c>
      <c r="B115" s="17" t="s">
        <v>192</v>
      </c>
      <c r="C115" s="4"/>
      <c r="D115" s="4"/>
      <c r="E115" s="4"/>
      <c r="F115" s="4"/>
      <c r="G115" s="4"/>
      <c r="H115" s="4"/>
      <c r="I115" s="4"/>
      <c r="J115" s="4"/>
      <c r="K115" s="4"/>
      <c r="L115" s="4"/>
      <c r="M115" s="4"/>
      <c r="N115" s="4"/>
      <c r="O115" s="4">
        <v>412</v>
      </c>
      <c r="P115" s="4"/>
      <c r="Q115" s="4">
        <v>339.2</v>
      </c>
      <c r="R115" s="4"/>
      <c r="S115" s="4"/>
      <c r="T115" s="4"/>
      <c r="U115" s="4">
        <v>400</v>
      </c>
      <c r="V115" s="4">
        <v>400</v>
      </c>
      <c r="W115" s="4"/>
      <c r="X115" s="4"/>
      <c r="Y115" s="4"/>
      <c r="Z115" s="4"/>
      <c r="AA115" s="4">
        <v>460</v>
      </c>
      <c r="AB115" s="4"/>
      <c r="AC115" s="4"/>
      <c r="AD115" s="4"/>
      <c r="AE115" s="4"/>
      <c r="AF115" s="4">
        <v>416</v>
      </c>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f>1*200/50*1000</f>
        <v>4000</v>
      </c>
      <c r="BF115" s="4">
        <f>0.5*200*1.17/50*1000</f>
        <v>2340</v>
      </c>
      <c r="BG115" s="4"/>
      <c r="BH115" s="4"/>
      <c r="BI115" s="4">
        <v>4000</v>
      </c>
      <c r="BJ115" s="4"/>
      <c r="BK115" s="4"/>
      <c r="BL115" s="4"/>
      <c r="BM115" s="4"/>
      <c r="BN115" s="4"/>
      <c r="BO115" s="4"/>
      <c r="BP115" s="4">
        <v>6666.6666666666679</v>
      </c>
      <c r="BQ115" s="4"/>
      <c r="BR115" s="4"/>
      <c r="BS115" s="4"/>
      <c r="BU115" s="4"/>
      <c r="BV115" s="4"/>
      <c r="BW115" s="4"/>
      <c r="BX115" s="4"/>
      <c r="BY115" s="4"/>
      <c r="BZ115" s="4"/>
      <c r="CA115" s="4"/>
      <c r="CB115" s="4">
        <v>4000</v>
      </c>
      <c r="CC115" s="4"/>
      <c r="CD115" s="4"/>
      <c r="CE115" s="4"/>
      <c r="CF115" s="4"/>
      <c r="CG115" s="4"/>
      <c r="CH115" s="4"/>
      <c r="CI115" s="4"/>
      <c r="CJ115" s="4"/>
      <c r="CK115" s="4"/>
      <c r="CL115" s="4"/>
      <c r="CM115" s="4"/>
      <c r="CN115" s="4"/>
      <c r="CO115" s="4"/>
      <c r="CP115" s="4"/>
      <c r="CQ115" s="4"/>
      <c r="CR115" s="4"/>
      <c r="CS115" s="4"/>
      <c r="CT115" s="4"/>
      <c r="CU115" s="4"/>
      <c r="CW115" s="4"/>
      <c r="CX115" s="4"/>
      <c r="CY115" s="4"/>
      <c r="CZ115" s="4"/>
      <c r="DA115" s="4"/>
      <c r="DB115" s="4"/>
      <c r="DC115" s="4"/>
      <c r="DD115" s="4"/>
      <c r="DE115" s="4"/>
      <c r="DF115" s="4"/>
      <c r="DG115" s="4"/>
      <c r="DH115" s="4"/>
      <c r="DI115" s="4"/>
      <c r="DJ115" s="4"/>
    </row>
    <row r="116" spans="1:114" x14ac:dyDescent="0.3">
      <c r="A116" s="16"/>
      <c r="B116" s="17" t="s">
        <v>193</v>
      </c>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v>400</v>
      </c>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W116" s="4"/>
      <c r="CX116" s="4"/>
      <c r="CY116" s="4"/>
      <c r="CZ116" s="4"/>
      <c r="DA116" s="4"/>
      <c r="DB116" s="4"/>
      <c r="DC116" s="4"/>
      <c r="DD116" s="4"/>
      <c r="DE116" s="4"/>
      <c r="DF116" s="4"/>
      <c r="DG116" s="4"/>
      <c r="DH116" s="4"/>
      <c r="DI116" s="4"/>
      <c r="DJ116" s="4"/>
    </row>
    <row r="117" spans="1:114" x14ac:dyDescent="0.3">
      <c r="A117" s="16" t="s">
        <v>194</v>
      </c>
      <c r="B117" s="17" t="s">
        <v>195</v>
      </c>
      <c r="C117" s="4"/>
      <c r="D117" s="4">
        <f>2*200/50*1000</f>
        <v>8000</v>
      </c>
      <c r="E117" s="4">
        <v>2000</v>
      </c>
      <c r="F117" s="4">
        <v>2000</v>
      </c>
      <c r="G117" s="4"/>
      <c r="H117" s="4"/>
      <c r="I117" s="4"/>
      <c r="J117" s="4">
        <f>0.3*200/50*1000</f>
        <v>1200</v>
      </c>
      <c r="K117" s="4">
        <f>0.4*200*1.03/50*1000</f>
        <v>1648.0000000000002</v>
      </c>
      <c r="L117" s="4">
        <v>1600</v>
      </c>
      <c r="M117" s="4">
        <v>856</v>
      </c>
      <c r="N117" s="4"/>
      <c r="O117" s="4">
        <v>1236</v>
      </c>
      <c r="P117" s="4">
        <v>428</v>
      </c>
      <c r="Q117" s="4"/>
      <c r="R117" s="4">
        <v>416</v>
      </c>
      <c r="S117" s="4"/>
      <c r="T117" s="4">
        <v>800</v>
      </c>
      <c r="U117" s="4"/>
      <c r="V117" s="4"/>
      <c r="W117" s="4">
        <v>824</v>
      </c>
      <c r="X117" s="4">
        <v>452</v>
      </c>
      <c r="Y117" s="4"/>
      <c r="Z117" s="4"/>
      <c r="AA117" s="4"/>
      <c r="AB117" s="4"/>
      <c r="AC117" s="4"/>
      <c r="AD117" s="4">
        <v>2800</v>
      </c>
      <c r="AE117" s="4">
        <v>1200</v>
      </c>
      <c r="AF117" s="4">
        <v>416</v>
      </c>
      <c r="AG117" s="4">
        <v>3200</v>
      </c>
      <c r="AH117" s="4">
        <v>1600</v>
      </c>
      <c r="AI117" s="4">
        <v>400</v>
      </c>
      <c r="AJ117" s="4"/>
      <c r="AK117" s="4">
        <v>800</v>
      </c>
      <c r="AL117" s="4">
        <v>832</v>
      </c>
      <c r="AM117" s="4">
        <v>800</v>
      </c>
      <c r="AN117" s="4">
        <v>400</v>
      </c>
      <c r="AO117" s="4">
        <v>400</v>
      </c>
      <c r="AP117" s="4">
        <v>400</v>
      </c>
      <c r="AQ117" s="4"/>
      <c r="AR117" s="4"/>
      <c r="AS117" s="4"/>
      <c r="AT117" s="4"/>
      <c r="AU117" s="4"/>
      <c r="AV117" s="4"/>
      <c r="AW117" s="4"/>
      <c r="AX117" s="4"/>
      <c r="AY117" s="4"/>
      <c r="AZ117" s="4"/>
      <c r="BA117" s="4"/>
      <c r="BB117" s="4"/>
      <c r="BC117" s="4"/>
      <c r="BD117" s="4"/>
      <c r="BE117" s="4">
        <f>1*200/50*1000</f>
        <v>4000</v>
      </c>
      <c r="BF117" s="4"/>
      <c r="BG117" s="4"/>
      <c r="BH117" s="4"/>
      <c r="BI117" s="4"/>
      <c r="BJ117" s="4"/>
      <c r="BK117" s="4"/>
      <c r="BL117" s="4"/>
      <c r="BM117" s="4"/>
      <c r="BN117" s="4"/>
      <c r="BO117" s="4"/>
      <c r="BP117" s="4"/>
      <c r="BQ117" s="4"/>
      <c r="BR117" s="4"/>
      <c r="BS117" s="4"/>
      <c r="BU117" s="4"/>
      <c r="BV117" s="4"/>
      <c r="BW117" s="4"/>
      <c r="BX117" s="4"/>
      <c r="BY117" s="4"/>
      <c r="BZ117" s="4"/>
      <c r="CA117" s="4"/>
      <c r="CB117" s="4"/>
      <c r="CC117" s="4">
        <v>3686.6359447004611</v>
      </c>
      <c r="CD117" s="4"/>
      <c r="CE117" s="4">
        <v>4000</v>
      </c>
      <c r="CF117" s="4"/>
      <c r="CG117" s="4"/>
      <c r="CH117" s="4">
        <v>754.71698113207538</v>
      </c>
      <c r="CI117" s="4">
        <v>15686.274509803921</v>
      </c>
      <c r="CJ117" s="4">
        <v>44444.444444444445</v>
      </c>
      <c r="CK117" s="4"/>
      <c r="CL117" s="4"/>
      <c r="CM117" s="4">
        <v>96000</v>
      </c>
      <c r="CN117" s="4">
        <v>12000</v>
      </c>
      <c r="CO117" s="4"/>
      <c r="CP117" s="4"/>
      <c r="CQ117" s="4"/>
      <c r="CR117" s="4"/>
      <c r="CS117" s="4"/>
      <c r="CT117" s="4"/>
      <c r="CU117" s="4"/>
      <c r="CW117" s="4"/>
      <c r="CX117" s="4"/>
      <c r="CY117" s="4"/>
      <c r="CZ117" s="4"/>
      <c r="DA117" s="4"/>
      <c r="DB117" s="4"/>
      <c r="DC117" s="4">
        <v>3571.4285714285711</v>
      </c>
      <c r="DD117" s="4"/>
      <c r="DE117" s="4">
        <v>3636.363636363636</v>
      </c>
      <c r="DF117" s="4"/>
      <c r="DG117" s="4"/>
      <c r="DH117" s="4"/>
      <c r="DI117" s="4"/>
      <c r="DJ117" s="4"/>
    </row>
    <row r="118" spans="1:114" x14ac:dyDescent="0.3">
      <c r="A118" s="11" t="s">
        <v>196</v>
      </c>
      <c r="B118" s="11" t="s">
        <v>197</v>
      </c>
      <c r="C118" s="4"/>
      <c r="D118" s="4"/>
      <c r="E118" s="4"/>
      <c r="F118" s="4"/>
      <c r="G118" s="4"/>
      <c r="H118" s="4"/>
      <c r="I118" s="4">
        <f>0.1*200*1.04/50*1000</f>
        <v>416.00000000000006</v>
      </c>
      <c r="J118" s="4"/>
      <c r="K118" s="4">
        <f>0.1*200*1.03/50*1000</f>
        <v>412.00000000000006</v>
      </c>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U118" s="4"/>
      <c r="BV118" s="4"/>
      <c r="BW118" s="4"/>
      <c r="BX118" s="4"/>
      <c r="BY118" s="4"/>
      <c r="BZ118" s="4"/>
      <c r="CA118" s="4"/>
      <c r="CB118" s="4"/>
      <c r="CC118" s="4"/>
      <c r="CD118" s="4"/>
      <c r="CE118" s="4"/>
      <c r="CF118" s="4"/>
      <c r="CG118" s="4"/>
      <c r="CH118" s="4"/>
      <c r="CI118" s="4"/>
      <c r="CJ118" s="4"/>
      <c r="CK118" s="4"/>
      <c r="CL118" s="4"/>
      <c r="CM118" s="4"/>
      <c r="CN118" s="4"/>
      <c r="CO118" s="4"/>
      <c r="CP118" s="4">
        <v>7272.7272727272721</v>
      </c>
      <c r="CQ118" s="4">
        <v>3571.4285714285711</v>
      </c>
      <c r="CR118" s="4"/>
      <c r="CS118" s="4">
        <v>3389.8305084745766</v>
      </c>
      <c r="CT118" s="4"/>
      <c r="CU118" s="4"/>
      <c r="CV118" s="2">
        <v>12000</v>
      </c>
      <c r="CW118" s="4">
        <v>536.91275167785238</v>
      </c>
      <c r="CX118" s="4">
        <v>3571.4285714285711</v>
      </c>
      <c r="CY118" s="4"/>
      <c r="CZ118" s="4">
        <v>15686.274509803921</v>
      </c>
      <c r="DA118" s="4"/>
      <c r="DB118" s="4">
        <v>7142.8571428571422</v>
      </c>
      <c r="DC118" s="4">
        <v>10714.285714285714</v>
      </c>
      <c r="DD118" s="4">
        <v>7547.1698113207549</v>
      </c>
      <c r="DE118" s="4"/>
      <c r="DF118" s="4">
        <v>3846.1538461538457</v>
      </c>
      <c r="DG118" s="4"/>
      <c r="DH118" s="4"/>
      <c r="DI118" s="4"/>
      <c r="DJ118" s="4">
        <v>3571.4285714285711</v>
      </c>
    </row>
    <row r="119" spans="1:114" x14ac:dyDescent="0.3">
      <c r="A119" s="5" t="s">
        <v>198</v>
      </c>
      <c r="B119" s="17" t="s">
        <v>199</v>
      </c>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W119" s="4"/>
      <c r="CX119" s="4"/>
      <c r="CY119" s="4"/>
      <c r="CZ119" s="4"/>
      <c r="DA119" s="4"/>
      <c r="DB119" s="4"/>
      <c r="DC119" s="4"/>
      <c r="DD119" s="4"/>
      <c r="DE119" s="4"/>
      <c r="DF119" s="4"/>
      <c r="DG119" s="4"/>
      <c r="DH119" s="4"/>
      <c r="DI119" s="4"/>
      <c r="DJ119" s="4"/>
    </row>
    <row r="120" spans="1:114" x14ac:dyDescent="0.3">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W120" s="4"/>
      <c r="CX120" s="4"/>
      <c r="CY120" s="4"/>
      <c r="CZ120" s="4"/>
      <c r="DA120" s="4"/>
      <c r="DB120" s="4"/>
      <c r="DC120" s="4"/>
      <c r="DD120" s="4"/>
      <c r="DE120" s="4"/>
      <c r="DF120" s="4"/>
      <c r="DG120" s="4"/>
      <c r="DH120" s="4"/>
      <c r="DI120" s="4"/>
      <c r="DJ120" s="4"/>
    </row>
    <row r="121" spans="1:114" x14ac:dyDescent="0.3">
      <c r="A121" s="5" t="s">
        <v>200</v>
      </c>
      <c r="B121" s="17" t="s">
        <v>201</v>
      </c>
      <c r="C121" s="4"/>
      <c r="D121" s="4">
        <f>3*200/50*1000</f>
        <v>12000</v>
      </c>
      <c r="E121" s="4">
        <v>28000</v>
      </c>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f>22*200/50*1000</f>
        <v>88000</v>
      </c>
      <c r="AX121" s="4"/>
      <c r="AY121" s="4"/>
      <c r="AZ121" s="4"/>
      <c r="BA121" s="4">
        <f>26*200/50*1050</f>
        <v>109200</v>
      </c>
      <c r="BB121" s="4"/>
      <c r="BC121" s="4"/>
      <c r="BD121" s="4"/>
      <c r="BE121" s="4"/>
      <c r="BF121" s="4"/>
      <c r="BG121" s="4">
        <f>2*200/50*1000</f>
        <v>8000</v>
      </c>
      <c r="BH121" s="4"/>
      <c r="BI121" s="4">
        <v>4000</v>
      </c>
      <c r="BJ121" s="4">
        <v>8000</v>
      </c>
      <c r="BK121" s="4"/>
      <c r="BL121" s="4"/>
      <c r="BM121" s="4"/>
      <c r="BN121" s="4"/>
      <c r="BO121" s="4"/>
      <c r="BP121" s="4"/>
      <c r="BQ121" s="4"/>
      <c r="BR121" s="4"/>
      <c r="BS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W121" s="4"/>
      <c r="CX121" s="4"/>
      <c r="CY121" s="4"/>
      <c r="CZ121" s="4"/>
      <c r="DA121" s="4"/>
      <c r="DB121" s="4"/>
      <c r="DC121" s="4"/>
      <c r="DD121" s="4"/>
      <c r="DE121" s="4"/>
      <c r="DF121" s="4"/>
      <c r="DG121" s="4"/>
      <c r="DH121" s="4"/>
      <c r="DI121" s="4"/>
      <c r="DJ121" s="4"/>
    </row>
    <row r="122" spans="1:114" x14ac:dyDescent="0.3">
      <c r="B122" s="17" t="s">
        <v>202</v>
      </c>
      <c r="C122" s="4">
        <f>6*200/50*1000</f>
        <v>24000</v>
      </c>
      <c r="D122" s="4">
        <f>1*200/50*1000</f>
        <v>4000</v>
      </c>
      <c r="E122" s="4"/>
      <c r="F122" s="4">
        <v>8000</v>
      </c>
      <c r="G122" s="4">
        <f>2*200/42*1000</f>
        <v>9523.8095238095229</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W122" s="4"/>
      <c r="CX122" s="4"/>
      <c r="CY122" s="4"/>
      <c r="CZ122" s="4">
        <v>3921.5686274509803</v>
      </c>
      <c r="DA122" s="4"/>
      <c r="DB122" s="4"/>
      <c r="DC122" s="4"/>
      <c r="DD122" s="4"/>
      <c r="DE122" s="4"/>
      <c r="DF122" s="4"/>
      <c r="DG122" s="4"/>
      <c r="DH122" s="4"/>
      <c r="DI122" s="4"/>
      <c r="DJ122" s="4"/>
    </row>
    <row r="123" spans="1:114" x14ac:dyDescent="0.3">
      <c r="B123" s="17" t="s">
        <v>203</v>
      </c>
      <c r="C123" s="4"/>
      <c r="D123" s="4"/>
      <c r="E123" s="4">
        <v>2000</v>
      </c>
      <c r="F123" s="4">
        <v>2000</v>
      </c>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f>3*200/50*1000</f>
        <v>12000</v>
      </c>
      <c r="AX123" s="4"/>
      <c r="AY123" s="4"/>
      <c r="AZ123" s="4"/>
      <c r="BA123" s="4"/>
      <c r="BB123" s="4"/>
      <c r="BC123" s="4"/>
      <c r="BD123" s="4"/>
      <c r="BE123" s="4"/>
      <c r="BF123" s="4"/>
      <c r="BG123" s="4"/>
      <c r="BH123" s="4"/>
      <c r="BI123" s="4"/>
      <c r="BJ123" s="4"/>
      <c r="BK123" s="4"/>
      <c r="BL123" s="4"/>
      <c r="BM123" s="4"/>
      <c r="BN123" s="4"/>
      <c r="BO123" s="4"/>
      <c r="BP123" s="4"/>
      <c r="BQ123" s="4"/>
      <c r="BR123" s="4"/>
      <c r="BS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W123" s="4"/>
      <c r="CX123" s="4"/>
      <c r="CY123" s="4"/>
      <c r="CZ123" s="4"/>
      <c r="DA123" s="4"/>
      <c r="DB123" s="4"/>
      <c r="DC123" s="4"/>
      <c r="DD123" s="4"/>
      <c r="DE123" s="4"/>
      <c r="DF123" s="4"/>
      <c r="DG123" s="4"/>
      <c r="DH123" s="4"/>
      <c r="DI123" s="4"/>
      <c r="DJ123" s="4"/>
    </row>
    <row r="124" spans="1:114" x14ac:dyDescent="0.3">
      <c r="B124" s="11" t="s">
        <v>204</v>
      </c>
      <c r="C124" s="4"/>
      <c r="D124" s="4"/>
      <c r="E124" s="4"/>
      <c r="F124" s="4"/>
      <c r="G124" s="4"/>
      <c r="H124" s="4"/>
      <c r="I124" s="4">
        <f>1.4*200*1.04/50*1000</f>
        <v>5824</v>
      </c>
      <c r="J124" s="4">
        <f>2.7*200/50*1000</f>
        <v>10800</v>
      </c>
      <c r="K124" s="4">
        <f>1.3*200*1.03/50*1000</f>
        <v>5356</v>
      </c>
      <c r="L124" s="4">
        <f>1.3*4000</f>
        <v>5200</v>
      </c>
      <c r="M124" s="4"/>
      <c r="N124" s="4"/>
      <c r="O124" s="4"/>
      <c r="P124" s="4"/>
      <c r="Q124" s="4">
        <v>339.2</v>
      </c>
      <c r="R124" s="4">
        <v>416</v>
      </c>
      <c r="S124" s="4">
        <v>400</v>
      </c>
      <c r="T124" s="4"/>
      <c r="U124" s="4"/>
      <c r="V124" s="4"/>
      <c r="W124" s="4"/>
      <c r="X124" s="4"/>
      <c r="Y124" s="4"/>
      <c r="Z124" s="4"/>
      <c r="AA124" s="4"/>
      <c r="AB124" s="4">
        <v>444</v>
      </c>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f>2*200/50*1150</f>
        <v>9200</v>
      </c>
      <c r="BA124" s="4">
        <f>2*200/50*1050</f>
        <v>8400</v>
      </c>
      <c r="BB124" s="4"/>
      <c r="BC124" s="4"/>
      <c r="BD124" s="4"/>
      <c r="BE124" s="4"/>
      <c r="BF124" s="4"/>
      <c r="BG124" s="4"/>
      <c r="BH124" s="4"/>
      <c r="BI124" s="4"/>
      <c r="BJ124" s="4"/>
      <c r="BK124" s="4"/>
      <c r="BL124" s="4"/>
      <c r="BM124" s="4"/>
      <c r="BN124" s="4"/>
      <c r="BO124" s="4"/>
      <c r="BP124" s="4"/>
      <c r="BQ124" s="4"/>
      <c r="BR124" s="4"/>
      <c r="BS124" s="4"/>
      <c r="BU124" s="4"/>
      <c r="BV124" s="4"/>
      <c r="BW124" s="4"/>
      <c r="BX124" s="4"/>
      <c r="BY124" s="4"/>
      <c r="BZ124" s="4"/>
      <c r="CA124" s="4"/>
      <c r="CB124" s="4"/>
      <c r="CC124" s="4"/>
      <c r="CD124" s="4"/>
      <c r="CE124" s="4"/>
      <c r="CF124" s="4"/>
      <c r="CG124" s="4"/>
      <c r="CH124" s="4"/>
      <c r="CI124" s="4"/>
      <c r="CJ124" s="4"/>
      <c r="CK124" s="4"/>
      <c r="CL124" s="4"/>
      <c r="CM124" s="4"/>
      <c r="CN124" s="4">
        <v>8000</v>
      </c>
      <c r="CO124" s="4"/>
      <c r="CP124" s="4"/>
      <c r="CQ124" s="4"/>
      <c r="CR124" s="4"/>
      <c r="CS124" s="4"/>
      <c r="CT124" s="4"/>
      <c r="CU124" s="4"/>
      <c r="CW124" s="4"/>
      <c r="CX124" s="4"/>
      <c r="CY124" s="4"/>
      <c r="CZ124" s="4"/>
      <c r="DA124" s="4"/>
      <c r="DB124" s="4"/>
      <c r="DC124" s="4"/>
      <c r="DD124" s="4"/>
      <c r="DE124" s="4"/>
      <c r="DF124" s="4"/>
      <c r="DG124" s="4"/>
      <c r="DH124" s="4"/>
      <c r="DI124" s="4"/>
      <c r="DJ124" s="4"/>
    </row>
    <row r="125" spans="1:114" x14ac:dyDescent="0.3">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W125" s="4"/>
      <c r="CX125" s="4"/>
      <c r="CY125" s="4"/>
      <c r="CZ125" s="4"/>
      <c r="DA125" s="4"/>
      <c r="DB125" s="4"/>
      <c r="DC125" s="4"/>
      <c r="DD125" s="4"/>
      <c r="DE125" s="4"/>
      <c r="DF125" s="4"/>
      <c r="DG125" s="4"/>
      <c r="DH125" s="4"/>
      <c r="DI125" s="4"/>
      <c r="DJ125" s="4"/>
    </row>
    <row r="126" spans="1:114" x14ac:dyDescent="0.3">
      <c r="A126" s="5" t="s">
        <v>205</v>
      </c>
      <c r="B126" s="17" t="s">
        <v>206</v>
      </c>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W126" s="4"/>
      <c r="CX126" s="4"/>
      <c r="CY126" s="4"/>
      <c r="CZ126" s="4"/>
      <c r="DA126" s="4"/>
      <c r="DB126" s="4"/>
      <c r="DC126" s="4"/>
      <c r="DD126" s="4"/>
      <c r="DE126" s="4"/>
      <c r="DF126" s="4"/>
      <c r="DG126" s="4"/>
      <c r="DH126" s="4"/>
      <c r="DI126" s="4"/>
      <c r="DJ126" s="4">
        <v>10714.285714285714</v>
      </c>
    </row>
    <row r="127" spans="1:114" x14ac:dyDescent="0.3">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W127" s="4"/>
      <c r="CX127" s="4"/>
      <c r="CY127" s="4"/>
      <c r="CZ127" s="4"/>
      <c r="DA127" s="4"/>
      <c r="DB127" s="4"/>
      <c r="DC127" s="4"/>
      <c r="DD127" s="4"/>
      <c r="DE127" s="4"/>
      <c r="DF127" s="4"/>
      <c r="DG127" s="4"/>
      <c r="DH127" s="4"/>
      <c r="DI127" s="4"/>
      <c r="DJ127" s="4"/>
    </row>
    <row r="128" spans="1:114" x14ac:dyDescent="0.3">
      <c r="A128" s="5" t="s">
        <v>207</v>
      </c>
      <c r="B128" s="11" t="s">
        <v>208</v>
      </c>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f>3*200/50*1000</f>
        <v>12000</v>
      </c>
      <c r="BF128" s="4"/>
      <c r="BG128" s="4"/>
      <c r="BH128" s="4"/>
      <c r="BI128" s="4"/>
      <c r="BJ128" s="4"/>
      <c r="BK128" s="4"/>
      <c r="BL128" s="4"/>
      <c r="BM128" s="4"/>
      <c r="BN128" s="4">
        <f>2*200/1.25/50*1000</f>
        <v>6400</v>
      </c>
      <c r="BO128" s="4"/>
      <c r="BP128" s="4">
        <v>6666.6666666666679</v>
      </c>
      <c r="BQ128" s="4"/>
      <c r="BR128" s="4"/>
      <c r="BS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W128" s="4"/>
      <c r="CX128" s="4"/>
      <c r="CY128" s="4"/>
      <c r="CZ128" s="4"/>
      <c r="DA128" s="4"/>
      <c r="DB128" s="4"/>
      <c r="DC128" s="4"/>
      <c r="DD128" s="4"/>
      <c r="DE128" s="4"/>
      <c r="DF128" s="4"/>
      <c r="DG128" s="4"/>
      <c r="DH128" s="4"/>
      <c r="DI128" s="4"/>
      <c r="DJ128" s="4"/>
    </row>
    <row r="129" spans="1:115" x14ac:dyDescent="0.3">
      <c r="B129" s="11" t="s">
        <v>209</v>
      </c>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v>2800</v>
      </c>
      <c r="AE129" s="4">
        <v>2800</v>
      </c>
      <c r="AF129" s="4">
        <v>1664</v>
      </c>
      <c r="AG129" s="4">
        <v>4400</v>
      </c>
      <c r="AH129" s="4">
        <v>5200</v>
      </c>
      <c r="AI129" s="4">
        <v>7600</v>
      </c>
      <c r="AJ129" s="4"/>
      <c r="AK129" s="4">
        <v>1200</v>
      </c>
      <c r="AL129" s="4">
        <v>5408</v>
      </c>
      <c r="AM129" s="4">
        <v>3600</v>
      </c>
      <c r="AN129" s="4">
        <v>4400</v>
      </c>
      <c r="AO129" s="4">
        <v>22400</v>
      </c>
      <c r="AP129" s="4">
        <v>2400</v>
      </c>
      <c r="AQ129" s="4">
        <v>2000</v>
      </c>
      <c r="AR129" s="4">
        <v>5200</v>
      </c>
      <c r="AS129" s="4"/>
      <c r="AT129" s="4">
        <v>2800</v>
      </c>
      <c r="AU129" s="4">
        <v>7200</v>
      </c>
      <c r="AV129" s="4">
        <v>800</v>
      </c>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W129" s="4"/>
      <c r="CX129" s="4"/>
      <c r="CY129" s="4"/>
      <c r="CZ129" s="4"/>
      <c r="DA129" s="4"/>
      <c r="DB129" s="4"/>
      <c r="DC129" s="4"/>
      <c r="DD129" s="4"/>
      <c r="DE129" s="4"/>
      <c r="DF129" s="4"/>
      <c r="DG129" s="4"/>
      <c r="DH129" s="4"/>
      <c r="DI129" s="4"/>
      <c r="DJ129" s="4"/>
    </row>
    <row r="130" spans="1:115" x14ac:dyDescent="0.3">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W130" s="4"/>
      <c r="CX130" s="4"/>
      <c r="CY130" s="4"/>
      <c r="CZ130" s="4"/>
      <c r="DA130" s="4"/>
      <c r="DB130" s="4"/>
      <c r="DC130" s="4"/>
      <c r="DD130" s="4"/>
      <c r="DE130" s="4"/>
      <c r="DF130" s="4">
        <v>26923.076923076922</v>
      </c>
      <c r="DG130" s="4"/>
      <c r="DH130" s="4"/>
      <c r="DI130" s="4"/>
      <c r="DJ130" s="4"/>
    </row>
    <row r="131" spans="1:115" x14ac:dyDescent="0.3">
      <c r="A131" s="5" t="s">
        <v>210</v>
      </c>
      <c r="B131" s="11" t="s">
        <v>211</v>
      </c>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U131" s="4"/>
      <c r="BV131" s="4"/>
      <c r="BW131" s="4"/>
      <c r="BX131" s="4"/>
      <c r="BY131" s="4"/>
      <c r="BZ131" s="4"/>
      <c r="CA131" s="4"/>
      <c r="CB131" s="4"/>
      <c r="CC131" s="4"/>
      <c r="CD131" s="4"/>
      <c r="CE131" s="4"/>
      <c r="CF131" s="4"/>
      <c r="CG131" s="4"/>
      <c r="CH131" s="4"/>
      <c r="CI131" s="4">
        <v>11764.705882352942</v>
      </c>
      <c r="CJ131" s="4"/>
      <c r="CK131" s="4"/>
      <c r="CL131" s="4"/>
      <c r="CM131" s="4"/>
      <c r="CN131" s="4"/>
      <c r="CO131" s="4"/>
      <c r="CP131" s="4"/>
      <c r="CQ131" s="4"/>
      <c r="CR131" s="4"/>
      <c r="CS131" s="4"/>
      <c r="CT131" s="4"/>
      <c r="CU131" s="4"/>
      <c r="CV131" s="2">
        <v>16000</v>
      </c>
      <c r="CW131" s="4">
        <v>1342.2818791946308</v>
      </c>
      <c r="CX131" s="4"/>
      <c r="CY131" s="4">
        <v>15686.274509803921</v>
      </c>
      <c r="CZ131" s="4"/>
      <c r="DA131" s="4"/>
      <c r="DB131" s="4">
        <v>25000</v>
      </c>
      <c r="DC131" s="4">
        <v>17857.142857142855</v>
      </c>
      <c r="DD131" s="4"/>
      <c r="DE131" s="4">
        <v>25454.545454545449</v>
      </c>
      <c r="DF131" s="4"/>
      <c r="DG131" s="4">
        <v>11538.461538461539</v>
      </c>
      <c r="DH131" s="4">
        <v>12000</v>
      </c>
      <c r="DI131" s="4">
        <v>20000</v>
      </c>
      <c r="DJ131" s="4">
        <v>7142.8571428571422</v>
      </c>
      <c r="DK131" s="4"/>
    </row>
    <row r="132" spans="1:115" x14ac:dyDescent="0.3">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W132" s="4"/>
      <c r="CX132" s="4"/>
      <c r="CY132" s="4"/>
      <c r="CZ132" s="4"/>
      <c r="DA132" s="4"/>
      <c r="DB132" s="4"/>
      <c r="DC132" s="4"/>
      <c r="DD132" s="4"/>
      <c r="DE132" s="4"/>
      <c r="DF132" s="4"/>
      <c r="DG132" s="4"/>
      <c r="DH132" s="4"/>
      <c r="DI132" s="4"/>
      <c r="DJ132" s="4"/>
    </row>
    <row r="133" spans="1:115" x14ac:dyDescent="0.3">
      <c r="A133" s="5" t="s">
        <v>212</v>
      </c>
      <c r="B133" s="11" t="s">
        <v>213</v>
      </c>
      <c r="C133" s="4"/>
      <c r="D133" s="4"/>
      <c r="E133" s="4">
        <v>48000</v>
      </c>
      <c r="F133" s="4">
        <v>36000</v>
      </c>
      <c r="G133" s="4">
        <f>1*200/42*1000</f>
        <v>4761.9047619047615</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f>32*200/50*1000</f>
        <v>128000</v>
      </c>
      <c r="AX133" s="4">
        <f>17*200/50*1000</f>
        <v>68000</v>
      </c>
      <c r="AY133" s="4">
        <f>43*200/50*1.27*1000</f>
        <v>218440</v>
      </c>
      <c r="AZ133" s="4">
        <f>14*200/50*1150</f>
        <v>64400</v>
      </c>
      <c r="BA133" s="4">
        <f>11*200/50*1050</f>
        <v>46200</v>
      </c>
      <c r="BB133" s="4">
        <f>18*200/50*1000</f>
        <v>72000</v>
      </c>
      <c r="BC133" s="4">
        <f>8*200/50*1000</f>
        <v>32000</v>
      </c>
      <c r="BD133" s="4">
        <f>2*200/50*1000</f>
        <v>8000</v>
      </c>
      <c r="BE133" s="4"/>
      <c r="BF133" s="4">
        <f>5*200*1.17/50*1000</f>
        <v>23400</v>
      </c>
      <c r="BG133" s="4">
        <f>23*200/50*1000</f>
        <v>92000</v>
      </c>
      <c r="BH133" s="4">
        <f>20*200*1.01/50*1000</f>
        <v>80800</v>
      </c>
      <c r="BI133" s="4">
        <f>49*200/50*1000</f>
        <v>196000</v>
      </c>
      <c r="BJ133" s="4"/>
      <c r="BK133" s="4"/>
      <c r="BL133" s="4"/>
      <c r="BM133" s="4"/>
      <c r="BN133" s="4">
        <f>2*200/1.25/50*1000</f>
        <v>6400</v>
      </c>
      <c r="BO133" s="4"/>
      <c r="BP133" s="4">
        <v>26666.666666666672</v>
      </c>
      <c r="BQ133" s="4"/>
      <c r="BR133" s="4"/>
      <c r="BS133" s="4"/>
      <c r="BT133" s="4">
        <v>8000</v>
      </c>
      <c r="BU133" s="4"/>
      <c r="BV133" s="4"/>
      <c r="BW133" s="4"/>
      <c r="BX133" s="4"/>
      <c r="BY133" s="4">
        <v>56000</v>
      </c>
      <c r="BZ133" s="4"/>
      <c r="CA133" s="4"/>
      <c r="CB133" s="4">
        <v>12000</v>
      </c>
      <c r="CC133" s="4">
        <v>3686.6359447004611</v>
      </c>
      <c r="CD133" s="4">
        <v>21428.571428571428</v>
      </c>
      <c r="CE133" s="4">
        <v>140000</v>
      </c>
      <c r="CF133" s="4"/>
      <c r="CG133" s="4"/>
      <c r="CH133" s="4">
        <v>267924.52830188675</v>
      </c>
      <c r="CI133" s="4">
        <v>200000</v>
      </c>
      <c r="CJ133" s="4">
        <v>203703.70370370371</v>
      </c>
      <c r="CK133" s="4">
        <v>19607.843137254902</v>
      </c>
      <c r="CL133" s="4">
        <v>21818.181818181816</v>
      </c>
      <c r="CM133" s="4">
        <v>84000</v>
      </c>
      <c r="CN133" s="4">
        <v>104000</v>
      </c>
      <c r="CO133" s="4">
        <v>45283.018867924533</v>
      </c>
      <c r="CP133" s="4">
        <v>29090.909090909088</v>
      </c>
      <c r="CQ133" s="4">
        <v>24999.999999999996</v>
      </c>
      <c r="CR133" s="4">
        <v>18461.538461538465</v>
      </c>
      <c r="CS133" s="4"/>
      <c r="CT133" s="4">
        <v>28000</v>
      </c>
      <c r="CU133" s="4">
        <v>11428.571428571429</v>
      </c>
      <c r="CV133" s="4"/>
      <c r="CW133" s="4">
        <v>6174.4966442953018</v>
      </c>
      <c r="CX133" s="4">
        <v>142857.14285714284</v>
      </c>
      <c r="CY133" s="4">
        <v>11764.705882352942</v>
      </c>
      <c r="CZ133" s="4">
        <v>98039.215686274518</v>
      </c>
      <c r="DA133" s="4"/>
      <c r="DB133" s="4">
        <v>117857.14285714284</v>
      </c>
      <c r="DC133" s="4">
        <v>128571.42857142855</v>
      </c>
      <c r="DD133" s="4">
        <v>26415.094339622639</v>
      </c>
      <c r="DE133" s="4">
        <v>123636.36363636363</v>
      </c>
      <c r="DF133" s="4">
        <v>207692.30769230772</v>
      </c>
      <c r="DG133" s="4">
        <v>176923.07692307691</v>
      </c>
      <c r="DH133" s="4">
        <v>68000</v>
      </c>
      <c r="DI133" s="4">
        <v>220000</v>
      </c>
      <c r="DJ133" s="4">
        <v>100000</v>
      </c>
      <c r="DK133" s="4"/>
    </row>
    <row r="134" spans="1:115" x14ac:dyDescent="0.3">
      <c r="A134" s="5"/>
      <c r="AW134" s="2"/>
      <c r="BE134" s="4"/>
      <c r="BF134" s="4"/>
      <c r="BG134" s="4"/>
      <c r="BH134" s="4"/>
      <c r="BI134" s="4"/>
      <c r="BJ134" s="4"/>
      <c r="BK134" s="4"/>
      <c r="BL134" s="4"/>
      <c r="BM134" s="4"/>
      <c r="BN134" s="4"/>
      <c r="BO134" s="4"/>
      <c r="BP134" s="4"/>
      <c r="BQ134" s="4"/>
      <c r="BR134" s="4"/>
      <c r="BS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W134" s="4"/>
      <c r="CX134" s="4"/>
      <c r="CY134" s="4"/>
      <c r="CZ134" s="4"/>
      <c r="DA134" s="4"/>
      <c r="DB134" s="4"/>
      <c r="DC134" s="4"/>
      <c r="DD134" s="4"/>
      <c r="DE134" s="4"/>
      <c r="DF134" s="4"/>
      <c r="DG134" s="4"/>
      <c r="DH134" s="4"/>
      <c r="DI134" s="4"/>
      <c r="DJ134" s="4"/>
    </row>
    <row r="135" spans="1:115" x14ac:dyDescent="0.3">
      <c r="A135" s="5" t="s">
        <v>214</v>
      </c>
      <c r="B135" s="11" t="s">
        <v>215</v>
      </c>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f>10*200*1.17/50*1000</f>
        <v>46800</v>
      </c>
      <c r="BG135" s="4"/>
      <c r="BH135" s="4"/>
      <c r="BI135" s="4">
        <v>16000</v>
      </c>
      <c r="BJ135" s="4">
        <f>18*200/50*1000</f>
        <v>72000</v>
      </c>
      <c r="BK135" s="4"/>
      <c r="BL135" s="4"/>
      <c r="BM135" s="4"/>
      <c r="BN135" s="4"/>
      <c r="BO135" s="4"/>
      <c r="BP135" s="4"/>
      <c r="BQ135" s="4"/>
      <c r="BR135" s="4"/>
      <c r="BS135" s="4"/>
      <c r="BU135" s="4"/>
      <c r="BV135" s="4"/>
      <c r="BW135" s="4"/>
      <c r="BX135" s="4"/>
      <c r="BY135" s="4"/>
      <c r="BZ135" s="4"/>
      <c r="CA135" s="4"/>
      <c r="CB135" s="4"/>
      <c r="CC135" s="4">
        <v>3686.6359447004611</v>
      </c>
      <c r="CD135" s="4">
        <v>7142.8571428571422</v>
      </c>
      <c r="CE135" s="4">
        <v>4000</v>
      </c>
      <c r="CF135" s="4"/>
      <c r="CG135" s="4"/>
      <c r="CH135" s="4"/>
      <c r="CI135" s="4"/>
      <c r="CJ135" s="4"/>
      <c r="CK135" s="4"/>
      <c r="CL135" s="4"/>
      <c r="CM135" s="4">
        <v>8000</v>
      </c>
      <c r="CN135" s="4"/>
      <c r="CO135" s="4"/>
      <c r="CP135" s="4"/>
      <c r="CQ135" s="4"/>
      <c r="CR135" s="4"/>
      <c r="CS135" s="4"/>
      <c r="CT135" s="4"/>
      <c r="CU135" s="4"/>
      <c r="CW135" s="4">
        <v>536.91275167785238</v>
      </c>
      <c r="CX135" s="4"/>
      <c r="CY135" s="4"/>
      <c r="CZ135" s="4"/>
      <c r="DA135" s="4"/>
      <c r="DB135" s="4"/>
      <c r="DC135" s="4">
        <v>25000</v>
      </c>
      <c r="DD135" s="4">
        <v>3773.5849056603774</v>
      </c>
      <c r="DE135" s="4">
        <v>10909.090909090908</v>
      </c>
      <c r="DF135" s="4"/>
      <c r="DG135" s="4"/>
      <c r="DH135" s="4">
        <v>12000</v>
      </c>
      <c r="DI135" s="4"/>
      <c r="DJ135" s="4"/>
    </row>
    <row r="136" spans="1:115" x14ac:dyDescent="0.3">
      <c r="B136" s="11" t="s">
        <v>216</v>
      </c>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f>33*200*1.17/50*1000</f>
        <v>154439.99999999997</v>
      </c>
      <c r="BG136" s="4"/>
      <c r="BH136" s="4"/>
      <c r="BI136" s="4"/>
      <c r="BJ136" s="4"/>
      <c r="BK136" s="4"/>
      <c r="BL136" s="4"/>
      <c r="BM136" s="4"/>
      <c r="BN136" s="4"/>
      <c r="BO136" s="4"/>
      <c r="BP136" s="4"/>
      <c r="BQ136" s="4"/>
      <c r="BR136" s="4"/>
      <c r="BS136" s="4"/>
      <c r="BT136" s="4">
        <v>4000</v>
      </c>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W136" s="4"/>
      <c r="CX136" s="4"/>
      <c r="CY136" s="4"/>
      <c r="CZ136" s="4"/>
      <c r="DA136" s="4"/>
      <c r="DB136" s="4"/>
      <c r="DC136" s="4"/>
      <c r="DD136" s="4"/>
      <c r="DE136" s="4"/>
      <c r="DF136" s="4"/>
      <c r="DG136" s="4"/>
      <c r="DH136" s="4"/>
      <c r="DI136" s="4"/>
      <c r="DJ136" s="4"/>
    </row>
    <row r="137" spans="1:115" x14ac:dyDescent="0.3">
      <c r="B137" s="11" t="s">
        <v>217</v>
      </c>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v>4000</v>
      </c>
      <c r="AS137" s="4"/>
      <c r="AT137" s="4">
        <v>12800</v>
      </c>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W137" s="4"/>
      <c r="CX137" s="4"/>
      <c r="CY137" s="4"/>
      <c r="CZ137" s="4"/>
      <c r="DA137" s="4"/>
      <c r="DB137" s="4"/>
      <c r="DC137" s="4"/>
      <c r="DD137" s="4"/>
      <c r="DE137" s="4"/>
      <c r="DF137" s="4"/>
      <c r="DG137" s="4"/>
      <c r="DH137" s="4"/>
      <c r="DI137" s="4"/>
      <c r="DJ137" s="4"/>
    </row>
    <row r="138" spans="1:115" x14ac:dyDescent="0.3">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W138" s="4"/>
      <c r="CX138" s="4"/>
      <c r="CY138" s="4"/>
      <c r="CZ138" s="4"/>
      <c r="DA138" s="4"/>
      <c r="DB138" s="4"/>
      <c r="DC138" s="4"/>
      <c r="DD138" s="4"/>
      <c r="DE138" s="4"/>
      <c r="DF138" s="4"/>
      <c r="DG138" s="4"/>
      <c r="DH138" s="4"/>
      <c r="DI138" s="4"/>
      <c r="DJ138" s="4"/>
    </row>
    <row r="139" spans="1:115" x14ac:dyDescent="0.3">
      <c r="A139" s="5" t="s">
        <v>218</v>
      </c>
      <c r="B139" s="11" t="s">
        <v>219</v>
      </c>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f>1*200/50*1000</f>
        <v>4000</v>
      </c>
      <c r="AX139" s="4">
        <f>3*200/50*1000</f>
        <v>12000</v>
      </c>
      <c r="AY139" s="4">
        <f>1*200/50*1.27*1000</f>
        <v>5080</v>
      </c>
      <c r="AZ139" s="4">
        <f>6*200/50*1150</f>
        <v>27600</v>
      </c>
      <c r="BA139" s="4">
        <f>4*200/50*1050</f>
        <v>16800</v>
      </c>
      <c r="BB139" s="4">
        <f>3*200/50*1000</f>
        <v>12000</v>
      </c>
      <c r="BC139" s="4">
        <f>1*200/50*1000</f>
        <v>4000</v>
      </c>
      <c r="BD139" s="4"/>
      <c r="BE139" s="4"/>
      <c r="BF139" s="4">
        <f>1*200*1.17/50*1000</f>
        <v>4680</v>
      </c>
      <c r="BG139" s="4"/>
      <c r="BH139" s="4"/>
      <c r="BI139" s="4">
        <v>4000</v>
      </c>
      <c r="BJ139" s="4"/>
      <c r="BK139" s="4"/>
      <c r="BL139" s="4"/>
      <c r="BM139" s="4"/>
      <c r="BN139" s="4"/>
      <c r="BO139" s="4">
        <v>3200</v>
      </c>
      <c r="BP139" s="4">
        <v>6666.6666666666679</v>
      </c>
      <c r="BQ139" s="4">
        <v>980.39215686274508</v>
      </c>
      <c r="BR139" s="4"/>
      <c r="BS139" s="4"/>
      <c r="BU139" s="4"/>
      <c r="BV139" s="4"/>
      <c r="BW139" s="4"/>
      <c r="BX139" s="4"/>
      <c r="BY139" s="4"/>
      <c r="BZ139" s="4"/>
      <c r="CA139" s="4"/>
      <c r="CB139" s="4"/>
      <c r="CC139" s="4"/>
      <c r="CD139" s="4"/>
      <c r="CE139" s="4">
        <v>12000</v>
      </c>
      <c r="CF139" s="4"/>
      <c r="CG139" s="4"/>
      <c r="CH139" s="4">
        <v>3773.5849056603774</v>
      </c>
      <c r="CI139" s="4">
        <v>3921.5686274509803</v>
      </c>
      <c r="CJ139" s="4">
        <v>3703.7037037037035</v>
      </c>
      <c r="CK139" s="4"/>
      <c r="CL139" s="4">
        <v>7272.7272727272721</v>
      </c>
      <c r="CM139" s="4">
        <v>12000</v>
      </c>
      <c r="CN139" s="4">
        <v>12000</v>
      </c>
      <c r="CO139" s="4">
        <v>3773.5849056603774</v>
      </c>
      <c r="CP139" s="4">
        <v>3636.363636363636</v>
      </c>
      <c r="CQ139" s="4"/>
      <c r="CR139" s="4"/>
      <c r="CS139" s="4">
        <v>3389.8305084745766</v>
      </c>
      <c r="CT139" s="4"/>
      <c r="CU139" s="4">
        <v>3809.5238095238096</v>
      </c>
      <c r="CW139" s="4">
        <v>1879.1946308724832</v>
      </c>
      <c r="CX139" s="4">
        <v>3571.4285714285711</v>
      </c>
      <c r="CY139" s="4"/>
      <c r="CZ139" s="4">
        <v>7843.1372549019607</v>
      </c>
      <c r="DA139" s="4"/>
      <c r="DB139" s="4">
        <v>10714.285714285714</v>
      </c>
      <c r="DC139" s="4">
        <v>14285.714285714284</v>
      </c>
      <c r="DD139" s="4">
        <v>3773.5849056603774</v>
      </c>
      <c r="DE139" s="4"/>
      <c r="DF139" s="4">
        <v>3846.1538461538457</v>
      </c>
      <c r="DG139" s="4">
        <v>7692.3076923076915</v>
      </c>
      <c r="DH139" s="4"/>
      <c r="DI139" s="4">
        <v>4000</v>
      </c>
      <c r="DJ139" s="4">
        <v>3571.4285714285711</v>
      </c>
      <c r="DK139" s="4"/>
    </row>
    <row r="140" spans="1:115" x14ac:dyDescent="0.3">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W140" s="4"/>
      <c r="CX140" s="4"/>
      <c r="CY140" s="4"/>
      <c r="CZ140" s="4"/>
      <c r="DA140" s="4"/>
      <c r="DB140" s="4"/>
      <c r="DC140" s="4"/>
      <c r="DD140" s="4"/>
      <c r="DE140" s="4"/>
      <c r="DF140" s="4"/>
      <c r="DG140" s="4"/>
      <c r="DH140" s="4"/>
      <c r="DI140" s="4"/>
      <c r="DJ140" s="4"/>
    </row>
    <row r="141" spans="1:115" x14ac:dyDescent="0.3">
      <c r="A141" s="5" t="s">
        <v>220</v>
      </c>
      <c r="B141" s="11" t="s">
        <v>221</v>
      </c>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f>1*200/1.25/50*1000</f>
        <v>3200</v>
      </c>
      <c r="BO141" s="4">
        <v>400000</v>
      </c>
      <c r="BP141" s="4">
        <v>333333.33333333337</v>
      </c>
      <c r="BQ141" s="4"/>
      <c r="BR141" s="4"/>
      <c r="BS141" s="4">
        <v>24000</v>
      </c>
      <c r="BT141" s="4">
        <v>24000</v>
      </c>
      <c r="BU141" s="4"/>
      <c r="BV141" s="4"/>
      <c r="BW141" s="4"/>
      <c r="BX141" s="4"/>
      <c r="BY141" s="4"/>
      <c r="BZ141" s="4"/>
      <c r="CA141" s="4"/>
      <c r="CB141" s="4"/>
      <c r="CC141" s="4">
        <v>3686.6359447004611</v>
      </c>
      <c r="CD141" s="4"/>
      <c r="CE141" s="4"/>
      <c r="CF141" s="4"/>
      <c r="CG141" s="4"/>
      <c r="CH141" s="4">
        <v>18867.924528301883</v>
      </c>
      <c r="CI141" s="4">
        <v>47058.823529411769</v>
      </c>
      <c r="CJ141" s="4">
        <v>55555.555555555547</v>
      </c>
      <c r="CK141" s="4">
        <v>541176.47058823542</v>
      </c>
      <c r="CL141" s="4">
        <v>87272.727272727265</v>
      </c>
      <c r="CM141" s="4">
        <v>96000</v>
      </c>
      <c r="CN141" s="4">
        <v>52000</v>
      </c>
      <c r="CO141" s="4">
        <v>7547.1698113207549</v>
      </c>
      <c r="CP141" s="4">
        <v>10909.090909090908</v>
      </c>
      <c r="CQ141" s="4">
        <v>10714.285714285714</v>
      </c>
      <c r="CR141" s="4">
        <v>3076.9230769230767</v>
      </c>
      <c r="CS141" s="4">
        <v>3389.8305084745766</v>
      </c>
      <c r="CT141" s="4">
        <v>12000</v>
      </c>
      <c r="CU141" s="4">
        <v>11428.571428571429</v>
      </c>
      <c r="CV141" s="4">
        <v>12000</v>
      </c>
      <c r="CW141" s="4">
        <v>1879.1946308724832</v>
      </c>
      <c r="CX141" s="4">
        <v>3571.4285714285711</v>
      </c>
      <c r="CY141" s="4">
        <v>11764.705882352942</v>
      </c>
      <c r="CZ141" s="4">
        <v>19607.843137254902</v>
      </c>
      <c r="DA141" s="4"/>
      <c r="DB141" s="4">
        <v>21428.571428571428</v>
      </c>
      <c r="DC141" s="4">
        <v>21428.571428571428</v>
      </c>
      <c r="DD141" s="4">
        <v>7547.1698113207549</v>
      </c>
      <c r="DE141" s="4">
        <v>32727.272727272728</v>
      </c>
      <c r="DF141" s="4">
        <v>19230.76923076923</v>
      </c>
      <c r="DG141" s="4">
        <v>19230.76923076923</v>
      </c>
      <c r="DH141" s="4">
        <v>28000</v>
      </c>
      <c r="DI141" s="4">
        <v>16000</v>
      </c>
      <c r="DJ141" s="4">
        <v>3571.4285714285711</v>
      </c>
      <c r="DK141" s="4"/>
    </row>
    <row r="142" spans="1:115" x14ac:dyDescent="0.3">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W142" s="4"/>
      <c r="CX142" s="4"/>
      <c r="CY142" s="4"/>
      <c r="CZ142" s="4"/>
      <c r="DA142" s="4"/>
      <c r="DB142" s="4"/>
      <c r="DC142" s="4"/>
      <c r="DD142" s="4"/>
      <c r="DE142" s="4"/>
      <c r="DF142" s="4"/>
      <c r="DG142" s="4"/>
      <c r="DH142" s="4"/>
      <c r="DI142" s="4"/>
      <c r="DJ142" s="4"/>
    </row>
    <row r="144" spans="1:115" x14ac:dyDescent="0.3">
      <c r="A144" s="5" t="s">
        <v>222</v>
      </c>
      <c r="B144" s="11" t="s">
        <v>223</v>
      </c>
      <c r="C144" s="4"/>
      <c r="D144" s="4"/>
      <c r="E144" s="4"/>
      <c r="F144" s="4"/>
      <c r="G144" s="4"/>
      <c r="H144" s="4">
        <f>0.5*200/45*1000</f>
        <v>2222.2222222222222</v>
      </c>
      <c r="I144" s="4"/>
      <c r="J144" s="4"/>
      <c r="K144" s="4"/>
      <c r="L144" s="4"/>
      <c r="M144" s="4">
        <v>8988</v>
      </c>
      <c r="N144" s="4">
        <v>13520</v>
      </c>
      <c r="O144" s="4">
        <v>10712</v>
      </c>
      <c r="P144" s="4">
        <v>4708</v>
      </c>
      <c r="Q144" s="4">
        <v>4664</v>
      </c>
      <c r="R144" s="4">
        <v>9152</v>
      </c>
      <c r="S144" s="4">
        <v>8000</v>
      </c>
      <c r="T144" s="4">
        <v>3200</v>
      </c>
      <c r="U144" s="4">
        <v>4800</v>
      </c>
      <c r="V144" s="4">
        <v>3600</v>
      </c>
      <c r="W144" s="4">
        <v>30488</v>
      </c>
      <c r="X144" s="4">
        <v>23956</v>
      </c>
      <c r="Y144" s="4">
        <v>18000</v>
      </c>
      <c r="Z144" s="4">
        <v>17200</v>
      </c>
      <c r="AA144" s="4">
        <v>11040</v>
      </c>
      <c r="AB144" s="4">
        <v>19980</v>
      </c>
      <c r="AC144" s="4">
        <v>6800</v>
      </c>
      <c r="AD144" s="4">
        <v>16800</v>
      </c>
      <c r="AE144" s="4">
        <v>5200</v>
      </c>
      <c r="AF144" s="4">
        <v>13312</v>
      </c>
      <c r="AG144" s="4">
        <v>80000</v>
      </c>
      <c r="AH144" s="4">
        <v>16800</v>
      </c>
      <c r="AI144" s="4">
        <v>15200</v>
      </c>
      <c r="AJ144" s="4"/>
      <c r="AK144" s="4">
        <v>19600</v>
      </c>
      <c r="AL144" s="4">
        <v>65728</v>
      </c>
      <c r="AM144" s="4">
        <v>13600</v>
      </c>
      <c r="AN144" s="4">
        <v>6400</v>
      </c>
      <c r="AO144" s="4">
        <v>55600</v>
      </c>
      <c r="AP144" s="4">
        <v>6800</v>
      </c>
      <c r="AQ144" s="4">
        <v>3200</v>
      </c>
      <c r="AR144" s="4">
        <v>6800</v>
      </c>
      <c r="AS144" s="4"/>
      <c r="AT144" s="4">
        <v>5200</v>
      </c>
      <c r="AU144" s="4">
        <v>7400</v>
      </c>
      <c r="AV144" s="4">
        <v>26400</v>
      </c>
      <c r="AW144" s="4">
        <f>95*200/50*1000</f>
        <v>380000</v>
      </c>
      <c r="AX144" s="4">
        <f>12*200/50*1000</f>
        <v>48000</v>
      </c>
      <c r="AY144" s="4"/>
      <c r="AZ144" s="4">
        <f>1*200/50*1150</f>
        <v>4600</v>
      </c>
      <c r="BA144" s="4">
        <f>13*200/50*1050</f>
        <v>54600</v>
      </c>
      <c r="BB144" s="4">
        <f>181*200/50*1000</f>
        <v>724000</v>
      </c>
      <c r="BC144" s="4">
        <f>8*200/50*1000</f>
        <v>32000</v>
      </c>
      <c r="BD144" s="4">
        <f>1*200/50*1000</f>
        <v>4000</v>
      </c>
      <c r="BE144" s="4"/>
      <c r="BF144" s="4"/>
      <c r="BG144" s="4">
        <f>4*200/50*1000</f>
        <v>16000</v>
      </c>
      <c r="BH144" s="4">
        <f>2*200*1.01/50*1000</f>
        <v>8080</v>
      </c>
      <c r="BI144" s="4"/>
      <c r="BJ144" s="4"/>
      <c r="BK144" s="4"/>
      <c r="BL144" s="4"/>
      <c r="BM144" s="4"/>
      <c r="BN144" s="4">
        <f>3*200/1.25/50*1000</f>
        <v>9600</v>
      </c>
      <c r="BO144" s="4"/>
      <c r="BP144" s="4">
        <v>3333.3333333333339</v>
      </c>
      <c r="BQ144" s="4"/>
      <c r="BR144" s="4"/>
      <c r="BS144" s="4">
        <v>8000</v>
      </c>
      <c r="BT144" s="4">
        <v>16000</v>
      </c>
      <c r="BU144" s="4"/>
      <c r="BV144" s="4"/>
      <c r="BW144" s="4"/>
      <c r="BX144" s="4"/>
      <c r="BY144" s="4">
        <v>8000</v>
      </c>
      <c r="BZ144" s="4"/>
      <c r="CA144" s="4">
        <v>5714.2857142857147</v>
      </c>
      <c r="CB144" s="4"/>
      <c r="CC144" s="4">
        <v>18433.179723502308</v>
      </c>
      <c r="CD144" s="4">
        <v>3571.4285714285711</v>
      </c>
      <c r="CE144" s="4">
        <v>124000</v>
      </c>
      <c r="CF144" s="4"/>
      <c r="CG144" s="4"/>
      <c r="CH144" s="4">
        <v>26415.094339622639</v>
      </c>
      <c r="CI144" s="4">
        <v>7843.1372549019607</v>
      </c>
      <c r="CJ144" s="4">
        <v>51851.851851851854</v>
      </c>
      <c r="CK144" s="4">
        <v>364705.8823529412</v>
      </c>
      <c r="CL144" s="4">
        <v>141818.18181818182</v>
      </c>
      <c r="CM144" s="4">
        <v>352000</v>
      </c>
      <c r="CN144" s="4">
        <v>172000</v>
      </c>
      <c r="CO144" s="4">
        <v>7547.1698113207549</v>
      </c>
      <c r="CP144" s="4">
        <v>36363.63636363636</v>
      </c>
      <c r="CQ144" s="4">
        <v>24999.999999999996</v>
      </c>
      <c r="CR144" s="4">
        <v>33846.153846153837</v>
      </c>
      <c r="CS144" s="4">
        <v>33898.305084745763</v>
      </c>
      <c r="CT144" s="4">
        <v>44000</v>
      </c>
      <c r="CU144" s="4">
        <v>26666.666666666664</v>
      </c>
      <c r="CV144" s="4">
        <v>32000</v>
      </c>
      <c r="CW144" s="4">
        <v>1879.1946308724832</v>
      </c>
      <c r="CX144" s="4">
        <v>103571.42857142857</v>
      </c>
      <c r="CY144" s="4">
        <v>35294.117647058825</v>
      </c>
      <c r="CZ144" s="4">
        <v>78431.372549019608</v>
      </c>
      <c r="DA144" s="4"/>
      <c r="DB144" s="4">
        <v>114285.71428571428</v>
      </c>
      <c r="DC144" s="4">
        <v>92857.142857142841</v>
      </c>
      <c r="DD144" s="4">
        <v>26415.094339622639</v>
      </c>
      <c r="DE144" s="4">
        <v>54545.454545454537</v>
      </c>
      <c r="DF144" s="4">
        <v>111538.46153846155</v>
      </c>
      <c r="DG144" s="4">
        <v>84615.38461538461</v>
      </c>
      <c r="DH144" s="4">
        <v>28000</v>
      </c>
      <c r="DI144" s="4">
        <v>52000</v>
      </c>
      <c r="DJ144" s="4">
        <v>25000</v>
      </c>
      <c r="DK144" s="4"/>
    </row>
    <row r="145" spans="1:115" x14ac:dyDescent="0.3">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W145" s="4"/>
      <c r="CX145" s="4"/>
      <c r="CY145" s="4"/>
      <c r="CZ145" s="4"/>
      <c r="DA145" s="4"/>
      <c r="DB145" s="4"/>
      <c r="DC145" s="4"/>
      <c r="DD145" s="4"/>
      <c r="DE145" s="4"/>
      <c r="DF145" s="4"/>
      <c r="DG145" s="4"/>
      <c r="DH145" s="4"/>
      <c r="DI145" s="4"/>
      <c r="DJ145" s="4"/>
    </row>
    <row r="146" spans="1:115" x14ac:dyDescent="0.3">
      <c r="A146" s="5" t="s">
        <v>224</v>
      </c>
      <c r="B146" s="11" t="s">
        <v>225</v>
      </c>
      <c r="C146" s="4"/>
      <c r="D146" s="4">
        <f>78*200/50*1000</f>
        <v>312000</v>
      </c>
      <c r="E146" s="4">
        <v>124000</v>
      </c>
      <c r="F146" s="4">
        <v>32000</v>
      </c>
      <c r="G146" s="4">
        <f>154*200/42*1000</f>
        <v>733333.33333333337</v>
      </c>
      <c r="H146" s="4"/>
      <c r="I146" s="4">
        <f>0.6*200*1.04/50*1000</f>
        <v>2496.0000000000005</v>
      </c>
      <c r="J146" s="4">
        <f>1.7*200/50*1000</f>
        <v>6800</v>
      </c>
      <c r="K146" s="4">
        <f>0.4*200*1.03/50*1000</f>
        <v>1648.0000000000002</v>
      </c>
      <c r="L146" s="4">
        <v>3600</v>
      </c>
      <c r="M146" s="4">
        <v>2996</v>
      </c>
      <c r="N146" s="4">
        <v>23920</v>
      </c>
      <c r="O146" s="4">
        <v>193640</v>
      </c>
      <c r="P146" s="4">
        <v>98440</v>
      </c>
      <c r="Q146" s="4">
        <v>28408</v>
      </c>
      <c r="R146" s="4">
        <v>83200</v>
      </c>
      <c r="S146" s="4">
        <v>108000</v>
      </c>
      <c r="T146" s="4">
        <v>44000</v>
      </c>
      <c r="U146" s="4">
        <v>23200</v>
      </c>
      <c r="V146" s="4">
        <v>21600</v>
      </c>
      <c r="W146" s="4">
        <v>73748</v>
      </c>
      <c r="X146" s="4">
        <v>69608</v>
      </c>
      <c r="Y146" s="4">
        <v>168000</v>
      </c>
      <c r="Z146" s="4">
        <v>232800</v>
      </c>
      <c r="AA146" s="4">
        <v>111780</v>
      </c>
      <c r="AB146" s="4">
        <v>131424</v>
      </c>
      <c r="AC146" s="4">
        <v>88000</v>
      </c>
      <c r="AD146" s="4">
        <v>192400</v>
      </c>
      <c r="AE146" s="4">
        <v>59600</v>
      </c>
      <c r="AF146" s="4">
        <v>32864</v>
      </c>
      <c r="AG146" s="4">
        <v>6800</v>
      </c>
      <c r="AH146" s="4">
        <v>41200</v>
      </c>
      <c r="AI146" s="4">
        <v>89200</v>
      </c>
      <c r="AJ146" s="4"/>
      <c r="AK146" s="4">
        <v>95200</v>
      </c>
      <c r="AL146" s="4">
        <v>219232</v>
      </c>
      <c r="AM146" s="4">
        <v>171600</v>
      </c>
      <c r="AN146" s="4">
        <v>67200</v>
      </c>
      <c r="AO146" s="4">
        <v>157600</v>
      </c>
      <c r="AP146" s="4">
        <v>75200</v>
      </c>
      <c r="AQ146" s="4">
        <v>96800</v>
      </c>
      <c r="AR146" s="4">
        <v>44800</v>
      </c>
      <c r="AS146" s="4"/>
      <c r="AT146" s="4">
        <v>110400</v>
      </c>
      <c r="AU146" s="4">
        <v>20800</v>
      </c>
      <c r="AV146" s="4">
        <v>59600</v>
      </c>
      <c r="AW146" s="4">
        <f>237*200/50*1000</f>
        <v>948000</v>
      </c>
      <c r="AX146" s="4">
        <f>101*200/50*1000</f>
        <v>404000</v>
      </c>
      <c r="AY146" s="4">
        <f>72*200/50*1.27*1000</f>
        <v>365760</v>
      </c>
      <c r="AZ146" s="4">
        <f>58*200/50*1150</f>
        <v>266800</v>
      </c>
      <c r="BA146" s="4">
        <f>9*200/50*1050</f>
        <v>37800</v>
      </c>
      <c r="BB146" s="4">
        <f>365*200/50*1000</f>
        <v>1460000</v>
      </c>
      <c r="BC146" s="4">
        <f>64*200/50*1000</f>
        <v>256000</v>
      </c>
      <c r="BD146" s="4">
        <f>15*200/50*1000</f>
        <v>60000</v>
      </c>
      <c r="BE146" s="4">
        <f>7*200/50*1000</f>
        <v>28000</v>
      </c>
      <c r="BF146" s="4">
        <f>28*200*1.17/50*1000</f>
        <v>131039.99999999999</v>
      </c>
      <c r="BG146" s="4">
        <f>71*200/50*1000</f>
        <v>284000</v>
      </c>
      <c r="BH146" s="4">
        <f>13*200*1.01/50*1000</f>
        <v>52520</v>
      </c>
      <c r="BI146" s="4">
        <f>51*200/50*1000</f>
        <v>204000</v>
      </c>
      <c r="BJ146" s="4">
        <v>8000</v>
      </c>
      <c r="BK146" s="4"/>
      <c r="BL146" s="4"/>
      <c r="BM146" s="4"/>
      <c r="BN146" s="4"/>
      <c r="BO146" s="4"/>
      <c r="BP146" s="4"/>
      <c r="BQ146" s="4"/>
      <c r="BR146" s="4"/>
      <c r="BS146" s="4">
        <v>96000</v>
      </c>
      <c r="BT146" s="4">
        <v>44000</v>
      </c>
      <c r="BU146" s="4"/>
      <c r="BV146" s="4"/>
      <c r="BW146" s="4"/>
      <c r="BX146" s="4"/>
      <c r="BY146" s="4">
        <v>64000</v>
      </c>
      <c r="BZ146" s="4"/>
      <c r="CA146" s="4">
        <v>388571.42857142864</v>
      </c>
      <c r="CB146" s="4">
        <v>208000</v>
      </c>
      <c r="CC146" s="4"/>
      <c r="CD146" s="4">
        <v>53571.428571428572</v>
      </c>
      <c r="CE146" s="4">
        <v>604000</v>
      </c>
      <c r="CF146" s="4"/>
      <c r="CG146" s="4"/>
      <c r="CH146" s="4">
        <v>592452.83018867916</v>
      </c>
      <c r="CI146" s="4">
        <v>733333.33333333326</v>
      </c>
      <c r="CJ146" s="4">
        <v>1811111.1111111108</v>
      </c>
      <c r="CK146" s="4">
        <v>882352.9411764706</v>
      </c>
      <c r="CL146" s="4">
        <v>360000</v>
      </c>
      <c r="CM146" s="4">
        <v>440000</v>
      </c>
      <c r="CN146" s="4">
        <v>452000</v>
      </c>
      <c r="CO146" s="4">
        <v>237735.84905660377</v>
      </c>
      <c r="CP146" s="4">
        <v>203636.36363636359</v>
      </c>
      <c r="CQ146" s="4">
        <v>224999.99999999997</v>
      </c>
      <c r="CR146" s="4">
        <v>92307.692307692312</v>
      </c>
      <c r="CS146" s="4">
        <v>84745.762711864416</v>
      </c>
      <c r="CT146" s="4">
        <v>180000</v>
      </c>
      <c r="CU146" s="4">
        <v>110476.19047619049</v>
      </c>
      <c r="CV146" s="4">
        <v>296000</v>
      </c>
      <c r="CW146" s="4">
        <v>16912.75167785235</v>
      </c>
      <c r="CX146" s="4">
        <v>396428.57142857136</v>
      </c>
      <c r="CY146" s="4">
        <v>82352.941176470587</v>
      </c>
      <c r="CZ146" s="4">
        <v>227450.98039215684</v>
      </c>
      <c r="DA146" s="4"/>
      <c r="DB146" s="4">
        <v>232142.85714285713</v>
      </c>
      <c r="DC146" s="4">
        <v>232142.85714285713</v>
      </c>
      <c r="DD146" s="4">
        <v>113207.54716981133</v>
      </c>
      <c r="DE146" s="4">
        <v>240000</v>
      </c>
      <c r="DF146" s="4">
        <v>250000</v>
      </c>
      <c r="DG146" s="4">
        <v>242307.69230769228</v>
      </c>
      <c r="DH146" s="4">
        <v>196000</v>
      </c>
      <c r="DI146" s="4">
        <v>160000</v>
      </c>
      <c r="DJ146" s="4">
        <v>150000</v>
      </c>
      <c r="DK146" s="4"/>
    </row>
  </sheetData>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3A953-40A9-4FC4-9858-8D9770B91089}">
  <dimension ref="A1:V420"/>
  <sheetViews>
    <sheetView workbookViewId="0"/>
  </sheetViews>
  <sheetFormatPr defaultColWidth="9.88671875" defaultRowHeight="15" x14ac:dyDescent="0.3"/>
  <cols>
    <col min="1" max="20" width="9.88671875" style="31"/>
    <col min="21" max="21" width="16.33203125" style="31" customWidth="1"/>
    <col min="22" max="16384" width="9.88671875" style="31"/>
  </cols>
  <sheetData>
    <row r="1" spans="1:22" s="29" customFormat="1" ht="15.6" x14ac:dyDescent="0.3">
      <c r="A1" s="28" t="s">
        <v>619</v>
      </c>
      <c r="B1" s="28"/>
      <c r="C1" s="28"/>
      <c r="D1" s="28"/>
      <c r="E1" s="28"/>
      <c r="F1" s="28"/>
      <c r="G1" s="28"/>
      <c r="H1" s="28"/>
      <c r="I1" s="28"/>
      <c r="J1" s="28"/>
      <c r="K1" s="28"/>
      <c r="L1" s="28"/>
      <c r="M1" s="28"/>
      <c r="N1" s="28"/>
      <c r="O1" s="28"/>
      <c r="P1" s="28"/>
      <c r="Q1" s="28"/>
      <c r="R1" s="28"/>
      <c r="S1" s="28"/>
      <c r="T1" s="28"/>
      <c r="U1" s="28"/>
      <c r="V1" s="29" t="s">
        <v>226</v>
      </c>
    </row>
    <row r="2" spans="1:22" x14ac:dyDescent="0.3">
      <c r="A2" s="30" t="s">
        <v>227</v>
      </c>
    </row>
    <row r="3" spans="1:22" x14ac:dyDescent="0.3">
      <c r="A3" s="30" t="s">
        <v>228</v>
      </c>
    </row>
    <row r="4" spans="1:22" x14ac:dyDescent="0.3">
      <c r="A4" s="30" t="s">
        <v>229</v>
      </c>
    </row>
    <row r="5" spans="1:22" x14ac:dyDescent="0.3">
      <c r="A5" s="30" t="s">
        <v>230</v>
      </c>
    </row>
    <row r="6" spans="1:22" x14ac:dyDescent="0.3">
      <c r="A6" s="30" t="s">
        <v>231</v>
      </c>
    </row>
    <row r="7" spans="1:22" x14ac:dyDescent="0.3">
      <c r="A7" s="30" t="s">
        <v>228</v>
      </c>
    </row>
    <row r="8" spans="1:22" x14ac:dyDescent="0.3">
      <c r="A8" s="30" t="s">
        <v>232</v>
      </c>
    </row>
    <row r="9" spans="1:22" x14ac:dyDescent="0.3">
      <c r="A9" s="30" t="s">
        <v>233</v>
      </c>
    </row>
    <row r="10" spans="1:22" x14ac:dyDescent="0.3">
      <c r="A10" s="30" t="s">
        <v>234</v>
      </c>
    </row>
    <row r="11" spans="1:22" x14ac:dyDescent="0.3">
      <c r="A11" s="30" t="s">
        <v>235</v>
      </c>
    </row>
    <row r="12" spans="1:22" x14ac:dyDescent="0.3">
      <c r="A12" s="30" t="s">
        <v>236</v>
      </c>
    </row>
    <row r="13" spans="1:22" x14ac:dyDescent="0.3">
      <c r="A13" s="30" t="s">
        <v>237</v>
      </c>
    </row>
    <row r="14" spans="1:22" x14ac:dyDescent="0.3">
      <c r="A14" s="30" t="s">
        <v>238</v>
      </c>
    </row>
    <row r="15" spans="1:22" x14ac:dyDescent="0.3">
      <c r="A15" s="30" t="s">
        <v>228</v>
      </c>
    </row>
    <row r="16" spans="1:22" x14ac:dyDescent="0.3">
      <c r="A16" s="30" t="s">
        <v>239</v>
      </c>
    </row>
    <row r="17" spans="1:1" x14ac:dyDescent="0.3">
      <c r="A17" s="30" t="s">
        <v>240</v>
      </c>
    </row>
    <row r="18" spans="1:1" x14ac:dyDescent="0.3">
      <c r="A18" s="30" t="s">
        <v>241</v>
      </c>
    </row>
    <row r="19" spans="1:1" x14ac:dyDescent="0.3">
      <c r="A19" s="30" t="s">
        <v>228</v>
      </c>
    </row>
    <row r="20" spans="1:1" x14ac:dyDescent="0.3">
      <c r="A20" s="30" t="s">
        <v>242</v>
      </c>
    </row>
    <row r="21" spans="1:1" x14ac:dyDescent="0.3">
      <c r="A21" s="30" t="s">
        <v>243</v>
      </c>
    </row>
    <row r="22" spans="1:1" x14ac:dyDescent="0.3">
      <c r="A22" s="30" t="s">
        <v>244</v>
      </c>
    </row>
    <row r="23" spans="1:1" x14ac:dyDescent="0.3">
      <c r="A23" s="30" t="s">
        <v>228</v>
      </c>
    </row>
    <row r="24" spans="1:1" x14ac:dyDescent="0.3">
      <c r="A24" s="30" t="s">
        <v>245</v>
      </c>
    </row>
    <row r="25" spans="1:1" x14ac:dyDescent="0.3">
      <c r="A25" s="30" t="s">
        <v>246</v>
      </c>
    </row>
    <row r="26" spans="1:1" x14ac:dyDescent="0.3">
      <c r="A26" s="30" t="s">
        <v>247</v>
      </c>
    </row>
    <row r="27" spans="1:1" x14ac:dyDescent="0.3">
      <c r="A27" s="30" t="s">
        <v>248</v>
      </c>
    </row>
    <row r="28" spans="1:1" x14ac:dyDescent="0.3">
      <c r="A28" s="30" t="s">
        <v>249</v>
      </c>
    </row>
    <row r="29" spans="1:1" x14ac:dyDescent="0.3">
      <c r="A29" s="30" t="s">
        <v>228</v>
      </c>
    </row>
    <row r="30" spans="1:1" x14ac:dyDescent="0.3">
      <c r="A30" s="30" t="s">
        <v>250</v>
      </c>
    </row>
    <row r="31" spans="1:1" x14ac:dyDescent="0.3">
      <c r="A31" s="30" t="s">
        <v>251</v>
      </c>
    </row>
    <row r="32" spans="1:1" x14ac:dyDescent="0.3">
      <c r="A32" s="30" t="s">
        <v>252</v>
      </c>
    </row>
    <row r="33" spans="1:1" x14ac:dyDescent="0.3">
      <c r="A33" s="30" t="s">
        <v>253</v>
      </c>
    </row>
    <row r="34" spans="1:1" x14ac:dyDescent="0.3">
      <c r="A34" s="30" t="s">
        <v>254</v>
      </c>
    </row>
    <row r="35" spans="1:1" x14ac:dyDescent="0.3">
      <c r="A35" s="30" t="s">
        <v>228</v>
      </c>
    </row>
    <row r="36" spans="1:1" x14ac:dyDescent="0.3">
      <c r="A36" s="30" t="s">
        <v>255</v>
      </c>
    </row>
    <row r="37" spans="1:1" x14ac:dyDescent="0.3">
      <c r="A37" s="30" t="s">
        <v>256</v>
      </c>
    </row>
    <row r="38" spans="1:1" x14ac:dyDescent="0.3">
      <c r="A38" s="30" t="s">
        <v>257</v>
      </c>
    </row>
    <row r="39" spans="1:1" x14ac:dyDescent="0.3">
      <c r="A39" s="30" t="s">
        <v>258</v>
      </c>
    </row>
    <row r="40" spans="1:1" x14ac:dyDescent="0.3">
      <c r="A40" s="30" t="s">
        <v>259</v>
      </c>
    </row>
    <row r="41" spans="1:1" x14ac:dyDescent="0.3">
      <c r="A41" s="30" t="s">
        <v>260</v>
      </c>
    </row>
    <row r="42" spans="1:1" x14ac:dyDescent="0.3">
      <c r="A42" s="30" t="s">
        <v>261</v>
      </c>
    </row>
    <row r="43" spans="1:1" x14ac:dyDescent="0.3">
      <c r="A43" s="30" t="s">
        <v>262</v>
      </c>
    </row>
    <row r="44" spans="1:1" x14ac:dyDescent="0.3">
      <c r="A44" s="30" t="s">
        <v>263</v>
      </c>
    </row>
    <row r="45" spans="1:1" x14ac:dyDescent="0.3">
      <c r="A45" s="30" t="s">
        <v>228</v>
      </c>
    </row>
    <row r="46" spans="1:1" x14ac:dyDescent="0.3">
      <c r="A46" s="30" t="s">
        <v>264</v>
      </c>
    </row>
    <row r="47" spans="1:1" x14ac:dyDescent="0.3">
      <c r="A47" s="30" t="s">
        <v>265</v>
      </c>
    </row>
    <row r="48" spans="1:1" x14ac:dyDescent="0.3">
      <c r="A48" s="30" t="s">
        <v>266</v>
      </c>
    </row>
    <row r="49" spans="1:1" x14ac:dyDescent="0.3">
      <c r="A49" s="30" t="s">
        <v>267</v>
      </c>
    </row>
    <row r="50" spans="1:1" x14ac:dyDescent="0.3">
      <c r="A50" s="30" t="s">
        <v>268</v>
      </c>
    </row>
    <row r="51" spans="1:1" x14ac:dyDescent="0.3">
      <c r="A51" s="30" t="s">
        <v>228</v>
      </c>
    </row>
    <row r="52" spans="1:1" x14ac:dyDescent="0.3">
      <c r="A52" s="30" t="s">
        <v>269</v>
      </c>
    </row>
    <row r="53" spans="1:1" x14ac:dyDescent="0.3">
      <c r="A53" s="30" t="s">
        <v>270</v>
      </c>
    </row>
    <row r="54" spans="1:1" x14ac:dyDescent="0.3">
      <c r="A54" s="30" t="s">
        <v>271</v>
      </c>
    </row>
    <row r="55" spans="1:1" x14ac:dyDescent="0.3">
      <c r="A55" s="30" t="s">
        <v>228</v>
      </c>
    </row>
    <row r="56" spans="1:1" x14ac:dyDescent="0.3">
      <c r="A56" s="30" t="s">
        <v>272</v>
      </c>
    </row>
    <row r="57" spans="1:1" x14ac:dyDescent="0.3">
      <c r="A57" s="30" t="s">
        <v>273</v>
      </c>
    </row>
    <row r="58" spans="1:1" x14ac:dyDescent="0.3">
      <c r="A58" s="30" t="s">
        <v>274</v>
      </c>
    </row>
    <row r="59" spans="1:1" x14ac:dyDescent="0.3">
      <c r="A59" s="30" t="s">
        <v>275</v>
      </c>
    </row>
    <row r="60" spans="1:1" x14ac:dyDescent="0.3">
      <c r="A60" s="30" t="s">
        <v>276</v>
      </c>
    </row>
    <row r="61" spans="1:1" x14ac:dyDescent="0.3">
      <c r="A61" s="30" t="s">
        <v>228</v>
      </c>
    </row>
    <row r="62" spans="1:1" x14ac:dyDescent="0.3">
      <c r="A62" s="30" t="s">
        <v>277</v>
      </c>
    </row>
    <row r="63" spans="1:1" x14ac:dyDescent="0.3">
      <c r="A63" s="30" t="s">
        <v>278</v>
      </c>
    </row>
    <row r="64" spans="1:1" x14ac:dyDescent="0.3">
      <c r="A64" s="30" t="s">
        <v>279</v>
      </c>
    </row>
    <row r="65" spans="1:1" x14ac:dyDescent="0.3">
      <c r="A65" s="30" t="s">
        <v>280</v>
      </c>
    </row>
    <row r="66" spans="1:1" x14ac:dyDescent="0.3">
      <c r="A66" s="30" t="s">
        <v>281</v>
      </c>
    </row>
    <row r="67" spans="1:1" x14ac:dyDescent="0.3">
      <c r="A67" s="30" t="s">
        <v>282</v>
      </c>
    </row>
    <row r="68" spans="1:1" x14ac:dyDescent="0.3">
      <c r="A68" s="30" t="s">
        <v>283</v>
      </c>
    </row>
    <row r="69" spans="1:1" x14ac:dyDescent="0.3">
      <c r="A69" s="30" t="s">
        <v>228</v>
      </c>
    </row>
    <row r="70" spans="1:1" x14ac:dyDescent="0.3">
      <c r="A70" s="30" t="s">
        <v>284</v>
      </c>
    </row>
    <row r="71" spans="1:1" x14ac:dyDescent="0.3">
      <c r="A71" s="30" t="s">
        <v>285</v>
      </c>
    </row>
    <row r="72" spans="1:1" x14ac:dyDescent="0.3">
      <c r="A72" s="30" t="s">
        <v>286</v>
      </c>
    </row>
    <row r="73" spans="1:1" x14ac:dyDescent="0.3">
      <c r="A73" s="30" t="s">
        <v>287</v>
      </c>
    </row>
    <row r="74" spans="1:1" x14ac:dyDescent="0.3">
      <c r="A74" s="30" t="s">
        <v>288</v>
      </c>
    </row>
    <row r="75" spans="1:1" x14ac:dyDescent="0.3">
      <c r="A75" s="30" t="s">
        <v>289</v>
      </c>
    </row>
    <row r="76" spans="1:1" x14ac:dyDescent="0.3">
      <c r="A76" s="30" t="s">
        <v>290</v>
      </c>
    </row>
    <row r="77" spans="1:1" x14ac:dyDescent="0.3">
      <c r="A77" s="30" t="s">
        <v>291</v>
      </c>
    </row>
    <row r="78" spans="1:1" x14ac:dyDescent="0.3">
      <c r="A78" s="30" t="s">
        <v>292</v>
      </c>
    </row>
    <row r="79" spans="1:1" x14ac:dyDescent="0.3">
      <c r="A79" s="30" t="s">
        <v>293</v>
      </c>
    </row>
    <row r="80" spans="1:1" x14ac:dyDescent="0.3">
      <c r="A80" s="30" t="s">
        <v>294</v>
      </c>
    </row>
    <row r="81" spans="1:1" x14ac:dyDescent="0.3">
      <c r="A81" s="30" t="s">
        <v>295</v>
      </c>
    </row>
    <row r="82" spans="1:1" x14ac:dyDescent="0.3">
      <c r="A82" s="30" t="s">
        <v>296</v>
      </c>
    </row>
    <row r="83" spans="1:1" x14ac:dyDescent="0.3">
      <c r="A83" s="30" t="s">
        <v>297</v>
      </c>
    </row>
    <row r="84" spans="1:1" x14ac:dyDescent="0.3">
      <c r="A84" s="30" t="s">
        <v>298</v>
      </c>
    </row>
    <row r="85" spans="1:1" x14ac:dyDescent="0.3">
      <c r="A85" s="30" t="s">
        <v>299</v>
      </c>
    </row>
    <row r="86" spans="1:1" x14ac:dyDescent="0.3">
      <c r="A86" s="30" t="s">
        <v>300</v>
      </c>
    </row>
    <row r="87" spans="1:1" x14ac:dyDescent="0.3">
      <c r="A87" s="30" t="s">
        <v>301</v>
      </c>
    </row>
    <row r="88" spans="1:1" x14ac:dyDescent="0.3">
      <c r="A88" s="30" t="s">
        <v>302</v>
      </c>
    </row>
    <row r="89" spans="1:1" x14ac:dyDescent="0.3">
      <c r="A89" s="30" t="s">
        <v>303</v>
      </c>
    </row>
    <row r="90" spans="1:1" x14ac:dyDescent="0.3">
      <c r="A90" s="30" t="s">
        <v>304</v>
      </c>
    </row>
    <row r="91" spans="1:1" x14ac:dyDescent="0.3">
      <c r="A91" s="30" t="s">
        <v>305</v>
      </c>
    </row>
    <row r="92" spans="1:1" x14ac:dyDescent="0.3">
      <c r="A92" s="30" t="s">
        <v>306</v>
      </c>
    </row>
    <row r="93" spans="1:1" x14ac:dyDescent="0.3">
      <c r="A93" s="30" t="s">
        <v>307</v>
      </c>
    </row>
    <row r="94" spans="1:1" x14ac:dyDescent="0.3">
      <c r="A94" s="30" t="s">
        <v>308</v>
      </c>
    </row>
    <row r="95" spans="1:1" x14ac:dyDescent="0.3">
      <c r="A95" s="30" t="s">
        <v>309</v>
      </c>
    </row>
    <row r="96" spans="1:1" x14ac:dyDescent="0.3">
      <c r="A96" s="30" t="s">
        <v>310</v>
      </c>
    </row>
    <row r="97" spans="1:1" x14ac:dyDescent="0.3">
      <c r="A97" s="30" t="s">
        <v>311</v>
      </c>
    </row>
    <row r="98" spans="1:1" x14ac:dyDescent="0.3">
      <c r="A98" s="30" t="s">
        <v>312</v>
      </c>
    </row>
    <row r="99" spans="1:1" x14ac:dyDescent="0.3">
      <c r="A99" s="30" t="s">
        <v>313</v>
      </c>
    </row>
    <row r="100" spans="1:1" x14ac:dyDescent="0.3">
      <c r="A100" s="30" t="s">
        <v>314</v>
      </c>
    </row>
    <row r="101" spans="1:1" x14ac:dyDescent="0.3">
      <c r="A101" s="30" t="s">
        <v>315</v>
      </c>
    </row>
    <row r="102" spans="1:1" x14ac:dyDescent="0.3">
      <c r="A102" s="30" t="s">
        <v>316</v>
      </c>
    </row>
    <row r="103" spans="1:1" x14ac:dyDescent="0.3">
      <c r="A103" s="30" t="s">
        <v>317</v>
      </c>
    </row>
    <row r="104" spans="1:1" x14ac:dyDescent="0.3">
      <c r="A104" s="30" t="s">
        <v>318</v>
      </c>
    </row>
    <row r="105" spans="1:1" x14ac:dyDescent="0.3">
      <c r="A105" s="30" t="s">
        <v>319</v>
      </c>
    </row>
    <row r="106" spans="1:1" x14ac:dyDescent="0.3">
      <c r="A106" s="30" t="s">
        <v>320</v>
      </c>
    </row>
    <row r="107" spans="1:1" x14ac:dyDescent="0.3">
      <c r="A107" s="30" t="s">
        <v>321</v>
      </c>
    </row>
    <row r="108" spans="1:1" x14ac:dyDescent="0.3">
      <c r="A108" s="30" t="s">
        <v>322</v>
      </c>
    </row>
    <row r="109" spans="1:1" x14ac:dyDescent="0.3">
      <c r="A109" s="30" t="s">
        <v>323</v>
      </c>
    </row>
    <row r="110" spans="1:1" x14ac:dyDescent="0.3">
      <c r="A110" s="30" t="s">
        <v>324</v>
      </c>
    </row>
    <row r="111" spans="1:1" x14ac:dyDescent="0.3">
      <c r="A111" s="30" t="s">
        <v>325</v>
      </c>
    </row>
    <row r="112" spans="1:1" x14ac:dyDescent="0.3">
      <c r="A112" s="30" t="s">
        <v>326</v>
      </c>
    </row>
    <row r="113" spans="1:1" x14ac:dyDescent="0.3">
      <c r="A113" s="30" t="s">
        <v>327</v>
      </c>
    </row>
    <row r="114" spans="1:1" x14ac:dyDescent="0.3">
      <c r="A114" s="30" t="s">
        <v>328</v>
      </c>
    </row>
    <row r="115" spans="1:1" x14ac:dyDescent="0.3">
      <c r="A115" s="30" t="s">
        <v>305</v>
      </c>
    </row>
    <row r="116" spans="1:1" x14ac:dyDescent="0.3">
      <c r="A116" s="30" t="s">
        <v>329</v>
      </c>
    </row>
    <row r="117" spans="1:1" x14ac:dyDescent="0.3">
      <c r="A117" s="30" t="s">
        <v>330</v>
      </c>
    </row>
    <row r="118" spans="1:1" x14ac:dyDescent="0.3">
      <c r="A118" s="30" t="s">
        <v>331</v>
      </c>
    </row>
    <row r="119" spans="1:1" x14ac:dyDescent="0.3">
      <c r="A119" s="30" t="s">
        <v>332</v>
      </c>
    </row>
    <row r="120" spans="1:1" x14ac:dyDescent="0.3">
      <c r="A120" s="30" t="s">
        <v>333</v>
      </c>
    </row>
    <row r="121" spans="1:1" x14ac:dyDescent="0.3">
      <c r="A121" s="30" t="s">
        <v>334</v>
      </c>
    </row>
    <row r="122" spans="1:1" x14ac:dyDescent="0.3">
      <c r="A122" s="30" t="s">
        <v>335</v>
      </c>
    </row>
    <row r="123" spans="1:1" x14ac:dyDescent="0.3">
      <c r="A123" s="30" t="s">
        <v>336</v>
      </c>
    </row>
    <row r="124" spans="1:1" x14ac:dyDescent="0.3">
      <c r="A124" s="30" t="s">
        <v>337</v>
      </c>
    </row>
    <row r="125" spans="1:1" x14ac:dyDescent="0.3">
      <c r="A125" s="30" t="s">
        <v>338</v>
      </c>
    </row>
    <row r="126" spans="1:1" x14ac:dyDescent="0.3">
      <c r="A126" s="30" t="s">
        <v>339</v>
      </c>
    </row>
    <row r="127" spans="1:1" x14ac:dyDescent="0.3">
      <c r="A127" s="30" t="s">
        <v>340</v>
      </c>
    </row>
    <row r="128" spans="1:1" x14ac:dyDescent="0.3">
      <c r="A128" s="30" t="s">
        <v>341</v>
      </c>
    </row>
    <row r="129" spans="1:1" x14ac:dyDescent="0.3">
      <c r="A129" s="30" t="s">
        <v>342</v>
      </c>
    </row>
    <row r="130" spans="1:1" x14ac:dyDescent="0.3">
      <c r="A130" s="30" t="s">
        <v>343</v>
      </c>
    </row>
    <row r="131" spans="1:1" x14ac:dyDescent="0.3">
      <c r="A131" s="30" t="s">
        <v>295</v>
      </c>
    </row>
    <row r="132" spans="1:1" x14ac:dyDescent="0.3">
      <c r="A132" s="30" t="s">
        <v>344</v>
      </c>
    </row>
    <row r="133" spans="1:1" x14ac:dyDescent="0.3">
      <c r="A133" s="30" t="s">
        <v>295</v>
      </c>
    </row>
    <row r="134" spans="1:1" x14ac:dyDescent="0.3">
      <c r="A134" s="30" t="s">
        <v>345</v>
      </c>
    </row>
    <row r="135" spans="1:1" x14ac:dyDescent="0.3">
      <c r="A135" s="30" t="s">
        <v>346</v>
      </c>
    </row>
    <row r="136" spans="1:1" x14ac:dyDescent="0.3">
      <c r="A136" s="30" t="s">
        <v>347</v>
      </c>
    </row>
    <row r="137" spans="1:1" x14ac:dyDescent="0.3">
      <c r="A137" s="30" t="s">
        <v>348</v>
      </c>
    </row>
    <row r="138" spans="1:1" x14ac:dyDescent="0.3">
      <c r="A138" s="30" t="s">
        <v>349</v>
      </c>
    </row>
    <row r="139" spans="1:1" x14ac:dyDescent="0.3">
      <c r="A139" s="30" t="s">
        <v>350</v>
      </c>
    </row>
    <row r="140" spans="1:1" x14ac:dyDescent="0.3">
      <c r="A140" s="30" t="s">
        <v>351</v>
      </c>
    </row>
    <row r="141" spans="1:1" x14ac:dyDescent="0.3">
      <c r="A141" s="30" t="s">
        <v>352</v>
      </c>
    </row>
    <row r="142" spans="1:1" x14ac:dyDescent="0.3">
      <c r="A142" s="30" t="s">
        <v>353</v>
      </c>
    </row>
    <row r="143" spans="1:1" x14ac:dyDescent="0.3">
      <c r="A143" s="30" t="s">
        <v>354</v>
      </c>
    </row>
    <row r="144" spans="1:1" x14ac:dyDescent="0.3">
      <c r="A144" s="30" t="s">
        <v>355</v>
      </c>
    </row>
    <row r="145" spans="1:1" x14ac:dyDescent="0.3">
      <c r="A145" s="30" t="s">
        <v>356</v>
      </c>
    </row>
    <row r="146" spans="1:1" x14ac:dyDescent="0.3">
      <c r="A146" s="30" t="s">
        <v>357</v>
      </c>
    </row>
    <row r="147" spans="1:1" x14ac:dyDescent="0.3">
      <c r="A147" s="30" t="s">
        <v>356</v>
      </c>
    </row>
    <row r="148" spans="1:1" x14ac:dyDescent="0.3">
      <c r="A148" s="30" t="s">
        <v>358</v>
      </c>
    </row>
    <row r="149" spans="1:1" x14ac:dyDescent="0.3">
      <c r="A149" s="30" t="s">
        <v>359</v>
      </c>
    </row>
    <row r="150" spans="1:1" x14ac:dyDescent="0.3">
      <c r="A150" s="30" t="s">
        <v>360</v>
      </c>
    </row>
    <row r="151" spans="1:1" x14ac:dyDescent="0.3">
      <c r="A151" s="30" t="s">
        <v>356</v>
      </c>
    </row>
    <row r="152" spans="1:1" x14ac:dyDescent="0.3">
      <c r="A152" s="30" t="s">
        <v>361</v>
      </c>
    </row>
    <row r="153" spans="1:1" x14ac:dyDescent="0.3">
      <c r="A153" s="30" t="s">
        <v>362</v>
      </c>
    </row>
    <row r="154" spans="1:1" x14ac:dyDescent="0.3">
      <c r="A154" s="30" t="s">
        <v>363</v>
      </c>
    </row>
    <row r="155" spans="1:1" x14ac:dyDescent="0.3">
      <c r="A155" s="30" t="s">
        <v>359</v>
      </c>
    </row>
    <row r="156" spans="1:1" x14ac:dyDescent="0.3">
      <c r="A156" s="30" t="s">
        <v>364</v>
      </c>
    </row>
    <row r="157" spans="1:1" x14ac:dyDescent="0.3">
      <c r="A157" s="30" t="s">
        <v>356</v>
      </c>
    </row>
    <row r="158" spans="1:1" x14ac:dyDescent="0.3">
      <c r="A158" s="30" t="s">
        <v>365</v>
      </c>
    </row>
    <row r="159" spans="1:1" x14ac:dyDescent="0.3">
      <c r="A159" s="30" t="s">
        <v>366</v>
      </c>
    </row>
    <row r="160" spans="1:1" x14ac:dyDescent="0.3">
      <c r="A160" s="30" t="s">
        <v>367</v>
      </c>
    </row>
    <row r="161" spans="1:1" x14ac:dyDescent="0.3">
      <c r="A161" s="30" t="s">
        <v>368</v>
      </c>
    </row>
    <row r="162" spans="1:1" x14ac:dyDescent="0.3">
      <c r="A162" s="30" t="s">
        <v>369</v>
      </c>
    </row>
    <row r="163" spans="1:1" x14ac:dyDescent="0.3">
      <c r="A163" s="30" t="s">
        <v>370</v>
      </c>
    </row>
    <row r="164" spans="1:1" x14ac:dyDescent="0.3">
      <c r="A164" s="30" t="s">
        <v>371</v>
      </c>
    </row>
    <row r="165" spans="1:1" x14ac:dyDescent="0.3">
      <c r="A165" s="30" t="s">
        <v>356</v>
      </c>
    </row>
    <row r="166" spans="1:1" x14ac:dyDescent="0.3">
      <c r="A166" s="30" t="s">
        <v>372</v>
      </c>
    </row>
    <row r="167" spans="1:1" x14ac:dyDescent="0.3">
      <c r="A167" s="30" t="s">
        <v>373</v>
      </c>
    </row>
    <row r="168" spans="1:1" x14ac:dyDescent="0.3">
      <c r="A168" s="30" t="s">
        <v>374</v>
      </c>
    </row>
    <row r="169" spans="1:1" x14ac:dyDescent="0.3">
      <c r="A169" s="30" t="s">
        <v>356</v>
      </c>
    </row>
    <row r="170" spans="1:1" x14ac:dyDescent="0.3">
      <c r="A170" s="30" t="s">
        <v>375</v>
      </c>
    </row>
    <row r="171" spans="1:1" x14ac:dyDescent="0.3">
      <c r="A171" s="30" t="s">
        <v>376</v>
      </c>
    </row>
    <row r="172" spans="1:1" x14ac:dyDescent="0.3">
      <c r="A172" s="30" t="s">
        <v>377</v>
      </c>
    </row>
    <row r="173" spans="1:1" x14ac:dyDescent="0.3">
      <c r="A173" s="30" t="s">
        <v>378</v>
      </c>
    </row>
    <row r="174" spans="1:1" x14ac:dyDescent="0.3">
      <c r="A174" s="30" t="s">
        <v>379</v>
      </c>
    </row>
    <row r="175" spans="1:1" x14ac:dyDescent="0.3">
      <c r="A175" s="30" t="s">
        <v>380</v>
      </c>
    </row>
    <row r="176" spans="1:1" x14ac:dyDescent="0.3">
      <c r="A176" s="30" t="s">
        <v>381</v>
      </c>
    </row>
    <row r="177" spans="1:1" x14ac:dyDescent="0.3">
      <c r="A177" s="30" t="s">
        <v>356</v>
      </c>
    </row>
    <row r="178" spans="1:1" x14ac:dyDescent="0.3">
      <c r="A178" s="30" t="s">
        <v>382</v>
      </c>
    </row>
    <row r="179" spans="1:1" x14ac:dyDescent="0.3">
      <c r="A179" s="30" t="s">
        <v>383</v>
      </c>
    </row>
    <row r="180" spans="1:1" x14ac:dyDescent="0.3">
      <c r="A180" s="30" t="s">
        <v>384</v>
      </c>
    </row>
    <row r="181" spans="1:1" x14ac:dyDescent="0.3">
      <c r="A181" s="30" t="s">
        <v>356</v>
      </c>
    </row>
    <row r="182" spans="1:1" x14ac:dyDescent="0.3">
      <c r="A182" s="30" t="s">
        <v>385</v>
      </c>
    </row>
    <row r="183" spans="1:1" x14ac:dyDescent="0.3">
      <c r="A183" s="30" t="s">
        <v>386</v>
      </c>
    </row>
    <row r="184" spans="1:1" x14ac:dyDescent="0.3">
      <c r="A184" s="30" t="s">
        <v>387</v>
      </c>
    </row>
    <row r="185" spans="1:1" x14ac:dyDescent="0.3">
      <c r="A185" s="30" t="s">
        <v>388</v>
      </c>
    </row>
    <row r="186" spans="1:1" x14ac:dyDescent="0.3">
      <c r="A186" s="30" t="s">
        <v>389</v>
      </c>
    </row>
    <row r="187" spans="1:1" x14ac:dyDescent="0.3">
      <c r="A187" s="30" t="s">
        <v>390</v>
      </c>
    </row>
    <row r="188" spans="1:1" x14ac:dyDescent="0.3">
      <c r="A188" s="30" t="s">
        <v>391</v>
      </c>
    </row>
    <row r="189" spans="1:1" x14ac:dyDescent="0.3">
      <c r="A189" s="30" t="s">
        <v>392</v>
      </c>
    </row>
    <row r="190" spans="1:1" x14ac:dyDescent="0.3">
      <c r="A190" s="30" t="s">
        <v>393</v>
      </c>
    </row>
    <row r="191" spans="1:1" x14ac:dyDescent="0.3">
      <c r="A191" s="30" t="s">
        <v>394</v>
      </c>
    </row>
    <row r="192" spans="1:1" x14ac:dyDescent="0.3">
      <c r="A192" s="30" t="s">
        <v>395</v>
      </c>
    </row>
    <row r="193" spans="1:1" x14ac:dyDescent="0.3">
      <c r="A193" s="30" t="s">
        <v>396</v>
      </c>
    </row>
    <row r="194" spans="1:1" x14ac:dyDescent="0.3">
      <c r="A194" s="30" t="s">
        <v>397</v>
      </c>
    </row>
    <row r="195" spans="1:1" x14ac:dyDescent="0.3">
      <c r="A195" s="30" t="s">
        <v>356</v>
      </c>
    </row>
    <row r="196" spans="1:1" x14ac:dyDescent="0.3">
      <c r="A196" s="30" t="s">
        <v>398</v>
      </c>
    </row>
    <row r="197" spans="1:1" x14ac:dyDescent="0.3">
      <c r="A197" s="30" t="s">
        <v>399</v>
      </c>
    </row>
    <row r="198" spans="1:1" x14ac:dyDescent="0.3">
      <c r="A198" s="30" t="s">
        <v>400</v>
      </c>
    </row>
    <row r="199" spans="1:1" x14ac:dyDescent="0.3">
      <c r="A199" s="30" t="s">
        <v>401</v>
      </c>
    </row>
    <row r="200" spans="1:1" x14ac:dyDescent="0.3">
      <c r="A200" s="30" t="s">
        <v>402</v>
      </c>
    </row>
    <row r="201" spans="1:1" x14ac:dyDescent="0.3">
      <c r="A201" s="30" t="s">
        <v>403</v>
      </c>
    </row>
    <row r="202" spans="1:1" x14ac:dyDescent="0.3">
      <c r="A202" s="30" t="s">
        <v>404</v>
      </c>
    </row>
    <row r="203" spans="1:1" x14ac:dyDescent="0.3">
      <c r="A203" s="30" t="s">
        <v>405</v>
      </c>
    </row>
    <row r="204" spans="1:1" x14ac:dyDescent="0.3">
      <c r="A204" s="30" t="s">
        <v>406</v>
      </c>
    </row>
    <row r="205" spans="1:1" x14ac:dyDescent="0.3">
      <c r="A205" s="30" t="s">
        <v>407</v>
      </c>
    </row>
    <row r="206" spans="1:1" x14ac:dyDescent="0.3">
      <c r="A206" s="30" t="s">
        <v>408</v>
      </c>
    </row>
    <row r="207" spans="1:1" x14ac:dyDescent="0.3">
      <c r="A207" s="30" t="s">
        <v>409</v>
      </c>
    </row>
    <row r="208" spans="1:1" x14ac:dyDescent="0.3">
      <c r="A208" s="30" t="s">
        <v>410</v>
      </c>
    </row>
    <row r="209" spans="1:1" x14ac:dyDescent="0.3">
      <c r="A209" s="30" t="s">
        <v>411</v>
      </c>
    </row>
    <row r="210" spans="1:1" x14ac:dyDescent="0.3">
      <c r="A210" s="30" t="s">
        <v>412</v>
      </c>
    </row>
    <row r="211" spans="1:1" x14ac:dyDescent="0.3">
      <c r="A211" s="30" t="s">
        <v>413</v>
      </c>
    </row>
    <row r="212" spans="1:1" x14ac:dyDescent="0.3">
      <c r="A212" s="30" t="s">
        <v>414</v>
      </c>
    </row>
    <row r="213" spans="1:1" x14ac:dyDescent="0.3">
      <c r="A213" s="30" t="s">
        <v>415</v>
      </c>
    </row>
    <row r="214" spans="1:1" x14ac:dyDescent="0.3">
      <c r="A214" s="30" t="s">
        <v>416</v>
      </c>
    </row>
    <row r="215" spans="1:1" x14ac:dyDescent="0.3">
      <c r="A215" s="30" t="s">
        <v>417</v>
      </c>
    </row>
    <row r="216" spans="1:1" x14ac:dyDescent="0.3">
      <c r="A216" s="30" t="s">
        <v>418</v>
      </c>
    </row>
    <row r="217" spans="1:1" x14ac:dyDescent="0.3">
      <c r="A217" s="30" t="s">
        <v>419</v>
      </c>
    </row>
    <row r="218" spans="1:1" x14ac:dyDescent="0.3">
      <c r="A218" s="30" t="s">
        <v>420</v>
      </c>
    </row>
    <row r="219" spans="1:1" x14ac:dyDescent="0.3">
      <c r="A219" s="30" t="s">
        <v>421</v>
      </c>
    </row>
    <row r="220" spans="1:1" x14ac:dyDescent="0.3">
      <c r="A220" s="30" t="s">
        <v>422</v>
      </c>
    </row>
    <row r="221" spans="1:1" x14ac:dyDescent="0.3">
      <c r="A221" s="30" t="s">
        <v>423</v>
      </c>
    </row>
    <row r="222" spans="1:1" x14ac:dyDescent="0.3">
      <c r="A222" s="30" t="s">
        <v>424</v>
      </c>
    </row>
    <row r="223" spans="1:1" x14ac:dyDescent="0.3">
      <c r="A223" s="30" t="s">
        <v>425</v>
      </c>
    </row>
    <row r="224" spans="1:1" x14ac:dyDescent="0.3">
      <c r="A224" s="30" t="s">
        <v>426</v>
      </c>
    </row>
    <row r="225" spans="1:1" x14ac:dyDescent="0.3">
      <c r="A225" s="30" t="s">
        <v>427</v>
      </c>
    </row>
    <row r="226" spans="1:1" x14ac:dyDescent="0.3">
      <c r="A226" s="30" t="s">
        <v>428</v>
      </c>
    </row>
    <row r="227" spans="1:1" x14ac:dyDescent="0.3">
      <c r="A227" s="30" t="s">
        <v>429</v>
      </c>
    </row>
    <row r="228" spans="1:1" x14ac:dyDescent="0.3">
      <c r="A228" s="30" t="s">
        <v>430</v>
      </c>
    </row>
    <row r="229" spans="1:1" x14ac:dyDescent="0.3">
      <c r="A229" s="30" t="s">
        <v>431</v>
      </c>
    </row>
    <row r="230" spans="1:1" x14ac:dyDescent="0.3">
      <c r="A230" s="30" t="s">
        <v>432</v>
      </c>
    </row>
    <row r="231" spans="1:1" x14ac:dyDescent="0.3">
      <c r="A231" s="30" t="s">
        <v>433</v>
      </c>
    </row>
    <row r="232" spans="1:1" x14ac:dyDescent="0.3">
      <c r="A232" s="30" t="s">
        <v>434</v>
      </c>
    </row>
    <row r="233" spans="1:1" x14ac:dyDescent="0.3">
      <c r="A233" s="30" t="s">
        <v>435</v>
      </c>
    </row>
    <row r="234" spans="1:1" x14ac:dyDescent="0.3">
      <c r="A234" s="30" t="s">
        <v>436</v>
      </c>
    </row>
    <row r="235" spans="1:1" x14ac:dyDescent="0.3">
      <c r="A235" s="30" t="s">
        <v>437</v>
      </c>
    </row>
    <row r="236" spans="1:1" x14ac:dyDescent="0.3">
      <c r="A236" s="30" t="s">
        <v>438</v>
      </c>
    </row>
    <row r="237" spans="1:1" x14ac:dyDescent="0.3">
      <c r="A237" s="30" t="s">
        <v>439</v>
      </c>
    </row>
    <row r="238" spans="1:1" x14ac:dyDescent="0.3">
      <c r="A238" s="30" t="s">
        <v>440</v>
      </c>
    </row>
    <row r="239" spans="1:1" x14ac:dyDescent="0.3">
      <c r="A239" s="30" t="s">
        <v>441</v>
      </c>
    </row>
    <row r="240" spans="1:1" x14ac:dyDescent="0.3">
      <c r="A240" s="30" t="s">
        <v>442</v>
      </c>
    </row>
    <row r="241" spans="1:1" x14ac:dyDescent="0.3">
      <c r="A241" s="30" t="s">
        <v>443</v>
      </c>
    </row>
    <row r="242" spans="1:1" x14ac:dyDescent="0.3">
      <c r="A242" s="30" t="s">
        <v>444</v>
      </c>
    </row>
    <row r="243" spans="1:1" x14ac:dyDescent="0.3">
      <c r="A243" s="30" t="s">
        <v>445</v>
      </c>
    </row>
    <row r="244" spans="1:1" x14ac:dyDescent="0.3">
      <c r="A244" s="30" t="s">
        <v>446</v>
      </c>
    </row>
    <row r="245" spans="1:1" x14ac:dyDescent="0.3">
      <c r="A245" s="30" t="s">
        <v>447</v>
      </c>
    </row>
    <row r="246" spans="1:1" x14ac:dyDescent="0.3">
      <c r="A246" s="30" t="s">
        <v>448</v>
      </c>
    </row>
    <row r="247" spans="1:1" x14ac:dyDescent="0.3">
      <c r="A247" s="30" t="s">
        <v>449</v>
      </c>
    </row>
    <row r="248" spans="1:1" x14ac:dyDescent="0.3">
      <c r="A248" s="30" t="s">
        <v>450</v>
      </c>
    </row>
    <row r="249" spans="1:1" x14ac:dyDescent="0.3">
      <c r="A249" s="30" t="s">
        <v>451</v>
      </c>
    </row>
    <row r="250" spans="1:1" x14ac:dyDescent="0.3">
      <c r="A250" s="30" t="s">
        <v>452</v>
      </c>
    </row>
    <row r="251" spans="1:1" x14ac:dyDescent="0.3">
      <c r="A251" s="30" t="s">
        <v>453</v>
      </c>
    </row>
    <row r="252" spans="1:1" x14ac:dyDescent="0.3">
      <c r="A252" s="30" t="s">
        <v>454</v>
      </c>
    </row>
    <row r="253" spans="1:1" x14ac:dyDescent="0.3">
      <c r="A253" s="30" t="s">
        <v>437</v>
      </c>
    </row>
    <row r="254" spans="1:1" x14ac:dyDescent="0.3">
      <c r="A254" s="30" t="s">
        <v>455</v>
      </c>
    </row>
    <row r="255" spans="1:1" x14ac:dyDescent="0.3">
      <c r="A255" s="30" t="s">
        <v>456</v>
      </c>
    </row>
    <row r="256" spans="1:1" x14ac:dyDescent="0.3">
      <c r="A256" s="30" t="s">
        <v>457</v>
      </c>
    </row>
    <row r="257" spans="1:1" x14ac:dyDescent="0.3">
      <c r="A257" s="30" t="s">
        <v>413</v>
      </c>
    </row>
    <row r="258" spans="1:1" x14ac:dyDescent="0.3">
      <c r="A258" s="30" t="s">
        <v>458</v>
      </c>
    </row>
    <row r="259" spans="1:1" x14ac:dyDescent="0.3">
      <c r="A259" s="30" t="s">
        <v>459</v>
      </c>
    </row>
    <row r="260" spans="1:1" x14ac:dyDescent="0.3">
      <c r="A260" s="30" t="s">
        <v>460</v>
      </c>
    </row>
    <row r="261" spans="1:1" x14ac:dyDescent="0.3">
      <c r="A261" s="30" t="s">
        <v>461</v>
      </c>
    </row>
    <row r="262" spans="1:1" x14ac:dyDescent="0.3">
      <c r="A262" s="30" t="s">
        <v>462</v>
      </c>
    </row>
    <row r="263" spans="1:1" x14ac:dyDescent="0.3">
      <c r="A263" s="30" t="s">
        <v>463</v>
      </c>
    </row>
    <row r="264" spans="1:1" x14ac:dyDescent="0.3">
      <c r="A264" s="30" t="s">
        <v>464</v>
      </c>
    </row>
    <row r="265" spans="1:1" x14ac:dyDescent="0.3">
      <c r="A265" s="30" t="s">
        <v>456</v>
      </c>
    </row>
    <row r="266" spans="1:1" x14ac:dyDescent="0.3">
      <c r="A266" s="30" t="s">
        <v>465</v>
      </c>
    </row>
    <row r="267" spans="1:1" x14ac:dyDescent="0.3">
      <c r="A267" s="30" t="s">
        <v>466</v>
      </c>
    </row>
    <row r="268" spans="1:1" x14ac:dyDescent="0.3">
      <c r="A268" s="30" t="s">
        <v>467</v>
      </c>
    </row>
    <row r="269" spans="1:1" x14ac:dyDescent="0.3">
      <c r="A269" s="30" t="s">
        <v>468</v>
      </c>
    </row>
    <row r="270" spans="1:1" x14ac:dyDescent="0.3">
      <c r="A270" s="30" t="s">
        <v>469</v>
      </c>
    </row>
    <row r="271" spans="1:1" x14ac:dyDescent="0.3">
      <c r="A271" s="30" t="s">
        <v>470</v>
      </c>
    </row>
    <row r="272" spans="1:1" x14ac:dyDescent="0.3">
      <c r="A272" s="30" t="s">
        <v>471</v>
      </c>
    </row>
    <row r="273" spans="1:1" x14ac:dyDescent="0.3">
      <c r="A273" s="30" t="s">
        <v>472</v>
      </c>
    </row>
    <row r="274" spans="1:1" x14ac:dyDescent="0.3">
      <c r="A274" s="30" t="s">
        <v>473</v>
      </c>
    </row>
    <row r="275" spans="1:1" x14ac:dyDescent="0.3">
      <c r="A275" s="30" t="s">
        <v>474</v>
      </c>
    </row>
    <row r="276" spans="1:1" x14ac:dyDescent="0.3">
      <c r="A276" s="30" t="s">
        <v>475</v>
      </c>
    </row>
    <row r="277" spans="1:1" x14ac:dyDescent="0.3">
      <c r="A277" s="30" t="s">
        <v>476</v>
      </c>
    </row>
    <row r="278" spans="1:1" x14ac:dyDescent="0.3">
      <c r="A278" s="30" t="s">
        <v>477</v>
      </c>
    </row>
    <row r="279" spans="1:1" x14ac:dyDescent="0.3">
      <c r="A279" s="30" t="s">
        <v>441</v>
      </c>
    </row>
    <row r="280" spans="1:1" x14ac:dyDescent="0.3">
      <c r="A280" s="30" t="s">
        <v>478</v>
      </c>
    </row>
    <row r="281" spans="1:1" x14ac:dyDescent="0.3">
      <c r="A281" s="30" t="s">
        <v>479</v>
      </c>
    </row>
    <row r="282" spans="1:1" x14ac:dyDescent="0.3">
      <c r="A282" s="30" t="s">
        <v>480</v>
      </c>
    </row>
    <row r="283" spans="1:1" x14ac:dyDescent="0.3">
      <c r="A283" s="30" t="s">
        <v>481</v>
      </c>
    </row>
    <row r="284" spans="1:1" x14ac:dyDescent="0.3">
      <c r="A284" s="30" t="s">
        <v>482</v>
      </c>
    </row>
    <row r="285" spans="1:1" x14ac:dyDescent="0.3">
      <c r="A285" s="30" t="s">
        <v>483</v>
      </c>
    </row>
    <row r="286" spans="1:1" x14ac:dyDescent="0.3">
      <c r="A286" s="30" t="s">
        <v>484</v>
      </c>
    </row>
    <row r="287" spans="1:1" x14ac:dyDescent="0.3">
      <c r="A287" s="30" t="s">
        <v>485</v>
      </c>
    </row>
    <row r="288" spans="1:1" x14ac:dyDescent="0.3">
      <c r="A288" s="30" t="s">
        <v>486</v>
      </c>
    </row>
    <row r="289" spans="1:1" x14ac:dyDescent="0.3">
      <c r="A289" s="30" t="s">
        <v>487</v>
      </c>
    </row>
    <row r="290" spans="1:1" x14ac:dyDescent="0.3">
      <c r="A290" s="30" t="s">
        <v>488</v>
      </c>
    </row>
    <row r="291" spans="1:1" x14ac:dyDescent="0.3">
      <c r="A291" s="30" t="s">
        <v>489</v>
      </c>
    </row>
    <row r="292" spans="1:1" x14ac:dyDescent="0.3">
      <c r="A292" s="30" t="s">
        <v>490</v>
      </c>
    </row>
    <row r="293" spans="1:1" x14ac:dyDescent="0.3">
      <c r="A293" s="30" t="s">
        <v>491</v>
      </c>
    </row>
    <row r="294" spans="1:1" x14ac:dyDescent="0.3">
      <c r="A294" s="30" t="s">
        <v>492</v>
      </c>
    </row>
    <row r="295" spans="1:1" x14ac:dyDescent="0.3">
      <c r="A295" s="30" t="s">
        <v>493</v>
      </c>
    </row>
    <row r="296" spans="1:1" x14ac:dyDescent="0.3">
      <c r="A296" s="30" t="s">
        <v>494</v>
      </c>
    </row>
    <row r="297" spans="1:1" x14ac:dyDescent="0.3">
      <c r="A297" s="30" t="s">
        <v>495</v>
      </c>
    </row>
    <row r="298" spans="1:1" x14ac:dyDescent="0.3">
      <c r="A298" s="30" t="s">
        <v>496</v>
      </c>
    </row>
    <row r="299" spans="1:1" x14ac:dyDescent="0.3">
      <c r="A299" s="30" t="s">
        <v>497</v>
      </c>
    </row>
    <row r="300" spans="1:1" x14ac:dyDescent="0.3">
      <c r="A300" s="30" t="s">
        <v>498</v>
      </c>
    </row>
    <row r="301" spans="1:1" x14ac:dyDescent="0.3">
      <c r="A301" s="30" t="s">
        <v>499</v>
      </c>
    </row>
    <row r="302" spans="1:1" x14ac:dyDescent="0.3">
      <c r="A302" s="30" t="s">
        <v>500</v>
      </c>
    </row>
    <row r="303" spans="1:1" x14ac:dyDescent="0.3">
      <c r="A303" s="30" t="s">
        <v>501</v>
      </c>
    </row>
    <row r="304" spans="1:1" x14ac:dyDescent="0.3">
      <c r="A304" s="30" t="s">
        <v>502</v>
      </c>
    </row>
    <row r="305" spans="1:1" x14ac:dyDescent="0.3">
      <c r="A305" s="30" t="s">
        <v>503</v>
      </c>
    </row>
    <row r="306" spans="1:1" x14ac:dyDescent="0.3">
      <c r="A306" s="30" t="s">
        <v>504</v>
      </c>
    </row>
    <row r="307" spans="1:1" x14ac:dyDescent="0.3">
      <c r="A307" s="30" t="s">
        <v>505</v>
      </c>
    </row>
    <row r="308" spans="1:1" x14ac:dyDescent="0.3">
      <c r="A308" s="30" t="s">
        <v>506</v>
      </c>
    </row>
    <row r="309" spans="1:1" x14ac:dyDescent="0.3">
      <c r="A309" s="30" t="s">
        <v>507</v>
      </c>
    </row>
    <row r="310" spans="1:1" x14ac:dyDescent="0.3">
      <c r="A310" s="30" t="s">
        <v>508</v>
      </c>
    </row>
    <row r="311" spans="1:1" x14ac:dyDescent="0.3">
      <c r="A311" s="30" t="s">
        <v>509</v>
      </c>
    </row>
    <row r="312" spans="1:1" x14ac:dyDescent="0.3">
      <c r="A312" s="30" t="s">
        <v>510</v>
      </c>
    </row>
    <row r="313" spans="1:1" x14ac:dyDescent="0.3">
      <c r="A313" s="30" t="s">
        <v>511</v>
      </c>
    </row>
    <row r="314" spans="1:1" x14ac:dyDescent="0.3">
      <c r="A314" s="30" t="s">
        <v>512</v>
      </c>
    </row>
    <row r="315" spans="1:1" x14ac:dyDescent="0.3">
      <c r="A315" s="30" t="s">
        <v>513</v>
      </c>
    </row>
    <row r="316" spans="1:1" x14ac:dyDescent="0.3">
      <c r="A316" s="30" t="s">
        <v>514</v>
      </c>
    </row>
    <row r="317" spans="1:1" x14ac:dyDescent="0.3">
      <c r="A317" s="30" t="s">
        <v>515</v>
      </c>
    </row>
    <row r="318" spans="1:1" x14ac:dyDescent="0.3">
      <c r="A318" s="30" t="s">
        <v>516</v>
      </c>
    </row>
    <row r="319" spans="1:1" x14ac:dyDescent="0.3">
      <c r="A319" s="30" t="s">
        <v>517</v>
      </c>
    </row>
    <row r="320" spans="1:1" x14ac:dyDescent="0.3">
      <c r="A320" s="30" t="s">
        <v>518</v>
      </c>
    </row>
    <row r="321" spans="1:1" x14ac:dyDescent="0.3">
      <c r="A321" s="30" t="s">
        <v>519</v>
      </c>
    </row>
    <row r="322" spans="1:1" x14ac:dyDescent="0.3">
      <c r="A322" s="30" t="s">
        <v>520</v>
      </c>
    </row>
    <row r="323" spans="1:1" x14ac:dyDescent="0.3">
      <c r="A323" s="30" t="s">
        <v>521</v>
      </c>
    </row>
    <row r="324" spans="1:1" x14ac:dyDescent="0.3">
      <c r="A324" s="30" t="s">
        <v>522</v>
      </c>
    </row>
    <row r="325" spans="1:1" x14ac:dyDescent="0.3">
      <c r="A325" s="30" t="s">
        <v>523</v>
      </c>
    </row>
    <row r="326" spans="1:1" x14ac:dyDescent="0.3">
      <c r="A326" s="30" t="s">
        <v>524</v>
      </c>
    </row>
    <row r="327" spans="1:1" x14ac:dyDescent="0.3">
      <c r="A327" s="30" t="s">
        <v>525</v>
      </c>
    </row>
    <row r="328" spans="1:1" x14ac:dyDescent="0.3">
      <c r="A328" s="30" t="s">
        <v>526</v>
      </c>
    </row>
    <row r="329" spans="1:1" x14ac:dyDescent="0.3">
      <c r="A329" s="30" t="s">
        <v>527</v>
      </c>
    </row>
    <row r="330" spans="1:1" x14ac:dyDescent="0.3">
      <c r="A330" s="30" t="s">
        <v>528</v>
      </c>
    </row>
    <row r="331" spans="1:1" x14ac:dyDescent="0.3">
      <c r="A331" s="30" t="s">
        <v>529</v>
      </c>
    </row>
    <row r="332" spans="1:1" x14ac:dyDescent="0.3">
      <c r="A332" s="30" t="s">
        <v>530</v>
      </c>
    </row>
    <row r="333" spans="1:1" x14ac:dyDescent="0.3">
      <c r="A333" s="30" t="s">
        <v>531</v>
      </c>
    </row>
    <row r="334" spans="1:1" x14ac:dyDescent="0.3">
      <c r="A334" s="30" t="s">
        <v>532</v>
      </c>
    </row>
    <row r="335" spans="1:1" x14ac:dyDescent="0.3">
      <c r="A335" s="30" t="s">
        <v>533</v>
      </c>
    </row>
    <row r="336" spans="1:1" x14ac:dyDescent="0.3">
      <c r="A336" s="30" t="s">
        <v>534</v>
      </c>
    </row>
    <row r="337" spans="1:1" x14ac:dyDescent="0.3">
      <c r="A337" s="30" t="s">
        <v>535</v>
      </c>
    </row>
    <row r="338" spans="1:1" x14ac:dyDescent="0.3">
      <c r="A338" s="30" t="s">
        <v>536</v>
      </c>
    </row>
    <row r="339" spans="1:1" x14ac:dyDescent="0.3">
      <c r="A339" s="30" t="s">
        <v>537</v>
      </c>
    </row>
    <row r="340" spans="1:1" x14ac:dyDescent="0.3">
      <c r="A340" s="30" t="s">
        <v>538</v>
      </c>
    </row>
    <row r="341" spans="1:1" x14ac:dyDescent="0.3">
      <c r="A341" s="30" t="s">
        <v>539</v>
      </c>
    </row>
    <row r="342" spans="1:1" x14ac:dyDescent="0.3">
      <c r="A342" s="30" t="s">
        <v>540</v>
      </c>
    </row>
    <row r="343" spans="1:1" x14ac:dyDescent="0.3">
      <c r="A343" s="30" t="s">
        <v>541</v>
      </c>
    </row>
    <row r="344" spans="1:1" x14ac:dyDescent="0.3">
      <c r="A344" s="30" t="s">
        <v>542</v>
      </c>
    </row>
    <row r="345" spans="1:1" x14ac:dyDescent="0.3">
      <c r="A345" s="30" t="s">
        <v>543</v>
      </c>
    </row>
    <row r="346" spans="1:1" x14ac:dyDescent="0.3">
      <c r="A346" s="30" t="s">
        <v>544</v>
      </c>
    </row>
    <row r="347" spans="1:1" x14ac:dyDescent="0.3">
      <c r="A347" s="30" t="s">
        <v>545</v>
      </c>
    </row>
    <row r="348" spans="1:1" x14ac:dyDescent="0.3">
      <c r="A348" s="30" t="s">
        <v>546</v>
      </c>
    </row>
    <row r="349" spans="1:1" x14ac:dyDescent="0.3">
      <c r="A349" s="30" t="s">
        <v>547</v>
      </c>
    </row>
    <row r="350" spans="1:1" x14ac:dyDescent="0.3">
      <c r="A350" s="30" t="s">
        <v>548</v>
      </c>
    </row>
    <row r="351" spans="1:1" x14ac:dyDescent="0.3">
      <c r="A351" s="30" t="s">
        <v>549</v>
      </c>
    </row>
    <row r="352" spans="1:1" x14ac:dyDescent="0.3">
      <c r="A352" s="30" t="s">
        <v>550</v>
      </c>
    </row>
    <row r="353" spans="1:1" x14ac:dyDescent="0.3">
      <c r="A353" s="30" t="s">
        <v>551</v>
      </c>
    </row>
    <row r="354" spans="1:1" x14ac:dyDescent="0.3">
      <c r="A354" s="30" t="s">
        <v>552</v>
      </c>
    </row>
    <row r="355" spans="1:1" x14ac:dyDescent="0.3">
      <c r="A355" s="30" t="s">
        <v>553</v>
      </c>
    </row>
    <row r="356" spans="1:1" x14ac:dyDescent="0.3">
      <c r="A356" s="30" t="s">
        <v>554</v>
      </c>
    </row>
    <row r="357" spans="1:1" x14ac:dyDescent="0.3">
      <c r="A357" s="30" t="s">
        <v>555</v>
      </c>
    </row>
    <row r="358" spans="1:1" x14ac:dyDescent="0.3">
      <c r="A358" s="30" t="s">
        <v>556</v>
      </c>
    </row>
    <row r="359" spans="1:1" x14ac:dyDescent="0.3">
      <c r="A359" s="30" t="s">
        <v>557</v>
      </c>
    </row>
    <row r="360" spans="1:1" x14ac:dyDescent="0.3">
      <c r="A360" s="30" t="s">
        <v>558</v>
      </c>
    </row>
    <row r="361" spans="1:1" x14ac:dyDescent="0.3">
      <c r="A361" s="30" t="s">
        <v>559</v>
      </c>
    </row>
    <row r="362" spans="1:1" x14ac:dyDescent="0.3">
      <c r="A362" s="30" t="s">
        <v>560</v>
      </c>
    </row>
    <row r="363" spans="1:1" x14ac:dyDescent="0.3">
      <c r="A363" s="30" t="s">
        <v>561</v>
      </c>
    </row>
    <row r="364" spans="1:1" x14ac:dyDescent="0.3">
      <c r="A364" s="30" t="s">
        <v>562</v>
      </c>
    </row>
    <row r="365" spans="1:1" x14ac:dyDescent="0.3">
      <c r="A365" s="30" t="s">
        <v>563</v>
      </c>
    </row>
    <row r="366" spans="1:1" x14ac:dyDescent="0.3">
      <c r="A366" s="30" t="s">
        <v>564</v>
      </c>
    </row>
    <row r="367" spans="1:1" x14ac:dyDescent="0.3">
      <c r="A367" s="30" t="s">
        <v>565</v>
      </c>
    </row>
    <row r="368" spans="1:1" x14ac:dyDescent="0.3">
      <c r="A368" s="30" t="s">
        <v>566</v>
      </c>
    </row>
    <row r="369" spans="1:1" x14ac:dyDescent="0.3">
      <c r="A369" s="30" t="s">
        <v>567</v>
      </c>
    </row>
    <row r="370" spans="1:1" x14ac:dyDescent="0.3">
      <c r="A370" s="30" t="s">
        <v>568</v>
      </c>
    </row>
    <row r="371" spans="1:1" x14ac:dyDescent="0.3">
      <c r="A371" s="30" t="s">
        <v>569</v>
      </c>
    </row>
    <row r="372" spans="1:1" x14ac:dyDescent="0.3">
      <c r="A372" s="30" t="s">
        <v>570</v>
      </c>
    </row>
    <row r="373" spans="1:1" x14ac:dyDescent="0.3">
      <c r="A373" s="30" t="s">
        <v>571</v>
      </c>
    </row>
    <row r="374" spans="1:1" x14ac:dyDescent="0.3">
      <c r="A374" s="30" t="s">
        <v>572</v>
      </c>
    </row>
    <row r="375" spans="1:1" x14ac:dyDescent="0.3">
      <c r="A375" s="30" t="s">
        <v>573</v>
      </c>
    </row>
    <row r="376" spans="1:1" x14ac:dyDescent="0.3">
      <c r="A376" s="30" t="s">
        <v>574</v>
      </c>
    </row>
    <row r="377" spans="1:1" x14ac:dyDescent="0.3">
      <c r="A377" s="30" t="s">
        <v>575</v>
      </c>
    </row>
    <row r="378" spans="1:1" x14ac:dyDescent="0.3">
      <c r="A378" s="30" t="s">
        <v>576</v>
      </c>
    </row>
    <row r="379" spans="1:1" x14ac:dyDescent="0.3">
      <c r="A379" s="30" t="s">
        <v>577</v>
      </c>
    </row>
    <row r="380" spans="1:1" x14ac:dyDescent="0.3">
      <c r="A380" s="30" t="s">
        <v>578</v>
      </c>
    </row>
    <row r="381" spans="1:1" x14ac:dyDescent="0.3">
      <c r="A381" s="30" t="s">
        <v>579</v>
      </c>
    </row>
    <row r="382" spans="1:1" x14ac:dyDescent="0.3">
      <c r="A382" s="30" t="s">
        <v>580</v>
      </c>
    </row>
    <row r="383" spans="1:1" x14ac:dyDescent="0.3">
      <c r="A383" s="30" t="s">
        <v>581</v>
      </c>
    </row>
    <row r="384" spans="1:1" x14ac:dyDescent="0.3">
      <c r="A384" s="30" t="s">
        <v>582</v>
      </c>
    </row>
    <row r="385" spans="1:1" x14ac:dyDescent="0.3">
      <c r="A385" s="30" t="s">
        <v>583</v>
      </c>
    </row>
    <row r="386" spans="1:1" x14ac:dyDescent="0.3">
      <c r="A386" s="30" t="s">
        <v>584</v>
      </c>
    </row>
    <row r="387" spans="1:1" x14ac:dyDescent="0.3">
      <c r="A387" s="30" t="s">
        <v>585</v>
      </c>
    </row>
    <row r="388" spans="1:1" x14ac:dyDescent="0.3">
      <c r="A388" s="30" t="s">
        <v>586</v>
      </c>
    </row>
    <row r="389" spans="1:1" x14ac:dyDescent="0.3">
      <c r="A389" s="30" t="s">
        <v>587</v>
      </c>
    </row>
    <row r="390" spans="1:1" x14ac:dyDescent="0.3">
      <c r="A390" s="30" t="s">
        <v>588</v>
      </c>
    </row>
    <row r="391" spans="1:1" x14ac:dyDescent="0.3">
      <c r="A391" s="30" t="s">
        <v>589</v>
      </c>
    </row>
    <row r="392" spans="1:1" x14ac:dyDescent="0.3">
      <c r="A392" s="30" t="s">
        <v>590</v>
      </c>
    </row>
    <row r="393" spans="1:1" x14ac:dyDescent="0.3">
      <c r="A393" s="30" t="s">
        <v>591</v>
      </c>
    </row>
    <row r="394" spans="1:1" x14ac:dyDescent="0.3">
      <c r="A394" s="30" t="s">
        <v>592</v>
      </c>
    </row>
    <row r="395" spans="1:1" x14ac:dyDescent="0.3">
      <c r="A395" s="30" t="s">
        <v>593</v>
      </c>
    </row>
    <row r="396" spans="1:1" x14ac:dyDescent="0.3">
      <c r="A396" s="30" t="s">
        <v>594</v>
      </c>
    </row>
    <row r="397" spans="1:1" x14ac:dyDescent="0.3">
      <c r="A397" s="30" t="s">
        <v>595</v>
      </c>
    </row>
    <row r="398" spans="1:1" x14ac:dyDescent="0.3">
      <c r="A398" s="30" t="s">
        <v>596</v>
      </c>
    </row>
    <row r="399" spans="1:1" x14ac:dyDescent="0.3">
      <c r="A399" s="30" t="s">
        <v>597</v>
      </c>
    </row>
    <row r="400" spans="1:1" x14ac:dyDescent="0.3">
      <c r="A400" s="30" t="s">
        <v>598</v>
      </c>
    </row>
    <row r="401" spans="1:1" x14ac:dyDescent="0.3">
      <c r="A401" s="30" t="s">
        <v>599</v>
      </c>
    </row>
    <row r="402" spans="1:1" x14ac:dyDescent="0.3">
      <c r="A402" s="30" t="s">
        <v>600</v>
      </c>
    </row>
    <row r="403" spans="1:1" x14ac:dyDescent="0.3">
      <c r="A403" s="30" t="s">
        <v>601</v>
      </c>
    </row>
    <row r="404" spans="1:1" x14ac:dyDescent="0.3">
      <c r="A404" s="30" t="s">
        <v>602</v>
      </c>
    </row>
    <row r="405" spans="1:1" x14ac:dyDescent="0.3">
      <c r="A405" s="30" t="s">
        <v>603</v>
      </c>
    </row>
    <row r="406" spans="1:1" x14ac:dyDescent="0.3">
      <c r="A406" s="30" t="s">
        <v>604</v>
      </c>
    </row>
    <row r="407" spans="1:1" x14ac:dyDescent="0.3">
      <c r="A407" s="30" t="s">
        <v>605</v>
      </c>
    </row>
    <row r="408" spans="1:1" x14ac:dyDescent="0.3">
      <c r="A408" s="30" t="s">
        <v>606</v>
      </c>
    </row>
    <row r="409" spans="1:1" x14ac:dyDescent="0.3">
      <c r="A409" s="30" t="s">
        <v>607</v>
      </c>
    </row>
    <row r="410" spans="1:1" x14ac:dyDescent="0.3">
      <c r="A410" s="30" t="s">
        <v>608</v>
      </c>
    </row>
    <row r="411" spans="1:1" x14ac:dyDescent="0.3">
      <c r="A411" s="30" t="s">
        <v>609</v>
      </c>
    </row>
    <row r="412" spans="1:1" x14ac:dyDescent="0.3">
      <c r="A412" s="30" t="s">
        <v>610</v>
      </c>
    </row>
    <row r="413" spans="1:1" x14ac:dyDescent="0.3">
      <c r="A413" s="30" t="s">
        <v>611</v>
      </c>
    </row>
    <row r="414" spans="1:1" x14ac:dyDescent="0.3">
      <c r="A414" s="30" t="s">
        <v>612</v>
      </c>
    </row>
    <row r="415" spans="1:1" x14ac:dyDescent="0.3">
      <c r="A415" s="30" t="s">
        <v>613</v>
      </c>
    </row>
    <row r="416" spans="1:1" x14ac:dyDescent="0.3">
      <c r="A416" s="30" t="s">
        <v>614</v>
      </c>
    </row>
    <row r="417" spans="1:1" x14ac:dyDescent="0.3">
      <c r="A417" s="30" t="s">
        <v>615</v>
      </c>
    </row>
    <row r="418" spans="1:1" x14ac:dyDescent="0.3">
      <c r="A418" s="30" t="s">
        <v>616</v>
      </c>
    </row>
    <row r="419" spans="1:1" x14ac:dyDescent="0.3">
      <c r="A419" s="30" t="s">
        <v>617</v>
      </c>
    </row>
    <row r="420" spans="1:1" x14ac:dyDescent="0.3">
      <c r="A420" s="3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Figure S1</vt:lpstr>
      <vt:lpstr>Figure S2</vt:lpstr>
      <vt:lpstr>Table S1</vt:lpstr>
      <vt:lpstr>Table 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 Huan</dc:creator>
  <cp:lastModifiedBy>MDPI</cp:lastModifiedBy>
  <dcterms:created xsi:type="dcterms:W3CDTF">2024-03-09T17:52:38Z</dcterms:created>
  <dcterms:modified xsi:type="dcterms:W3CDTF">2024-03-21T02:55:50Z</dcterms:modified>
</cp:coreProperties>
</file>