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ashliab/Documents/Publications/Evaluating regulatory MLs for FUM in cattle/Final submission/"/>
    </mc:Choice>
  </mc:AlternateContent>
  <xr:revisionPtr revIDLastSave="0" documentId="13_ncr:1_{5014F94A-F1EF-154A-978E-2A5EB28A855F}" xr6:coauthVersionLast="47" xr6:coauthVersionMax="47" xr10:uidLastSave="{00000000-0000-0000-0000-000000000000}"/>
  <bookViews>
    <workbookView xWindow="1880" yWindow="500" windowWidth="26920" windowHeight="14760" xr2:uid="{00000000-000D-0000-FFFF-FFFF00000000}"/>
  </bookViews>
  <sheets>
    <sheet name="S in TX DDGS" sheetId="13" r:id="rId1"/>
    <sheet name="S in TX water wells" sheetId="12" r:id="rId2"/>
    <sheet name="Growers model" sheetId="5" r:id="rId3"/>
    <sheet name="Finishers model " sheetId="2" r:id="rId4"/>
    <sheet name="treeCalc_4" sheetId="11" state="hidden" r:id="rId5"/>
    <sheet name="treeCalc_3" sheetId="10" state="hidden" r:id="rId6"/>
    <sheet name="treeCalc_2" sheetId="8" state="hidden" r:id="rId7"/>
    <sheet name="_PalUtilTempWorksheet" sheetId="7" state="hidden" r:id="rId8"/>
    <sheet name="treeCalc_1" sheetId="6" state="hidden" r:id="rId9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OLE_LINK1" localSheetId="3">'Finishers model '!$A$24</definedName>
    <definedName name="OLE_LINK5" localSheetId="2">'Growers model'!$E$3</definedName>
    <definedName name="Pal_Workbook_GUID" hidden="1">"ASEI4I1P7JJD9DQ2YJDT9VTE"</definedName>
    <definedName name="PTree_RiskProfile_IncludeCumulativeChart" hidden="1">TRUE</definedName>
    <definedName name="PTree_RiskProfile_IncludeProbabilityChart" hidden="1">TRUE</definedName>
    <definedName name="PTree_RiskProfile_IncludeStatisticalSummary" hidden="1">TRUE</definedName>
    <definedName name="PTree_RiskProfile_Model" hidden="1">PTreeObjectReference(PTDecisionTree_1,treeCalc_1!$A$1)</definedName>
    <definedName name="PTree_RiskProfile_PathsToAnalyze" hidden="1">1</definedName>
    <definedName name="PTree_RiskProfile_ReportPlacement" hidden="1">1</definedName>
    <definedName name="PTree_RiskProfile_StartingNode" hidden="1">PTreeObjectReference(NULL,NULL)</definedName>
    <definedName name="PTree_SensitivityAnalysis_AnalysisType" hidden="1">0</definedName>
    <definedName name="PTree_SensitivityAnalysis_GraphsDisplayPercentageChange" hidden="1">TRUE</definedName>
    <definedName name="PTree_SensitivityAnalysis_IncludeSensitivityGraph" hidden="1">TRUE</definedName>
    <definedName name="PTree_SensitivityAnalysis_IncludeSpiderGraph" hidden="1">TRUE</definedName>
    <definedName name="PTree_SensitivityAnalysis_IncludeStrategyRegion" hidden="1">TRUE</definedName>
    <definedName name="PTree_SensitivityAnalysis_IncludeTornadoGraph" hidden="1">TRUE</definedName>
    <definedName name="PTree_SensitivityAnalysis_Inputs_1_AlternateCellLabel" hidden="1">""</definedName>
    <definedName name="PTree_SensitivityAnalysis_Inputs_1_BaseValueIsAutomatic" hidden="1">TRUE</definedName>
    <definedName name="PTree_SensitivityAnalysis_Inputs_1_MaintainProbabilityNormalization" hidden="1">FALSE</definedName>
    <definedName name="PTree_SensitivityAnalysis_Inputs_1_ManualBaseValue" hidden="1">0</definedName>
    <definedName name="PTree_SensitivityAnalysis_Inputs_1_Maximum" hidden="1">25</definedName>
    <definedName name="PTree_SensitivityAnalysis_Inputs_1_Minimum" hidden="1">-25</definedName>
    <definedName name="PTree_SensitivityAnalysis_Inputs_1_OneWayAnalysis" hidden="1">1</definedName>
    <definedName name="PTree_SensitivityAnalysis_Inputs_1_Steps" hidden="1">100</definedName>
    <definedName name="PTree_SensitivityAnalysis_Inputs_1_TwoWayAnalysis" hidden="1">0</definedName>
    <definedName name="PTree_SensitivityAnalysis_Inputs_1_VariationMethod" hidden="1">0</definedName>
    <definedName name="PTree_SensitivityAnalysis_Inputs_1_VaryCell" hidden="1">'Finishers model '!$D$4</definedName>
    <definedName name="PTree_SensitivityAnalysis_Inputs_2_AlternateCellLabel" hidden="1">""</definedName>
    <definedName name="PTree_SensitivityAnalysis_Inputs_2_BaseValueIsAutomatic" hidden="1">TRUE</definedName>
    <definedName name="PTree_SensitivityAnalysis_Inputs_2_MaintainProbabilityNormalization" hidden="1">FALSE</definedName>
    <definedName name="PTree_SensitivityAnalysis_Inputs_2_ManualBaseValue" hidden="1">0</definedName>
    <definedName name="PTree_SensitivityAnalysis_Inputs_2_Maximum" hidden="1">25</definedName>
    <definedName name="PTree_SensitivityAnalysis_Inputs_2_Minimum" hidden="1">-25</definedName>
    <definedName name="PTree_SensitivityAnalysis_Inputs_2_OneWayAnalysis" hidden="1">1</definedName>
    <definedName name="PTree_SensitivityAnalysis_Inputs_2_Steps" hidden="1">100</definedName>
    <definedName name="PTree_SensitivityAnalysis_Inputs_2_TwoWayAnalysis" hidden="1">0</definedName>
    <definedName name="PTree_SensitivityAnalysis_Inputs_2_VariationMethod" hidden="1">0</definedName>
    <definedName name="PTree_SensitivityAnalysis_Inputs_2_VaryCell" hidden="1">'Finishers model '!$D$9</definedName>
    <definedName name="PTree_SensitivityAnalysis_Inputs_3_AlternateCellLabel" hidden="1">""</definedName>
    <definedName name="PTree_SensitivityAnalysis_Inputs_3_BaseValueIsAutomatic" hidden="1">TRUE</definedName>
    <definedName name="PTree_SensitivityAnalysis_Inputs_3_MaintainProbabilityNormalization" hidden="1">FALSE</definedName>
    <definedName name="PTree_SensitivityAnalysis_Inputs_3_ManualBaseValue" hidden="1">0</definedName>
    <definedName name="PTree_SensitivityAnalysis_Inputs_3_Maximum" hidden="1">25</definedName>
    <definedName name="PTree_SensitivityAnalysis_Inputs_3_Minimum" hidden="1">-25</definedName>
    <definedName name="PTree_SensitivityAnalysis_Inputs_3_OneWayAnalysis" hidden="1">1</definedName>
    <definedName name="PTree_SensitivityAnalysis_Inputs_3_Steps" hidden="1">100</definedName>
    <definedName name="PTree_SensitivityAnalysis_Inputs_3_TwoWayAnalysis" hidden="1">0</definedName>
    <definedName name="PTree_SensitivityAnalysis_Inputs_3_VariationMethod" hidden="1">0</definedName>
    <definedName name="PTree_SensitivityAnalysis_Inputs_3_VaryCell" hidden="1">'Finishers model '!$D$13</definedName>
    <definedName name="PTree_SensitivityAnalysis_Inputs_4_AlternateCellLabel" hidden="1">""</definedName>
    <definedName name="PTree_SensitivityAnalysis_Inputs_4_BaseValueIsAutomatic" hidden="1">TRUE</definedName>
    <definedName name="PTree_SensitivityAnalysis_Inputs_4_MaintainProbabilityNormalization" hidden="1">FALSE</definedName>
    <definedName name="PTree_SensitivityAnalysis_Inputs_4_ManualBaseValue" hidden="1">0</definedName>
    <definedName name="PTree_SensitivityAnalysis_Inputs_4_Maximum" hidden="1">25</definedName>
    <definedName name="PTree_SensitivityAnalysis_Inputs_4_Minimum" hidden="1">-25</definedName>
    <definedName name="PTree_SensitivityAnalysis_Inputs_4_OneWayAnalysis" hidden="1">1</definedName>
    <definedName name="PTree_SensitivityAnalysis_Inputs_4_Steps" hidden="1">100</definedName>
    <definedName name="PTree_SensitivityAnalysis_Inputs_4_TwoWayAnalysis" hidden="1">0</definedName>
    <definedName name="PTree_SensitivityAnalysis_Inputs_4_VariationMethod" hidden="1">0</definedName>
    <definedName name="PTree_SensitivityAnalysis_Inputs_4_VaryCell" hidden="1">'Finishers model '!$D$16</definedName>
    <definedName name="PTree_SensitivityAnalysis_Inputs_5_AlternateCellLabel" hidden="1">""</definedName>
    <definedName name="PTree_SensitivityAnalysis_Inputs_5_BaseValueIsAutomatic" hidden="1">TRUE</definedName>
    <definedName name="PTree_SensitivityAnalysis_Inputs_5_MaintainProbabilityNormalization" hidden="1">FALSE</definedName>
    <definedName name="PTree_SensitivityAnalysis_Inputs_5_ManualBaseValue" hidden="1">0</definedName>
    <definedName name="PTree_SensitivityAnalysis_Inputs_5_Maximum" hidden="1">25</definedName>
    <definedName name="PTree_SensitivityAnalysis_Inputs_5_Minimum" hidden="1">-25</definedName>
    <definedName name="PTree_SensitivityAnalysis_Inputs_5_OneWayAnalysis" hidden="1">1</definedName>
    <definedName name="PTree_SensitivityAnalysis_Inputs_5_Steps" hidden="1">100</definedName>
    <definedName name="PTree_SensitivityAnalysis_Inputs_5_TwoWayAnalysis" hidden="1">0</definedName>
    <definedName name="PTree_SensitivityAnalysis_Inputs_5_VariationMethod" hidden="1">0</definedName>
    <definedName name="PTree_SensitivityAnalysis_Inputs_5_VaryCell" hidden="1">'Finishers model '!$D$20</definedName>
    <definedName name="PTree_SensitivityAnalysis_Inputs_Count" hidden="1">5</definedName>
    <definedName name="PTree_SensitivityAnalysis_Output_AlternateCellLabel" hidden="1">""</definedName>
    <definedName name="PTree_SensitivityAnalysis_Output_Cell" hidden="1">'Finishers model '!$L$21</definedName>
    <definedName name="PTree_SensitivityAnalysis_Output_Model" hidden="1">PTreeObjectReference(PTDecisionTree_1,treeCalc_1!$A$1)</definedName>
    <definedName name="PTree_SensitivityAnalysis_Output_OutputType" hidden="1">0</definedName>
    <definedName name="PTree_SensitivityAnalysis_Output_StartingNode" hidden="1">PTreeObjectReference(NULL,NULL)</definedName>
    <definedName name="PTree_SensitivityAnalysis_ReportPlacement" hidden="1">1</definedName>
    <definedName name="PTree_SensitivityAnalysis_UpdateDisplay" hidden="1">TRUE</definedName>
    <definedName name="RiskAfterRecalcMacro" hidden="1">""</definedName>
    <definedName name="RiskAfterSimMacro" hidden="1">""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imulationResultsStorageLocation" hidden="1">"2"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treeList" hidden="1">"11110000000000000000000000000000000000000000000000000000000000000000000000000000000000000000000000000000000000000000000000000000000000000000000000000000000000000000000000000000000000000000000000000000"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12" l="1"/>
  <c r="L65" i="12" s="1"/>
  <c r="F23" i="12"/>
  <c r="K23" i="12" s="1"/>
  <c r="P20" i="12"/>
  <c r="P19" i="12"/>
  <c r="P18" i="12"/>
  <c r="P17" i="12"/>
  <c r="P16" i="12"/>
  <c r="P15" i="12"/>
  <c r="P14" i="12"/>
  <c r="G14" i="12"/>
  <c r="L14" i="12" s="1"/>
  <c r="P13" i="12"/>
  <c r="P12" i="12"/>
  <c r="P11" i="12"/>
  <c r="Q5" i="12"/>
  <c r="Q6" i="12" s="1"/>
  <c r="G250" i="12" s="1"/>
  <c r="L250" i="12" s="1"/>
  <c r="G23" i="12" l="1"/>
  <c r="L23" i="12" s="1"/>
  <c r="F17" i="12"/>
  <c r="K17" i="12" s="1"/>
  <c r="G17" i="12"/>
  <c r="L17" i="12" s="1"/>
  <c r="F24" i="12"/>
  <c r="K24" i="12" s="1"/>
  <c r="G29" i="12"/>
  <c r="L29" i="12" s="1"/>
  <c r="G37" i="12"/>
  <c r="L37" i="12" s="1"/>
  <c r="G45" i="12"/>
  <c r="L45" i="12" s="1"/>
  <c r="F64" i="12"/>
  <c r="K64" i="12" s="1"/>
  <c r="G55" i="12"/>
  <c r="L55" i="12" s="1"/>
  <c r="F4" i="12"/>
  <c r="F27" i="12"/>
  <c r="K27" i="12" s="1"/>
  <c r="F35" i="12"/>
  <c r="K35" i="12" s="1"/>
  <c r="F43" i="12"/>
  <c r="K43" i="12" s="1"/>
  <c r="G48" i="12"/>
  <c r="L48" i="12" s="1"/>
  <c r="G128" i="12"/>
  <c r="L128" i="12" s="1"/>
  <c r="F8" i="12"/>
  <c r="K8" i="12" s="1"/>
  <c r="G9" i="12"/>
  <c r="L9" i="12" s="1"/>
  <c r="F22" i="12"/>
  <c r="K22" i="12" s="1"/>
  <c r="F46" i="12"/>
  <c r="F54" i="12"/>
  <c r="K54" i="12" s="1"/>
  <c r="G8" i="12"/>
  <c r="L8" i="12" s="1"/>
  <c r="G50" i="12"/>
  <c r="L50" i="12" s="1"/>
  <c r="F7" i="12"/>
  <c r="K7" i="12" s="1"/>
  <c r="F18" i="12"/>
  <c r="K18" i="12" s="1"/>
  <c r="F49" i="12"/>
  <c r="K49" i="12" s="1"/>
  <c r="K4" i="12"/>
  <c r="G4" i="12"/>
  <c r="L4" i="12" s="1"/>
  <c r="K46" i="12"/>
  <c r="G46" i="12"/>
  <c r="L46" i="12" s="1"/>
  <c r="F3" i="12"/>
  <c r="F10" i="12"/>
  <c r="K10" i="12" s="1"/>
  <c r="G12" i="12"/>
  <c r="L12" i="12" s="1"/>
  <c r="F13" i="12"/>
  <c r="K13" i="12" s="1"/>
  <c r="G15" i="12"/>
  <c r="L15" i="12" s="1"/>
  <c r="G24" i="12"/>
  <c r="L24" i="12" s="1"/>
  <c r="F28" i="12"/>
  <c r="K28" i="12" s="1"/>
  <c r="G33" i="12"/>
  <c r="L33" i="12" s="1"/>
  <c r="F36" i="12"/>
  <c r="K36" i="12" s="1"/>
  <c r="G41" i="12"/>
  <c r="L41" i="12" s="1"/>
  <c r="F44" i="12"/>
  <c r="K44" i="12" s="1"/>
  <c r="G49" i="12"/>
  <c r="L49" i="12" s="1"/>
  <c r="F53" i="12"/>
  <c r="K53" i="12" s="1"/>
  <c r="F56" i="12"/>
  <c r="K56" i="12" s="1"/>
  <c r="G60" i="12"/>
  <c r="L60" i="12" s="1"/>
  <c r="G68" i="12"/>
  <c r="L68" i="12" s="1"/>
  <c r="F72" i="12"/>
  <c r="K72" i="12" s="1"/>
  <c r="G75" i="12"/>
  <c r="L75" i="12" s="1"/>
  <c r="F77" i="12"/>
  <c r="K77" i="12" s="1"/>
  <c r="F80" i="12"/>
  <c r="K80" i="12" s="1"/>
  <c r="G83" i="12"/>
  <c r="L83" i="12" s="1"/>
  <c r="F85" i="12"/>
  <c r="K85" i="12" s="1"/>
  <c r="F88" i="12"/>
  <c r="K88" i="12" s="1"/>
  <c r="G91" i="12"/>
  <c r="G94" i="12"/>
  <c r="L94" i="12" s="1"/>
  <c r="F99" i="12"/>
  <c r="K99" i="12" s="1"/>
  <c r="F101" i="12"/>
  <c r="K101" i="12" s="1"/>
  <c r="F112" i="12"/>
  <c r="K112" i="12" s="1"/>
  <c r="G137" i="12"/>
  <c r="L137" i="12" s="1"/>
  <c r="G153" i="12"/>
  <c r="L153" i="12" s="1"/>
  <c r="G185" i="12"/>
  <c r="L185" i="12" s="1"/>
  <c r="F188" i="12"/>
  <c r="K188" i="12" s="1"/>
  <c r="G190" i="12"/>
  <c r="L190" i="12" s="1"/>
  <c r="F211" i="12"/>
  <c r="K211" i="12" s="1"/>
  <c r="G252" i="12"/>
  <c r="L252" i="12" s="1"/>
  <c r="G3" i="12"/>
  <c r="F9" i="12"/>
  <c r="K9" i="12" s="1"/>
  <c r="G10" i="12"/>
  <c r="L10" i="12" s="1"/>
  <c r="G13" i="12"/>
  <c r="L13" i="12" s="1"/>
  <c r="F14" i="12"/>
  <c r="K14" i="12" s="1"/>
  <c r="F16" i="12"/>
  <c r="K16" i="12" s="1"/>
  <c r="F19" i="12"/>
  <c r="K19" i="12" s="1"/>
  <c r="G28" i="12"/>
  <c r="L28" i="12" s="1"/>
  <c r="F32" i="12"/>
  <c r="K32" i="12" s="1"/>
  <c r="G36" i="12"/>
  <c r="L36" i="12" s="1"/>
  <c r="F40" i="12"/>
  <c r="K40" i="12" s="1"/>
  <c r="G44" i="12"/>
  <c r="L44" i="12" s="1"/>
  <c r="F48" i="12"/>
  <c r="K48" i="12" s="1"/>
  <c r="G53" i="12"/>
  <c r="L53" i="12" s="1"/>
  <c r="F59" i="12"/>
  <c r="K59" i="12" s="1"/>
  <c r="F62" i="12"/>
  <c r="K62" i="12" s="1"/>
  <c r="G64" i="12"/>
  <c r="L64" i="12" s="1"/>
  <c r="F67" i="12"/>
  <c r="K67" i="12" s="1"/>
  <c r="G77" i="12"/>
  <c r="L77" i="12" s="1"/>
  <c r="G85" i="12"/>
  <c r="L85" i="12" s="1"/>
  <c r="G99" i="12"/>
  <c r="L99" i="12" s="1"/>
  <c r="G101" i="12"/>
  <c r="L101" i="12" s="1"/>
  <c r="G108" i="12"/>
  <c r="L108" i="12" s="1"/>
  <c r="G112" i="12"/>
  <c r="L112" i="12" s="1"/>
  <c r="F119" i="12"/>
  <c r="K119" i="12" s="1"/>
  <c r="F163" i="12"/>
  <c r="K163" i="12" s="1"/>
  <c r="F171" i="12"/>
  <c r="K171" i="12" s="1"/>
  <c r="G188" i="12"/>
  <c r="L188" i="12" s="1"/>
  <c r="G227" i="12"/>
  <c r="L227" i="12" s="1"/>
  <c r="G16" i="12"/>
  <c r="L16" i="12" s="1"/>
  <c r="G19" i="12"/>
  <c r="L19" i="12" s="1"/>
  <c r="F52" i="12"/>
  <c r="K52" i="12" s="1"/>
  <c r="F55" i="12"/>
  <c r="K55" i="12" s="1"/>
  <c r="G59" i="12"/>
  <c r="L59" i="12" s="1"/>
  <c r="G62" i="12"/>
  <c r="L62" i="12" s="1"/>
  <c r="G67" i="12"/>
  <c r="L67" i="12" s="1"/>
  <c r="G72" i="12"/>
  <c r="L72" i="12" s="1"/>
  <c r="G80" i="12"/>
  <c r="L80" i="12" s="1"/>
  <c r="G88" i="12"/>
  <c r="L88" i="12" s="1"/>
  <c r="F93" i="12"/>
  <c r="K93" i="12" s="1"/>
  <c r="G117" i="12"/>
  <c r="L117" i="12" s="1"/>
  <c r="G119" i="12"/>
  <c r="L119" i="12" s="1"/>
  <c r="G135" i="12"/>
  <c r="L135" i="12" s="1"/>
  <c r="F149" i="12"/>
  <c r="K149" i="12" s="1"/>
  <c r="G181" i="12"/>
  <c r="L181" i="12" s="1"/>
  <c r="G245" i="12"/>
  <c r="L245" i="12" s="1"/>
  <c r="F248" i="12"/>
  <c r="K248" i="12" s="1"/>
  <c r="G254" i="12"/>
  <c r="L254" i="12" s="1"/>
  <c r="F253" i="12"/>
  <c r="K253" i="12" s="1"/>
  <c r="F245" i="12"/>
  <c r="K245" i="12" s="1"/>
  <c r="G238" i="12"/>
  <c r="L238" i="12" s="1"/>
  <c r="F237" i="12"/>
  <c r="K237" i="12" s="1"/>
  <c r="G234" i="12"/>
  <c r="L234" i="12" s="1"/>
  <c r="F233" i="12"/>
  <c r="K233" i="12" s="1"/>
  <c r="F225" i="12"/>
  <c r="K225" i="12" s="1"/>
  <c r="G218" i="12"/>
  <c r="L218" i="12" s="1"/>
  <c r="G214" i="12"/>
  <c r="L214" i="12" s="1"/>
  <c r="F213" i="12"/>
  <c r="K213" i="12" s="1"/>
  <c r="F205" i="12"/>
  <c r="K205" i="12" s="1"/>
  <c r="G198" i="12"/>
  <c r="L198" i="12" s="1"/>
  <c r="G194" i="12"/>
  <c r="L194" i="12" s="1"/>
  <c r="F193" i="12"/>
  <c r="K193" i="12" s="1"/>
  <c r="F185" i="12"/>
  <c r="K185" i="12" s="1"/>
  <c r="G174" i="12"/>
  <c r="L174" i="12" s="1"/>
  <c r="F173" i="12"/>
  <c r="K173" i="12" s="1"/>
  <c r="F254" i="12"/>
  <c r="K254" i="12" s="1"/>
  <c r="G141" i="12"/>
  <c r="L141" i="12" s="1"/>
  <c r="F140" i="12"/>
  <c r="K140" i="12" s="1"/>
  <c r="F136" i="12"/>
  <c r="G129" i="12"/>
  <c r="L129" i="12" s="1"/>
  <c r="F128" i="12"/>
  <c r="K128" i="12" s="1"/>
  <c r="G121" i="12"/>
  <c r="L121" i="12" s="1"/>
  <c r="F120" i="12"/>
  <c r="K120" i="12" s="1"/>
  <c r="G251" i="12"/>
  <c r="L251" i="12" s="1"/>
  <c r="F250" i="12"/>
  <c r="K250" i="12" s="1"/>
  <c r="G243" i="12"/>
  <c r="L243" i="12" s="1"/>
  <c r="F242" i="12"/>
  <c r="K242" i="12" s="1"/>
  <c r="G231" i="12"/>
  <c r="L231" i="12" s="1"/>
  <c r="F230" i="12"/>
  <c r="K230" i="12" s="1"/>
  <c r="G223" i="12"/>
  <c r="L223" i="12" s="1"/>
  <c r="F222" i="12"/>
  <c r="K222" i="12" s="1"/>
  <c r="G211" i="12"/>
  <c r="L211" i="12" s="1"/>
  <c r="F210" i="12"/>
  <c r="K210" i="12" s="1"/>
  <c r="G203" i="12"/>
  <c r="L203" i="12" s="1"/>
  <c r="F202" i="12"/>
  <c r="K202" i="12" s="1"/>
  <c r="G191" i="12"/>
  <c r="L191" i="12" s="1"/>
  <c r="F190" i="12"/>
  <c r="K190" i="12" s="1"/>
  <c r="G183" i="12"/>
  <c r="L183" i="12" s="1"/>
  <c r="F182" i="12"/>
  <c r="K182" i="12" s="1"/>
  <c r="G179" i="12"/>
  <c r="L179" i="12" s="1"/>
  <c r="F178" i="12"/>
  <c r="K178" i="12" s="1"/>
  <c r="G171" i="12"/>
  <c r="L171" i="12" s="1"/>
  <c r="F170" i="12"/>
  <c r="K170" i="12" s="1"/>
  <c r="G163" i="12"/>
  <c r="L163" i="12" s="1"/>
  <c r="F162" i="12"/>
  <c r="K162" i="12" s="1"/>
  <c r="G159" i="12"/>
  <c r="F158" i="12"/>
  <c r="K158" i="12" s="1"/>
  <c r="G151" i="12"/>
  <c r="L151" i="12" s="1"/>
  <c r="F150" i="12"/>
  <c r="K150" i="12" s="1"/>
  <c r="G143" i="12"/>
  <c r="L143" i="12" s="1"/>
  <c r="F142" i="12"/>
  <c r="K142" i="12" s="1"/>
  <c r="G131" i="12"/>
  <c r="L131" i="12" s="1"/>
  <c r="F130" i="12"/>
  <c r="K130" i="12" s="1"/>
  <c r="G123" i="12"/>
  <c r="L123" i="12" s="1"/>
  <c r="F229" i="12"/>
  <c r="K229" i="12" s="1"/>
  <c r="G222" i="12"/>
  <c r="L222" i="12" s="1"/>
  <c r="G170" i="12"/>
  <c r="L170" i="12" s="1"/>
  <c r="G162" i="12"/>
  <c r="L162" i="12" s="1"/>
  <c r="G110" i="12"/>
  <c r="L110" i="12" s="1"/>
  <c r="G102" i="12"/>
  <c r="L102" i="12" s="1"/>
  <c r="F217" i="12"/>
  <c r="G210" i="12"/>
  <c r="L210" i="12" s="1"/>
  <c r="F201" i="12"/>
  <c r="K201" i="12" s="1"/>
  <c r="F174" i="12"/>
  <c r="K174" i="12" s="1"/>
  <c r="F166" i="12"/>
  <c r="F129" i="12"/>
  <c r="K129" i="12" s="1"/>
  <c r="F249" i="12"/>
  <c r="K249" i="12" s="1"/>
  <c r="G242" i="12"/>
  <c r="L242" i="12" s="1"/>
  <c r="F189" i="12"/>
  <c r="K189" i="12" s="1"/>
  <c r="G182" i="12"/>
  <c r="L182" i="12" s="1"/>
  <c r="G178" i="12"/>
  <c r="L178" i="12" s="1"/>
  <c r="G158" i="12"/>
  <c r="L158" i="12" s="1"/>
  <c r="G150" i="12"/>
  <c r="L150" i="12" s="1"/>
  <c r="G142" i="12"/>
  <c r="L142" i="12" s="1"/>
  <c r="G127" i="12"/>
  <c r="L127" i="12" s="1"/>
  <c r="G120" i="12"/>
  <c r="L120" i="12" s="1"/>
  <c r="F154" i="12"/>
  <c r="K154" i="12" s="1"/>
  <c r="F146" i="12"/>
  <c r="F138" i="12"/>
  <c r="K138" i="12" s="1"/>
  <c r="F134" i="12"/>
  <c r="K134" i="12" s="1"/>
  <c r="G130" i="12"/>
  <c r="L130" i="12" s="1"/>
  <c r="F118" i="12"/>
  <c r="K118" i="12" s="1"/>
  <c r="G114" i="12"/>
  <c r="L114" i="12" s="1"/>
  <c r="G230" i="12"/>
  <c r="L230" i="12" s="1"/>
  <c r="F221" i="12"/>
  <c r="K221" i="12" s="1"/>
  <c r="F209" i="12"/>
  <c r="K209" i="12" s="1"/>
  <c r="G202" i="12"/>
  <c r="L202" i="12" s="1"/>
  <c r="G175" i="12"/>
  <c r="L175" i="12" s="1"/>
  <c r="F169" i="12"/>
  <c r="K169" i="12" s="1"/>
  <c r="G167" i="12"/>
  <c r="L167" i="12" s="1"/>
  <c r="F161" i="12"/>
  <c r="K161" i="12" s="1"/>
  <c r="F121" i="12"/>
  <c r="K121" i="12" s="1"/>
  <c r="F108" i="12"/>
  <c r="K108" i="12" s="1"/>
  <c r="F100" i="12"/>
  <c r="K100" i="12" s="1"/>
  <c r="F20" i="12"/>
  <c r="K20" i="12" s="1"/>
  <c r="G32" i="12"/>
  <c r="L32" i="12" s="1"/>
  <c r="G40" i="12"/>
  <c r="L40" i="12" s="1"/>
  <c r="F58" i="12"/>
  <c r="K58" i="12" s="1"/>
  <c r="F66" i="12"/>
  <c r="F71" i="12"/>
  <c r="K71" i="12" s="1"/>
  <c r="F74" i="12"/>
  <c r="K74" i="12" s="1"/>
  <c r="G76" i="12"/>
  <c r="L76" i="12" s="1"/>
  <c r="F79" i="12"/>
  <c r="K79" i="12" s="1"/>
  <c r="F82" i="12"/>
  <c r="K82" i="12" s="1"/>
  <c r="G84" i="12"/>
  <c r="L84" i="12" s="1"/>
  <c r="F87" i="12"/>
  <c r="K87" i="12" s="1"/>
  <c r="F90" i="12"/>
  <c r="K90" i="12" s="1"/>
  <c r="G93" i="12"/>
  <c r="L93" i="12" s="1"/>
  <c r="F95" i="12"/>
  <c r="K95" i="12" s="1"/>
  <c r="F104" i="12"/>
  <c r="K104" i="12" s="1"/>
  <c r="F106" i="12"/>
  <c r="G115" i="12"/>
  <c r="L115" i="12" s="1"/>
  <c r="G124" i="12"/>
  <c r="L124" i="12" s="1"/>
  <c r="F126" i="12"/>
  <c r="G133" i="12"/>
  <c r="L133" i="12" s="1"/>
  <c r="G147" i="12"/>
  <c r="L147" i="12" s="1"/>
  <c r="F181" i="12"/>
  <c r="K181" i="12" s="1"/>
  <c r="F204" i="12"/>
  <c r="K204" i="12" s="1"/>
  <c r="G209" i="12"/>
  <c r="L209" i="12" s="1"/>
  <c r="G248" i="12"/>
  <c r="L248" i="12" s="1"/>
  <c r="F5" i="12"/>
  <c r="K5" i="12" s="1"/>
  <c r="F6" i="12"/>
  <c r="K6" i="12" s="1"/>
  <c r="G7" i="12"/>
  <c r="L7" i="12" s="1"/>
  <c r="G18" i="12"/>
  <c r="L18" i="12" s="1"/>
  <c r="G20" i="12"/>
  <c r="L20" i="12" s="1"/>
  <c r="F21" i="12"/>
  <c r="K21" i="12" s="1"/>
  <c r="G22" i="12"/>
  <c r="L22" i="12" s="1"/>
  <c r="G27" i="12"/>
  <c r="L27" i="12" s="1"/>
  <c r="F31" i="12"/>
  <c r="K31" i="12" s="1"/>
  <c r="G35" i="12"/>
  <c r="L35" i="12" s="1"/>
  <c r="F39" i="12"/>
  <c r="K39" i="12" s="1"/>
  <c r="G43" i="12"/>
  <c r="L43" i="12" s="1"/>
  <c r="F47" i="12"/>
  <c r="K47" i="12" s="1"/>
  <c r="G52" i="12"/>
  <c r="L52" i="12" s="1"/>
  <c r="G58" i="12"/>
  <c r="L58" i="12" s="1"/>
  <c r="F61" i="12"/>
  <c r="K61" i="12" s="1"/>
  <c r="F69" i="12"/>
  <c r="G71" i="12"/>
  <c r="L71" i="12" s="1"/>
  <c r="G74" i="12"/>
  <c r="L74" i="12" s="1"/>
  <c r="F76" i="12"/>
  <c r="K76" i="12" s="1"/>
  <c r="G79" i="12"/>
  <c r="L79" i="12" s="1"/>
  <c r="G82" i="12"/>
  <c r="L82" i="12" s="1"/>
  <c r="F84" i="12"/>
  <c r="K84" i="12" s="1"/>
  <c r="G87" i="12"/>
  <c r="L87" i="12" s="1"/>
  <c r="G90" i="12"/>
  <c r="L90" i="12" s="1"/>
  <c r="G100" i="12"/>
  <c r="L100" i="12" s="1"/>
  <c r="G104" i="12"/>
  <c r="L104" i="12" s="1"/>
  <c r="G122" i="12"/>
  <c r="L122" i="12" s="1"/>
  <c r="G145" i="12"/>
  <c r="L145" i="12" s="1"/>
  <c r="G161" i="12"/>
  <c r="L161" i="12" s="1"/>
  <c r="G169" i="12"/>
  <c r="L169" i="12" s="1"/>
  <c r="G177" i="12"/>
  <c r="L177" i="12" s="1"/>
  <c r="G204" i="12"/>
  <c r="L204" i="12" s="1"/>
  <c r="F223" i="12"/>
  <c r="K223" i="12" s="1"/>
  <c r="G236" i="12"/>
  <c r="L236" i="12" s="1"/>
  <c r="G241" i="12"/>
  <c r="L241" i="12" s="1"/>
  <c r="G5" i="12"/>
  <c r="L5" i="12" s="1"/>
  <c r="G6" i="12"/>
  <c r="L6" i="12" s="1"/>
  <c r="F11" i="12"/>
  <c r="K11" i="12" s="1"/>
  <c r="G21" i="12"/>
  <c r="L21" i="12" s="1"/>
  <c r="F25" i="12"/>
  <c r="F30" i="12"/>
  <c r="K30" i="12" s="1"/>
  <c r="G31" i="12"/>
  <c r="L31" i="12" s="1"/>
  <c r="G34" i="12"/>
  <c r="L34" i="12" s="1"/>
  <c r="F38" i="12"/>
  <c r="K38" i="12" s="1"/>
  <c r="G39" i="12"/>
  <c r="L39" i="12" s="1"/>
  <c r="G42" i="12"/>
  <c r="L42" i="12" s="1"/>
  <c r="G47" i="12"/>
  <c r="L47" i="12" s="1"/>
  <c r="F51" i="12"/>
  <c r="K51" i="12" s="1"/>
  <c r="F57" i="12"/>
  <c r="K57" i="12" s="1"/>
  <c r="G61" i="12"/>
  <c r="L61" i="12" s="1"/>
  <c r="F63" i="12"/>
  <c r="K63" i="12" s="1"/>
  <c r="G69" i="12"/>
  <c r="F70" i="12"/>
  <c r="K70" i="12" s="1"/>
  <c r="F78" i="12"/>
  <c r="K78" i="12" s="1"/>
  <c r="F86" i="12"/>
  <c r="F92" i="12"/>
  <c r="K92" i="12" s="1"/>
  <c r="G98" i="12"/>
  <c r="L98" i="12" s="1"/>
  <c r="F107" i="12"/>
  <c r="K107" i="12" s="1"/>
  <c r="F109" i="12"/>
  <c r="K109" i="12" s="1"/>
  <c r="F127" i="12"/>
  <c r="K127" i="12" s="1"/>
  <c r="F167" i="12"/>
  <c r="K167" i="12" s="1"/>
  <c r="F175" i="12"/>
  <c r="K175" i="12" s="1"/>
  <c r="F177" i="12"/>
  <c r="K177" i="12" s="1"/>
  <c r="F218" i="12"/>
  <c r="K218" i="12" s="1"/>
  <c r="F234" i="12"/>
  <c r="K234" i="12" s="1"/>
  <c r="F239" i="12"/>
  <c r="K239" i="12" s="1"/>
  <c r="F241" i="12"/>
  <c r="K241" i="12" s="1"/>
  <c r="G11" i="12"/>
  <c r="L11" i="12" s="1"/>
  <c r="G25" i="12"/>
  <c r="F26" i="12"/>
  <c r="F29" i="12"/>
  <c r="K29" i="12" s="1"/>
  <c r="G30" i="12"/>
  <c r="L30" i="12" s="1"/>
  <c r="F34" i="12"/>
  <c r="K34" i="12" s="1"/>
  <c r="F37" i="12"/>
  <c r="K37" i="12" s="1"/>
  <c r="G38" i="12"/>
  <c r="L38" i="12" s="1"/>
  <c r="F42" i="12"/>
  <c r="K42" i="12" s="1"/>
  <c r="F45" i="12"/>
  <c r="F50" i="12"/>
  <c r="K50" i="12" s="1"/>
  <c r="G51" i="12"/>
  <c r="L51" i="12" s="1"/>
  <c r="G54" i="12"/>
  <c r="L54" i="12" s="1"/>
  <c r="G57" i="12"/>
  <c r="L57" i="12" s="1"/>
  <c r="F60" i="12"/>
  <c r="K60" i="12" s="1"/>
  <c r="G63" i="12"/>
  <c r="L63" i="12" s="1"/>
  <c r="F65" i="12"/>
  <c r="K65" i="12" s="1"/>
  <c r="F68" i="12"/>
  <c r="K68" i="12" s="1"/>
  <c r="G70" i="12"/>
  <c r="L70" i="12" s="1"/>
  <c r="F73" i="12"/>
  <c r="K73" i="12" s="1"/>
  <c r="G78" i="12"/>
  <c r="L78" i="12" s="1"/>
  <c r="F81" i="12"/>
  <c r="K81" i="12" s="1"/>
  <c r="F89" i="12"/>
  <c r="K89" i="12" s="1"/>
  <c r="F96" i="12"/>
  <c r="K96" i="12" s="1"/>
  <c r="F98" i="12"/>
  <c r="K98" i="12" s="1"/>
  <c r="G107" i="12"/>
  <c r="L107" i="12" s="1"/>
  <c r="G109" i="12"/>
  <c r="L109" i="12" s="1"/>
  <c r="F141" i="12"/>
  <c r="K141" i="12" s="1"/>
  <c r="F157" i="12"/>
  <c r="K157" i="12" s="1"/>
  <c r="G192" i="12"/>
  <c r="L192" i="12" s="1"/>
  <c r="G197" i="12"/>
  <c r="F12" i="12"/>
  <c r="K12" i="12" s="1"/>
  <c r="F15" i="12"/>
  <c r="K15" i="12" s="1"/>
  <c r="F33" i="12"/>
  <c r="K33" i="12" s="1"/>
  <c r="F41" i="12"/>
  <c r="K41" i="12" s="1"/>
  <c r="G56" i="12"/>
  <c r="L56" i="12" s="1"/>
  <c r="G73" i="12"/>
  <c r="L73" i="12" s="1"/>
  <c r="F75" i="12"/>
  <c r="K75" i="12" s="1"/>
  <c r="G81" i="12"/>
  <c r="L81" i="12" s="1"/>
  <c r="F83" i="12"/>
  <c r="K83" i="12" s="1"/>
  <c r="G89" i="12"/>
  <c r="L89" i="12" s="1"/>
  <c r="F91" i="12"/>
  <c r="G92" i="12"/>
  <c r="L92" i="12" s="1"/>
  <c r="F94" i="12"/>
  <c r="K94" i="12" s="1"/>
  <c r="G96" i="12"/>
  <c r="L96" i="12" s="1"/>
  <c r="G139" i="12"/>
  <c r="L139" i="12" s="1"/>
  <c r="G155" i="12"/>
  <c r="L155" i="12" s="1"/>
  <c r="F165" i="12"/>
  <c r="K165" i="12" s="1"/>
  <c r="F195" i="12"/>
  <c r="K195" i="12" s="1"/>
  <c r="F197" i="12"/>
  <c r="F200" i="12"/>
  <c r="K200" i="12" s="1"/>
  <c r="G213" i="12"/>
  <c r="L213" i="12" s="1"/>
  <c r="F216" i="12"/>
  <c r="K216" i="12" s="1"/>
  <c r="F232" i="12"/>
  <c r="K232" i="12" s="1"/>
  <c r="F114" i="12"/>
  <c r="K114" i="12" s="1"/>
  <c r="F148" i="12"/>
  <c r="K148" i="12" s="1"/>
  <c r="F156" i="12"/>
  <c r="K156" i="12" s="1"/>
  <c r="G165" i="12"/>
  <c r="L165" i="12" s="1"/>
  <c r="G173" i="12"/>
  <c r="L173" i="12" s="1"/>
  <c r="F186" i="12"/>
  <c r="G195" i="12"/>
  <c r="L195" i="12" s="1"/>
  <c r="G200" i="12"/>
  <c r="L200" i="12" s="1"/>
  <c r="F207" i="12"/>
  <c r="K207" i="12" s="1"/>
  <c r="G216" i="12"/>
  <c r="L216" i="12" s="1"/>
  <c r="G221" i="12"/>
  <c r="L221" i="12" s="1"/>
  <c r="G225" i="12"/>
  <c r="L225" i="12" s="1"/>
  <c r="F228" i="12"/>
  <c r="K228" i="12" s="1"/>
  <c r="G232" i="12"/>
  <c r="L232" i="12" s="1"/>
  <c r="G239" i="12"/>
  <c r="L239" i="12" s="1"/>
  <c r="F246" i="12"/>
  <c r="G95" i="12"/>
  <c r="L95" i="12" s="1"/>
  <c r="F103" i="12"/>
  <c r="K103" i="12" s="1"/>
  <c r="F111" i="12"/>
  <c r="K111" i="12" s="1"/>
  <c r="F116" i="12"/>
  <c r="K116" i="12" s="1"/>
  <c r="G118" i="12"/>
  <c r="L118" i="12" s="1"/>
  <c r="F123" i="12"/>
  <c r="K123" i="12" s="1"/>
  <c r="F125" i="12"/>
  <c r="K125" i="12" s="1"/>
  <c r="F132" i="12"/>
  <c r="K132" i="12" s="1"/>
  <c r="G134" i="12"/>
  <c r="L134" i="12" s="1"/>
  <c r="G136" i="12"/>
  <c r="G138" i="12"/>
  <c r="L138" i="12" s="1"/>
  <c r="G140" i="12"/>
  <c r="L140" i="12" s="1"/>
  <c r="F144" i="12"/>
  <c r="K144" i="12" s="1"/>
  <c r="G148" i="12"/>
  <c r="L148" i="12" s="1"/>
  <c r="F152" i="12"/>
  <c r="K152" i="12" s="1"/>
  <c r="G154" i="12"/>
  <c r="L154" i="12" s="1"/>
  <c r="G156" i="12"/>
  <c r="L156" i="12" s="1"/>
  <c r="F180" i="12"/>
  <c r="F184" i="12"/>
  <c r="K184" i="12" s="1"/>
  <c r="F191" i="12"/>
  <c r="K191" i="12" s="1"/>
  <c r="F198" i="12"/>
  <c r="K198" i="12" s="1"/>
  <c r="G207" i="12"/>
  <c r="L207" i="12" s="1"/>
  <c r="F214" i="12"/>
  <c r="K214" i="12" s="1"/>
  <c r="F219" i="12"/>
  <c r="K219" i="12" s="1"/>
  <c r="G228" i="12"/>
  <c r="L228" i="12" s="1"/>
  <c r="F235" i="12"/>
  <c r="F244" i="12"/>
  <c r="K244" i="12" s="1"/>
  <c r="F251" i="12"/>
  <c r="K251" i="12" s="1"/>
  <c r="F97" i="12"/>
  <c r="K97" i="12" s="1"/>
  <c r="G103" i="12"/>
  <c r="L103" i="12" s="1"/>
  <c r="F105" i="12"/>
  <c r="K105" i="12" s="1"/>
  <c r="G111" i="12"/>
  <c r="L111" i="12" s="1"/>
  <c r="F113" i="12"/>
  <c r="G116" i="12"/>
  <c r="L116" i="12" s="1"/>
  <c r="G125" i="12"/>
  <c r="L125" i="12" s="1"/>
  <c r="G132" i="12"/>
  <c r="L132" i="12" s="1"/>
  <c r="G144" i="12"/>
  <c r="L144" i="12" s="1"/>
  <c r="G152" i="12"/>
  <c r="L152" i="12" s="1"/>
  <c r="F160" i="12"/>
  <c r="K160" i="12" s="1"/>
  <c r="F168" i="12"/>
  <c r="K168" i="12" s="1"/>
  <c r="F176" i="12"/>
  <c r="K176" i="12" s="1"/>
  <c r="G180" i="12"/>
  <c r="G184" i="12"/>
  <c r="L184" i="12" s="1"/>
  <c r="G189" i="12"/>
  <c r="L189" i="12" s="1"/>
  <c r="G193" i="12"/>
  <c r="L193" i="12" s="1"/>
  <c r="F196" i="12"/>
  <c r="K196" i="12" s="1"/>
  <c r="F203" i="12"/>
  <c r="K203" i="12" s="1"/>
  <c r="F212" i="12"/>
  <c r="K212" i="12" s="1"/>
  <c r="G219" i="12"/>
  <c r="L219" i="12" s="1"/>
  <c r="F226" i="12"/>
  <c r="G235" i="12"/>
  <c r="G237" i="12"/>
  <c r="L237" i="12" s="1"/>
  <c r="F240" i="12"/>
  <c r="K240" i="12" s="1"/>
  <c r="G244" i="12"/>
  <c r="L244" i="12" s="1"/>
  <c r="G249" i="12"/>
  <c r="L249" i="12" s="1"/>
  <c r="G253" i="12"/>
  <c r="L253" i="12" s="1"/>
  <c r="G97" i="12"/>
  <c r="L97" i="12" s="1"/>
  <c r="F102" i="12"/>
  <c r="K102" i="12" s="1"/>
  <c r="G105" i="12"/>
  <c r="L105" i="12" s="1"/>
  <c r="F110" i="12"/>
  <c r="K110" i="12" s="1"/>
  <c r="G113" i="12"/>
  <c r="G160" i="12"/>
  <c r="L160" i="12" s="1"/>
  <c r="F164" i="12"/>
  <c r="K164" i="12" s="1"/>
  <c r="G168" i="12"/>
  <c r="L168" i="12" s="1"/>
  <c r="F172" i="12"/>
  <c r="K172" i="12" s="1"/>
  <c r="G176" i="12"/>
  <c r="L176" i="12" s="1"/>
  <c r="F187" i="12"/>
  <c r="K187" i="12" s="1"/>
  <c r="G196" i="12"/>
  <c r="L196" i="12" s="1"/>
  <c r="G201" i="12"/>
  <c r="L201" i="12" s="1"/>
  <c r="G205" i="12"/>
  <c r="L205" i="12" s="1"/>
  <c r="F208" i="12"/>
  <c r="K208" i="12" s="1"/>
  <c r="G212" i="12"/>
  <c r="L212" i="12" s="1"/>
  <c r="G217" i="12"/>
  <c r="F224" i="12"/>
  <c r="K224" i="12" s="1"/>
  <c r="F231" i="12"/>
  <c r="K231" i="12" s="1"/>
  <c r="G240" i="12"/>
  <c r="L240" i="12" s="1"/>
  <c r="F247" i="12"/>
  <c r="K247" i="12" s="1"/>
  <c r="F122" i="12"/>
  <c r="K122" i="12" s="1"/>
  <c r="F135" i="12"/>
  <c r="K135" i="12" s="1"/>
  <c r="F139" i="12"/>
  <c r="K139" i="12" s="1"/>
  <c r="F147" i="12"/>
  <c r="K147" i="12" s="1"/>
  <c r="F155" i="12"/>
  <c r="K155" i="12" s="1"/>
  <c r="G164" i="12"/>
  <c r="L164" i="12" s="1"/>
  <c r="G172" i="12"/>
  <c r="L172" i="12" s="1"/>
  <c r="G187" i="12"/>
  <c r="L187" i="12" s="1"/>
  <c r="F194" i="12"/>
  <c r="K194" i="12" s="1"/>
  <c r="F199" i="12"/>
  <c r="K199" i="12" s="1"/>
  <c r="G208" i="12"/>
  <c r="L208" i="12" s="1"/>
  <c r="F215" i="12"/>
  <c r="K215" i="12" s="1"/>
  <c r="F220" i="12"/>
  <c r="K220" i="12" s="1"/>
  <c r="G224" i="12"/>
  <c r="L224" i="12" s="1"/>
  <c r="G229" i="12"/>
  <c r="L229" i="12" s="1"/>
  <c r="G233" i="12"/>
  <c r="L233" i="12" s="1"/>
  <c r="F238" i="12"/>
  <c r="K238" i="12" s="1"/>
  <c r="G247" i="12"/>
  <c r="L247" i="12" s="1"/>
  <c r="F115" i="12"/>
  <c r="K115" i="12" s="1"/>
  <c r="F117" i="12"/>
  <c r="K117" i="12" s="1"/>
  <c r="F124" i="12"/>
  <c r="K124" i="12" s="1"/>
  <c r="F131" i="12"/>
  <c r="K131" i="12" s="1"/>
  <c r="F133" i="12"/>
  <c r="K133" i="12" s="1"/>
  <c r="F137" i="12"/>
  <c r="K137" i="12" s="1"/>
  <c r="F143" i="12"/>
  <c r="K143" i="12" s="1"/>
  <c r="F145" i="12"/>
  <c r="K145" i="12" s="1"/>
  <c r="G149" i="12"/>
  <c r="L149" i="12" s="1"/>
  <c r="F151" i="12"/>
  <c r="K151" i="12" s="1"/>
  <c r="F153" i="12"/>
  <c r="K153" i="12" s="1"/>
  <c r="G157" i="12"/>
  <c r="L157" i="12" s="1"/>
  <c r="F159" i="12"/>
  <c r="F179" i="12"/>
  <c r="K179" i="12" s="1"/>
  <c r="F183" i="12"/>
  <c r="K183" i="12" s="1"/>
  <c r="F192" i="12"/>
  <c r="K192" i="12" s="1"/>
  <c r="G199" i="12"/>
  <c r="L199" i="12" s="1"/>
  <c r="F206" i="12"/>
  <c r="G215" i="12"/>
  <c r="L215" i="12" s="1"/>
  <c r="G220" i="12"/>
  <c r="L220" i="12" s="1"/>
  <c r="F227" i="12"/>
  <c r="K227" i="12" s="1"/>
  <c r="F236" i="12"/>
  <c r="K236" i="12" s="1"/>
  <c r="F243" i="12"/>
  <c r="K243" i="12" s="1"/>
  <c r="F252" i="12"/>
  <c r="K252" i="12" s="1"/>
  <c r="K180" i="12" l="1"/>
  <c r="H180" i="12"/>
  <c r="Q19" i="12" s="1"/>
  <c r="L217" i="12"/>
  <c r="L91" i="12"/>
  <c r="K126" i="12"/>
  <c r="G126" i="12"/>
  <c r="L126" i="12" s="1"/>
  <c r="K25" i="12"/>
  <c r="H25" i="12"/>
  <c r="Q12" i="12" s="1"/>
  <c r="H69" i="12"/>
  <c r="Q14" i="12" s="1"/>
  <c r="K69" i="12"/>
  <c r="K166" i="12"/>
  <c r="G166" i="12"/>
  <c r="L166" i="12" s="1"/>
  <c r="L235" i="12"/>
  <c r="L180" i="12"/>
  <c r="L136" i="12"/>
  <c r="H113" i="12"/>
  <c r="Q16" i="12" s="1"/>
  <c r="K113" i="12"/>
  <c r="K66" i="12"/>
  <c r="G66" i="12"/>
  <c r="L66" i="12" s="1"/>
  <c r="N45" i="12" s="1"/>
  <c r="K186" i="12"/>
  <c r="G186" i="12"/>
  <c r="L186" i="12" s="1"/>
  <c r="K86" i="12"/>
  <c r="G86" i="12"/>
  <c r="L86" i="12" s="1"/>
  <c r="K226" i="12"/>
  <c r="G226" i="12"/>
  <c r="L226" i="12" s="1"/>
  <c r="K206" i="12"/>
  <c r="G206" i="12"/>
  <c r="L206" i="12" s="1"/>
  <c r="L197" i="12"/>
  <c r="N197" i="12" s="1"/>
  <c r="K136" i="12"/>
  <c r="H136" i="12"/>
  <c r="Q17" i="12" s="1"/>
  <c r="K26" i="12"/>
  <c r="G26" i="12"/>
  <c r="L26" i="12" s="1"/>
  <c r="L69" i="12"/>
  <c r="K217" i="12"/>
  <c r="H217" i="12"/>
  <c r="Q21" i="12" s="1"/>
  <c r="K235" i="12"/>
  <c r="H235" i="12"/>
  <c r="Q22" i="12" s="1"/>
  <c r="K3" i="12"/>
  <c r="M3" i="12" s="1"/>
  <c r="H3" i="12"/>
  <c r="Q11" i="12" s="1"/>
  <c r="K246" i="12"/>
  <c r="G246" i="12"/>
  <c r="L246" i="12" s="1"/>
  <c r="L113" i="12"/>
  <c r="K106" i="12"/>
  <c r="G106" i="12"/>
  <c r="L106" i="12" s="1"/>
  <c r="L3" i="12"/>
  <c r="N3" i="12" s="1"/>
  <c r="I3" i="12"/>
  <c r="R11" i="12" s="1"/>
  <c r="K159" i="12"/>
  <c r="H159" i="12"/>
  <c r="Q18" i="12" s="1"/>
  <c r="K197" i="12"/>
  <c r="H197" i="12"/>
  <c r="Q20" i="12" s="1"/>
  <c r="H91" i="12"/>
  <c r="Q15" i="12" s="1"/>
  <c r="K91" i="12"/>
  <c r="K45" i="12"/>
  <c r="H45" i="12"/>
  <c r="Q13" i="12" s="1"/>
  <c r="L25" i="12"/>
  <c r="K146" i="12"/>
  <c r="G146" i="12"/>
  <c r="L146" i="12" s="1"/>
  <c r="L159" i="12"/>
  <c r="N159" i="12" l="1"/>
  <c r="M197" i="12"/>
  <c r="I235" i="12"/>
  <c r="R22" i="12" s="1"/>
  <c r="I45" i="12"/>
  <c r="R13" i="12" s="1"/>
  <c r="M113" i="12"/>
  <c r="M45" i="12"/>
  <c r="M136" i="12"/>
  <c r="I136" i="12"/>
  <c r="R17" i="12" s="1"/>
  <c r="M91" i="12"/>
  <c r="M235" i="12"/>
  <c r="I197" i="12"/>
  <c r="R20" i="12" s="1"/>
  <c r="N91" i="12"/>
  <c r="I159" i="12"/>
  <c r="R18" i="12" s="1"/>
  <c r="I91" i="12"/>
  <c r="R15" i="12" s="1"/>
  <c r="I113" i="12"/>
  <c r="R16" i="12" s="1"/>
  <c r="N136" i="12"/>
  <c r="M69" i="12"/>
  <c r="I217" i="12"/>
  <c r="R21" i="12" s="1"/>
  <c r="N113" i="12"/>
  <c r="M217" i="12"/>
  <c r="I180" i="12"/>
  <c r="R19" i="12" s="1"/>
  <c r="N217" i="12"/>
  <c r="I25" i="12"/>
  <c r="R12" i="12" s="1"/>
  <c r="N69" i="12"/>
  <c r="N180" i="12"/>
  <c r="N25" i="12"/>
  <c r="M159" i="12"/>
  <c r="I69" i="12"/>
  <c r="R14" i="12" s="1"/>
  <c r="N235" i="12"/>
  <c r="M25" i="12"/>
  <c r="M180" i="12"/>
  <c r="J319" i="13" l="1"/>
  <c r="I319" i="13"/>
  <c r="Q17" i="13"/>
  <c r="L17" i="13"/>
  <c r="L23" i="13" s="1"/>
  <c r="P16" i="13"/>
  <c r="O16" i="13"/>
  <c r="N16" i="13"/>
  <c r="M16" i="13"/>
  <c r="L16" i="13"/>
  <c r="K16" i="13"/>
  <c r="K17" i="13" s="1"/>
  <c r="J16" i="13"/>
  <c r="I16" i="13"/>
  <c r="H16" i="13"/>
  <c r="J14" i="13"/>
  <c r="L13" i="13"/>
  <c r="J13" i="13"/>
  <c r="J17" i="13" s="1"/>
  <c r="J22" i="13" s="1"/>
  <c r="I13" i="13"/>
  <c r="H13" i="13"/>
  <c r="H17" i="13" s="1"/>
  <c r="Q12" i="13"/>
  <c r="P12" i="13"/>
  <c r="O12" i="13"/>
  <c r="N12" i="13"/>
  <c r="M12" i="13"/>
  <c r="L12" i="13"/>
  <c r="K12" i="13"/>
  <c r="J12" i="13"/>
  <c r="I12" i="13"/>
  <c r="H12" i="13"/>
  <c r="Q11" i="13"/>
  <c r="P11" i="13"/>
  <c r="O11" i="13"/>
  <c r="N11" i="13"/>
  <c r="M11" i="13"/>
  <c r="L11" i="13"/>
  <c r="K11" i="13"/>
  <c r="J11" i="13"/>
  <c r="I11" i="13"/>
  <c r="I15" i="13" s="1"/>
  <c r="H11" i="13"/>
  <c r="H8" i="13"/>
  <c r="I8" i="13" s="1"/>
  <c r="H7" i="13"/>
  <c r="I7" i="13" s="1"/>
  <c r="H6" i="13"/>
  <c r="H5" i="13"/>
  <c r="H4" i="13"/>
  <c r="H3" i="13"/>
  <c r="H2" i="13"/>
  <c r="R60" i="2"/>
  <c r="R59" i="2"/>
  <c r="M58" i="2"/>
  <c r="R51" i="2"/>
  <c r="R50" i="2"/>
  <c r="J52" i="2"/>
  <c r="G16" i="5"/>
  <c r="H16" i="5" s="1"/>
  <c r="I16" i="5" s="1"/>
  <c r="K16" i="5" s="1"/>
  <c r="E19" i="5"/>
  <c r="G19" i="5" s="1"/>
  <c r="H19" i="5" s="1"/>
  <c r="I19" i="5" s="1"/>
  <c r="K19" i="5" s="1"/>
  <c r="C20" i="5"/>
  <c r="C20" i="2"/>
  <c r="K41" i="2"/>
  <c r="J41" i="2"/>
  <c r="I41" i="2"/>
  <c r="H41" i="2"/>
  <c r="G41" i="2"/>
  <c r="F41" i="2"/>
  <c r="I41" i="5"/>
  <c r="G41" i="5"/>
  <c r="H41" i="5"/>
  <c r="J41" i="5"/>
  <c r="K41" i="5"/>
  <c r="F41" i="5"/>
  <c r="K20" i="5"/>
  <c r="H20" i="5"/>
  <c r="K20" i="2"/>
  <c r="G13" i="2"/>
  <c r="H13" i="2" s="1"/>
  <c r="I13" i="2" s="1"/>
  <c r="K13" i="2" s="1"/>
  <c r="G16" i="2"/>
  <c r="H16" i="2" s="1"/>
  <c r="I16" i="2" s="1"/>
  <c r="K16" i="2" s="1"/>
  <c r="G11" i="5"/>
  <c r="H11" i="5" s="1"/>
  <c r="I11" i="5" s="1"/>
  <c r="K11" i="5" s="1"/>
  <c r="G5" i="5"/>
  <c r="H5" i="5" s="1"/>
  <c r="G6" i="5"/>
  <c r="H6" i="5" s="1"/>
  <c r="I6" i="5" s="1"/>
  <c r="K6" i="5" s="1"/>
  <c r="G9" i="5"/>
  <c r="H9" i="5" s="1"/>
  <c r="I9" i="5" s="1"/>
  <c r="K9" i="5" s="1"/>
  <c r="D9" i="5" s="1"/>
  <c r="L9" i="5" s="1"/>
  <c r="G13" i="5"/>
  <c r="H13" i="5" s="1"/>
  <c r="I13" i="5" s="1"/>
  <c r="K13" i="5" s="1"/>
  <c r="G14" i="5"/>
  <c r="H14" i="5" s="1"/>
  <c r="I14" i="5" s="1"/>
  <c r="K14" i="5" s="1"/>
  <c r="G15" i="5"/>
  <c r="H15" i="5" s="1"/>
  <c r="I15" i="5" s="1"/>
  <c r="K15" i="5" s="1"/>
  <c r="G18" i="5"/>
  <c r="H18" i="5" s="1"/>
  <c r="I18" i="5" s="1"/>
  <c r="K18" i="5" s="1"/>
  <c r="G4" i="5"/>
  <c r="H4" i="5" s="1"/>
  <c r="I4" i="5" s="1"/>
  <c r="K4" i="5" s="1"/>
  <c r="B41" i="2"/>
  <c r="J12" i="11" s="1"/>
  <c r="J12" i="6"/>
  <c r="K24" i="11"/>
  <c r="O24" i="11"/>
  <c r="K21" i="11"/>
  <c r="O21" i="11"/>
  <c r="K18" i="11"/>
  <c r="O18" i="11"/>
  <c r="K15" i="11"/>
  <c r="O15" i="11"/>
  <c r="K12" i="11"/>
  <c r="O12" i="11"/>
  <c r="K11" i="11"/>
  <c r="J11" i="11"/>
  <c r="O11" i="11"/>
  <c r="B70" i="2"/>
  <c r="J24" i="11" s="1"/>
  <c r="B63" i="2"/>
  <c r="J21" i="11" s="1"/>
  <c r="B56" i="2"/>
  <c r="J18" i="11" s="1"/>
  <c r="B49" i="2"/>
  <c r="J15" i="11" s="1"/>
  <c r="B11" i="11"/>
  <c r="B2" i="11"/>
  <c r="K24" i="10"/>
  <c r="O24" i="10"/>
  <c r="K21" i="10"/>
  <c r="O21" i="10"/>
  <c r="K18" i="10"/>
  <c r="O18" i="10"/>
  <c r="K15" i="10"/>
  <c r="O15" i="10"/>
  <c r="K12" i="10"/>
  <c r="O12" i="10"/>
  <c r="K11" i="10"/>
  <c r="J11" i="10"/>
  <c r="O11" i="10"/>
  <c r="J24" i="10"/>
  <c r="J21" i="10"/>
  <c r="J18" i="10"/>
  <c r="J15" i="10"/>
  <c r="J12" i="10"/>
  <c r="B11" i="10"/>
  <c r="B2" i="10"/>
  <c r="J15" i="6"/>
  <c r="J14" i="6"/>
  <c r="J13" i="6"/>
  <c r="K24" i="8"/>
  <c r="O24" i="8"/>
  <c r="K21" i="8"/>
  <c r="O21" i="8"/>
  <c r="K18" i="8"/>
  <c r="O18" i="8"/>
  <c r="K15" i="8"/>
  <c r="O15" i="8"/>
  <c r="K12" i="8"/>
  <c r="O12" i="8"/>
  <c r="K11" i="8"/>
  <c r="J11" i="8"/>
  <c r="O11" i="8"/>
  <c r="B70" i="5"/>
  <c r="J24" i="8" s="1"/>
  <c r="B63" i="5"/>
  <c r="J21" i="8" s="1"/>
  <c r="B56" i="5"/>
  <c r="J18" i="8" s="1"/>
  <c r="B49" i="5"/>
  <c r="J15" i="8" s="1"/>
  <c r="B41" i="5"/>
  <c r="J12" i="8" s="1"/>
  <c r="J16" i="6"/>
  <c r="K16" i="6"/>
  <c r="O16" i="6"/>
  <c r="K15" i="6"/>
  <c r="O15" i="6"/>
  <c r="K14" i="6"/>
  <c r="O14" i="6"/>
  <c r="K13" i="6"/>
  <c r="O13" i="6"/>
  <c r="K12" i="6"/>
  <c r="O12" i="6"/>
  <c r="K11" i="6"/>
  <c r="J11" i="6"/>
  <c r="O11" i="6"/>
  <c r="B11" i="8"/>
  <c r="B2" i="8"/>
  <c r="B11" i="6"/>
  <c r="B2" i="6"/>
  <c r="M10" i="5"/>
  <c r="O10" i="5" s="1"/>
  <c r="F10" i="5"/>
  <c r="E10" i="5"/>
  <c r="G10" i="5" s="1"/>
  <c r="H10" i="5" s="1"/>
  <c r="I10" i="5" s="1"/>
  <c r="K10" i="5" s="1"/>
  <c r="E7" i="5"/>
  <c r="G7" i="5" s="1"/>
  <c r="H7" i="5" s="1"/>
  <c r="I7" i="5" s="1"/>
  <c r="K7" i="5" s="1"/>
  <c r="O5" i="5"/>
  <c r="G19" i="2"/>
  <c r="H19" i="2" s="1"/>
  <c r="I19" i="2" s="1"/>
  <c r="K19" i="2" s="1"/>
  <c r="G18" i="2"/>
  <c r="H18" i="2" s="1"/>
  <c r="I18" i="2" s="1"/>
  <c r="K18" i="2" s="1"/>
  <c r="G15" i="2"/>
  <c r="H15" i="2" s="1"/>
  <c r="I15" i="2" s="1"/>
  <c r="K15" i="2" s="1"/>
  <c r="G14" i="2"/>
  <c r="H14" i="2" s="1"/>
  <c r="I14" i="2" s="1"/>
  <c r="K14" i="2" s="1"/>
  <c r="O11" i="2"/>
  <c r="G11" i="2"/>
  <c r="H11" i="2" s="1"/>
  <c r="I11" i="2" s="1"/>
  <c r="K11" i="2" s="1"/>
  <c r="M10" i="2"/>
  <c r="O10" i="2" s="1"/>
  <c r="F10" i="2"/>
  <c r="E10" i="2"/>
  <c r="G9" i="2"/>
  <c r="H9" i="2" s="1"/>
  <c r="I9" i="2" s="1"/>
  <c r="K9" i="2" s="1"/>
  <c r="E7" i="2"/>
  <c r="G7" i="2" s="1"/>
  <c r="H7" i="2" s="1"/>
  <c r="I7" i="2" s="1"/>
  <c r="K7" i="2" s="1"/>
  <c r="O6" i="2"/>
  <c r="G6" i="2"/>
  <c r="H6" i="2" s="1"/>
  <c r="O5" i="2"/>
  <c r="G5" i="2"/>
  <c r="H5" i="2" s="1"/>
  <c r="G4" i="2"/>
  <c r="H4" i="2" s="1"/>
  <c r="I4" i="2" s="1"/>
  <c r="K4" i="2" s="1"/>
  <c r="A14" i="8"/>
  <c r="A13" i="8"/>
  <c r="A19" i="8"/>
  <c r="A22" i="8"/>
  <c r="A17" i="8"/>
  <c r="A26" i="8"/>
  <c r="A23" i="8"/>
  <c r="A20" i="8"/>
  <c r="A25" i="8"/>
  <c r="A16" i="8"/>
  <c r="A24" i="8"/>
  <c r="A11" i="10"/>
  <c r="A12" i="8"/>
  <c r="A21" i="8"/>
  <c r="A18" i="8"/>
  <c r="A11" i="8"/>
  <c r="A15" i="8"/>
  <c r="A15" i="11"/>
  <c r="A18" i="11"/>
  <c r="A25" i="11"/>
  <c r="A14" i="11"/>
  <c r="A26" i="11"/>
  <c r="A20" i="11"/>
  <c r="A19" i="11"/>
  <c r="A12" i="11"/>
  <c r="A24" i="11"/>
  <c r="A11" i="11"/>
  <c r="A17" i="11"/>
  <c r="A13" i="11"/>
  <c r="A21" i="11"/>
  <c r="A22" i="11"/>
  <c r="A16" i="11"/>
  <c r="A23" i="11"/>
  <c r="A19" i="10"/>
  <c r="A17" i="10"/>
  <c r="A23" i="10"/>
  <c r="A25" i="10"/>
  <c r="A16" i="10"/>
  <c r="A22" i="10"/>
  <c r="A14" i="10"/>
  <c r="A20" i="10"/>
  <c r="A26" i="10"/>
  <c r="A13" i="10"/>
  <c r="A12" i="10"/>
  <c r="A18" i="10"/>
  <c r="A15" i="10"/>
  <c r="A21" i="10"/>
  <c r="A24" i="10"/>
  <c r="A21" i="6"/>
  <c r="A16" i="6"/>
  <c r="A26" i="6"/>
  <c r="A13" i="6"/>
  <c r="A25" i="6"/>
  <c r="A22" i="6"/>
  <c r="A18" i="6"/>
  <c r="A20" i="6"/>
  <c r="A11" i="6"/>
  <c r="A15" i="6"/>
  <c r="A19" i="6"/>
  <c r="A23" i="6"/>
  <c r="A24" i="6"/>
  <c r="A14" i="6"/>
  <c r="A12" i="6"/>
  <c r="A17" i="6"/>
  <c r="O6" i="5"/>
  <c r="O7" i="5"/>
  <c r="O15" i="5"/>
  <c r="O14" i="5"/>
  <c r="O15" i="2"/>
  <c r="O9" i="5"/>
  <c r="O14" i="2"/>
  <c r="O7" i="2"/>
  <c r="C10" i="5"/>
  <c r="C11" i="5"/>
  <c r="C5" i="5"/>
  <c r="B4" i="2"/>
  <c r="C14" i="2"/>
  <c r="C4" i="5"/>
  <c r="B19" i="2"/>
  <c r="B18" i="2" s="1"/>
  <c r="O18" i="2" s="1"/>
  <c r="C5" i="2"/>
  <c r="C11" i="2"/>
  <c r="C14" i="5"/>
  <c r="B16" i="2"/>
  <c r="O16" i="2" s="1"/>
  <c r="C4" i="2"/>
  <c r="C6" i="2"/>
  <c r="C7" i="5"/>
  <c r="C15" i="2"/>
  <c r="B20" i="2"/>
  <c r="O20" i="2" s="1"/>
  <c r="B20" i="5"/>
  <c r="D20" i="5" s="1"/>
  <c r="L20" i="5" s="1"/>
  <c r="C6" i="5"/>
  <c r="C7" i="2"/>
  <c r="B19" i="5"/>
  <c r="B18" i="5" s="1"/>
  <c r="B16" i="5"/>
  <c r="B13" i="5" s="1"/>
  <c r="C15" i="5"/>
  <c r="C10" i="2"/>
  <c r="B4" i="5"/>
  <c r="O4" i="5" s="1"/>
  <c r="G10" i="2"/>
  <c r="H10" i="2" s="1"/>
  <c r="I10" i="2" s="1"/>
  <c r="K10" i="2" s="1"/>
  <c r="K22" i="10"/>
  <c r="K25" i="10"/>
  <c r="K20" i="10"/>
  <c r="J22" i="10"/>
  <c r="K14" i="10"/>
  <c r="K23" i="10"/>
  <c r="K16" i="10"/>
  <c r="K18" i="6"/>
  <c r="K26" i="6"/>
  <c r="K22" i="6"/>
  <c r="K20" i="6"/>
  <c r="K19" i="6"/>
  <c r="K26" i="10"/>
  <c r="K19" i="10"/>
  <c r="J25" i="10"/>
  <c r="J17" i="10"/>
  <c r="K17" i="10"/>
  <c r="J20" i="10"/>
  <c r="J23" i="10"/>
  <c r="J13" i="10"/>
  <c r="K13" i="10"/>
  <c r="J26" i="6"/>
  <c r="K25" i="6"/>
  <c r="K17" i="6"/>
  <c r="J18" i="6"/>
  <c r="K21" i="6"/>
  <c r="J21" i="6"/>
  <c r="K23" i="6"/>
  <c r="K24" i="6"/>
  <c r="J19" i="6"/>
  <c r="J20" i="6"/>
  <c r="J24" i="6"/>
  <c r="J23" i="6"/>
  <c r="J26" i="10"/>
  <c r="J19" i="10"/>
  <c r="J16" i="10"/>
  <c r="J14" i="10"/>
  <c r="J22" i="6"/>
  <c r="J25" i="6"/>
  <c r="J17" i="6"/>
  <c r="F2" i="10"/>
  <c r="F2" i="6"/>
  <c r="R62" i="2" l="1"/>
  <c r="S62" i="2" s="1"/>
  <c r="R53" i="2"/>
  <c r="R57" i="2" s="1"/>
  <c r="J21" i="13"/>
  <c r="K23" i="13"/>
  <c r="K22" i="13"/>
  <c r="K21" i="13"/>
  <c r="N23" i="13"/>
  <c r="J23" i="13"/>
  <c r="I14" i="13"/>
  <c r="M17" i="13"/>
  <c r="L21" i="13"/>
  <c r="L22" i="13"/>
  <c r="N17" i="13"/>
  <c r="O17" i="13"/>
  <c r="P17" i="13"/>
  <c r="B13" i="2"/>
  <c r="O13" i="2" s="1"/>
  <c r="O16" i="5"/>
  <c r="D16" i="2"/>
  <c r="L16" i="2" s="1"/>
  <c r="D11" i="2"/>
  <c r="L11" i="2" s="1"/>
  <c r="D19" i="2"/>
  <c r="L19" i="2" s="1"/>
  <c r="I5" i="2"/>
  <c r="K5" i="2" s="1"/>
  <c r="L5" i="2"/>
  <c r="I5" i="5"/>
  <c r="K5" i="5" s="1"/>
  <c r="L5" i="5"/>
  <c r="I6" i="2"/>
  <c r="K6" i="2" s="1"/>
  <c r="L6" i="2" s="1"/>
  <c r="D7" i="5"/>
  <c r="L7" i="5" s="1"/>
  <c r="D7" i="2"/>
  <c r="L7" i="2" s="1"/>
  <c r="L6" i="5"/>
  <c r="D14" i="2"/>
  <c r="L14" i="2" s="1"/>
  <c r="D15" i="2"/>
  <c r="L15" i="2" s="1"/>
  <c r="D10" i="5"/>
  <c r="L10" i="5" s="1"/>
  <c r="D10" i="2"/>
  <c r="L10" i="2" s="1"/>
  <c r="D15" i="5"/>
  <c r="L15" i="5" s="1"/>
  <c r="D14" i="5"/>
  <c r="L14" i="5" s="1"/>
  <c r="O13" i="5"/>
  <c r="D13" i="5"/>
  <c r="L13" i="5" s="1"/>
  <c r="D16" i="5"/>
  <c r="L16" i="5" s="1"/>
  <c r="O19" i="2"/>
  <c r="D18" i="5"/>
  <c r="L18" i="5" s="1"/>
  <c r="O18" i="5"/>
  <c r="O19" i="5"/>
  <c r="D4" i="2"/>
  <c r="L4" i="2" s="1"/>
  <c r="D19" i="5"/>
  <c r="L19" i="5" s="1"/>
  <c r="D18" i="2"/>
  <c r="L18" i="2" s="1"/>
  <c r="O4" i="2"/>
  <c r="D20" i="2"/>
  <c r="L20" i="2" s="1"/>
  <c r="O20" i="5"/>
  <c r="B11" i="5"/>
  <c r="B21" i="5" s="1"/>
  <c r="D4" i="5"/>
  <c r="T58" i="2" l="1"/>
  <c r="D13" i="2"/>
  <c r="L13" i="2" s="1"/>
  <c r="M22" i="13"/>
  <c r="M21" i="13"/>
  <c r="I17" i="13"/>
  <c r="P22" i="13"/>
  <c r="P21" i="13"/>
  <c r="P23" i="13"/>
  <c r="O22" i="13"/>
  <c r="O21" i="13"/>
  <c r="O23" i="13"/>
  <c r="B9" i="2"/>
  <c r="B21" i="2" s="1"/>
  <c r="N22" i="13"/>
  <c r="N21" i="13"/>
  <c r="M23" i="13"/>
  <c r="O21" i="2"/>
  <c r="L4" i="5"/>
  <c r="O11" i="5"/>
  <c r="O21" i="5" s="1"/>
  <c r="D11" i="5"/>
  <c r="L11" i="5" s="1"/>
  <c r="O9" i="2" l="1"/>
  <c r="D9" i="2"/>
  <c r="L9" i="2" s="1"/>
  <c r="L21" i="2" s="1"/>
  <c r="I23" i="13"/>
  <c r="I22" i="13"/>
  <c r="I21" i="13"/>
  <c r="L21" i="5"/>
  <c r="D21" i="5"/>
  <c r="D21" i="2"/>
  <c r="C46" i="2" l="1"/>
  <c r="C60" i="2"/>
  <c r="C38" i="2"/>
  <c r="C67" i="2"/>
  <c r="C53" i="2"/>
  <c r="C60" i="5"/>
  <c r="C53" i="5"/>
  <c r="C67" i="5"/>
  <c r="C46" i="5"/>
  <c r="C38" i="5"/>
  <c r="K25" i="11" l="1"/>
  <c r="C68" i="2"/>
  <c r="C71" i="2"/>
  <c r="K26" i="11" s="1"/>
  <c r="C42" i="2"/>
  <c r="K14" i="11" s="1"/>
  <c r="K13" i="11"/>
  <c r="C39" i="2"/>
  <c r="C47" i="2"/>
  <c r="K16" i="11"/>
  <c r="C50" i="2"/>
  <c r="K17" i="11" s="1"/>
  <c r="C57" i="2"/>
  <c r="K20" i="11" s="1"/>
  <c r="C54" i="2"/>
  <c r="K19" i="11"/>
  <c r="C61" i="2"/>
  <c r="K22" i="11"/>
  <c r="C64" i="2"/>
  <c r="K23" i="11" s="1"/>
  <c r="K13" i="8"/>
  <c r="C42" i="5"/>
  <c r="K14" i="8" s="1"/>
  <c r="C39" i="5"/>
  <c r="C47" i="5"/>
  <c r="C50" i="5"/>
  <c r="K17" i="8" s="1"/>
  <c r="K16" i="8"/>
  <c r="K25" i="8"/>
  <c r="C68" i="5"/>
  <c r="C71" i="5"/>
  <c r="K26" i="8" s="1"/>
  <c r="C54" i="5"/>
  <c r="K19" i="8"/>
  <c r="C57" i="5"/>
  <c r="K20" i="8" s="1"/>
  <c r="K22" i="8"/>
  <c r="C64" i="5"/>
  <c r="K23" i="8" s="1"/>
  <c r="C61" i="5"/>
  <c r="C72" i="2" l="1"/>
  <c r="J26" i="11" s="1"/>
  <c r="J25" i="11"/>
  <c r="J19" i="8"/>
  <c r="C58" i="5"/>
  <c r="J20" i="8" s="1"/>
  <c r="J22" i="11"/>
  <c r="C65" i="2"/>
  <c r="J23" i="11" s="1"/>
  <c r="J25" i="8"/>
  <c r="C72" i="5"/>
  <c r="J26" i="8" s="1"/>
  <c r="J19" i="11"/>
  <c r="C58" i="2"/>
  <c r="J20" i="11" s="1"/>
  <c r="C51" i="5"/>
  <c r="J17" i="8" s="1"/>
  <c r="J16" i="8"/>
  <c r="J16" i="11"/>
  <c r="C51" i="2"/>
  <c r="J17" i="11" s="1"/>
  <c r="J22" i="8"/>
  <c r="C65" i="5"/>
  <c r="J23" i="8" s="1"/>
  <c r="C43" i="5"/>
  <c r="J14" i="8" s="1"/>
  <c r="J13" i="8"/>
  <c r="J13" i="11"/>
  <c r="C43" i="2"/>
  <c r="J14" i="11" s="1"/>
  <c r="F2" i="8"/>
  <c r="F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tc={FF6F29EA-4936-734A-A90F-748D2AC0FD68}</author>
    <author>tc={882B13A8-D622-D247-829F-901F46FCDAEC}</author>
    <author>tc={66E5390C-D00D-A64E-811F-1D81F692A7B1}</author>
    <author>tc={56ABD924-1964-7846-A4D8-0B82F4038D82}</author>
  </authors>
  <commentList>
    <comment ref="F2" authorId="0" shapeId="0" xr:uid="{FF6F29EA-4936-734A-A90F-748D2AC0FD68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Columns F and G presents the average concentration and std dev of S for each county in mg/L </t>
      </text>
    </comment>
    <comment ref="H2" authorId="1" shapeId="0" xr:uid="{882B13A8-D622-D247-829F-901F46FCDAEC}">
      <text>
        <t>[Threaded comment]
Your version of Excel allows you to read this threaded comment; however, any edits to it will get removed if the file is opened in a newer version of Excel. Learn more: https://go.microsoft.com/fwlink/?linkid=870924
Comment:
    Columns H and L: averaged conc &amp; std for each district in mg/L</t>
      </text>
    </comment>
    <comment ref="K2" authorId="2" shapeId="0" xr:uid="{66E5390C-D00D-A64E-811F-1D81F692A7B1}">
      <text>
        <t>[Threaded comment]
Your version of Excel allows you to read this threaded comment; however, any edits to it will get removed if the file is opened in a newer version of Excel. Learn more: https://go.microsoft.com/fwlink/?linkid=870924
Comment:
    Columns K and L presents the average concentration and std dev of S for each county in %</t>
      </text>
    </comment>
    <comment ref="M2" authorId="3" shapeId="0" xr:uid="{56ABD924-1964-7846-A4D8-0B82F4038D82}">
      <text>
        <t>[Threaded comment]
Your version of Excel allows you to read this threaded comment; however, any edits to it will get removed if the file is opened in a newer version of Excel. Learn more: https://go.microsoft.com/fwlink/?linkid=870924
Comment:
    Columns M and N: averaged conc &amp; std for each district in %</t>
      </text>
    </comment>
  </commentList>
</comments>
</file>

<file path=xl/sharedStrings.xml><?xml version="1.0" encoding="utf-8"?>
<sst xmlns="http://schemas.openxmlformats.org/spreadsheetml/2006/main" count="1649" uniqueCount="537">
  <si>
    <t xml:space="preserve">Feed </t>
  </si>
  <si>
    <t>Protein feeds</t>
  </si>
  <si>
    <t>Energy feeds</t>
  </si>
  <si>
    <t>Roughage sources</t>
  </si>
  <si>
    <t>Soyhulls</t>
  </si>
  <si>
    <t>Corn Silage</t>
  </si>
  <si>
    <t xml:space="preserve">Feed Inclusion Rate, % diet DM </t>
  </si>
  <si>
    <r>
      <t xml:space="preserve">a </t>
    </r>
    <r>
      <rPr>
        <sz val="12"/>
        <color theme="1"/>
        <rFont val="Calibri"/>
        <family val="2"/>
        <scheme val="minor"/>
      </rPr>
      <t>Nichols, C. A., Bremer, V. R., Watson, A. K., Buckner, C. D., Harding, J. L., Klopfenstein, T. J., &amp; Smith, D. R. (2013). The Effect of sulfur and use of ruminal available sulfur as a model to predict incidence of polioencephalomalacia in feedlot cattle. </t>
    </r>
    <r>
      <rPr>
        <i/>
        <sz val="12"/>
        <color theme="1"/>
        <rFont val="Calibri"/>
        <family val="2"/>
        <scheme val="minor"/>
      </rPr>
      <t>The Bovine Practitioner</t>
    </r>
    <r>
      <rPr>
        <sz val="12"/>
        <color theme="1"/>
        <rFont val="Calibri"/>
        <family val="2"/>
        <scheme val="minor"/>
      </rPr>
      <t>, </t>
    </r>
    <r>
      <rPr>
        <i/>
        <sz val="12"/>
        <color theme="1"/>
        <rFont val="Calibri"/>
        <family val="2"/>
        <scheme val="minor"/>
      </rPr>
      <t>47</t>
    </r>
    <r>
      <rPr>
        <sz val="12"/>
        <color theme="1"/>
        <rFont val="Calibri"/>
        <family val="2"/>
        <scheme val="minor"/>
      </rPr>
      <t>(1), 47-53. https://doi.org/10.21423/bovine-vol47no1p47-53</t>
    </r>
  </si>
  <si>
    <r>
      <t xml:space="preserve">b </t>
    </r>
    <r>
      <rPr>
        <sz val="12"/>
        <color theme="1"/>
        <rFont val="Calibri"/>
        <family val="2"/>
        <scheme val="minor"/>
      </rPr>
      <t>National Research Council. (2000). Nutrient Requirements of Beef Cattle: Seventh Revised Edition: Update 2000. Washington, DC: The National Academies Press.</t>
    </r>
  </si>
  <si>
    <t xml:space="preserve">Energy Feeds </t>
  </si>
  <si>
    <t xml:space="preserve">Roughage Sources </t>
  </si>
  <si>
    <t>20 to 30%</t>
  </si>
  <si>
    <t>Dry Distillers Grains w/ Solubles (DDGS)</t>
  </si>
  <si>
    <t>Wet Distillers Grains (WDG)</t>
  </si>
  <si>
    <t>Corn Gluten Meal (CGM)</t>
  </si>
  <si>
    <t>Steam Flaked Corn (SFC)</t>
  </si>
  <si>
    <t>High Moisture Corn (HMC)</t>
  </si>
  <si>
    <t>Dry Rolled Corn (DRC)</t>
  </si>
  <si>
    <t>Other feeds and sources</t>
  </si>
  <si>
    <t xml:space="preserve">Total </t>
  </si>
  <si>
    <t>CottonSeed Meal (CSM)</t>
  </si>
  <si>
    <t>Water</t>
  </si>
  <si>
    <r>
      <t xml:space="preserve">A </t>
    </r>
    <r>
      <rPr>
        <i/>
        <sz val="12"/>
        <color theme="1"/>
        <rFont val="Calibri"/>
        <family val="2"/>
        <scheme val="minor"/>
      </rPr>
      <t>background</t>
    </r>
    <r>
      <rPr>
        <sz val="12"/>
        <color theme="1"/>
        <rFont val="Calibri"/>
        <family val="2"/>
        <scheme val="minor"/>
      </rPr>
      <t xml:space="preserve"> diet is fed to cattle ranging 400 to 600 lbs, not exceeding 800lbs,  </t>
    </r>
    <r>
      <rPr>
        <i/>
        <sz val="12"/>
        <color theme="1"/>
        <rFont val="Calibri"/>
        <family val="2"/>
        <scheme val="minor"/>
      </rPr>
      <t>x</t>
    </r>
    <r>
      <rPr>
        <sz val="12"/>
        <color theme="1"/>
        <rFont val="Calibri"/>
        <family val="2"/>
        <scheme val="minor"/>
      </rPr>
      <t xml:space="preserve"> lbs a day for approximately a year. </t>
    </r>
    <r>
      <rPr>
        <i/>
        <sz val="12"/>
        <color theme="1"/>
        <rFont val="Calibri"/>
        <family val="2"/>
        <scheme val="minor"/>
      </rPr>
      <t>A background diet consists of:</t>
    </r>
  </si>
  <si>
    <r>
      <t xml:space="preserve">A </t>
    </r>
    <r>
      <rPr>
        <i/>
        <sz val="12"/>
        <color theme="1"/>
        <rFont val="Calibri"/>
        <family val="2"/>
        <scheme val="minor"/>
      </rPr>
      <t xml:space="preserve">finishing </t>
    </r>
    <r>
      <rPr>
        <sz val="12"/>
        <color theme="1"/>
        <rFont val="Calibri"/>
        <family val="2"/>
        <scheme val="minor"/>
      </rPr>
      <t xml:space="preserve">diet is fed to cattle ranging 600 to 800 lbs, not exceeding 1,000lbs,  </t>
    </r>
    <r>
      <rPr>
        <i/>
        <sz val="12"/>
        <color theme="1"/>
        <rFont val="Calibri"/>
        <family val="2"/>
        <scheme val="minor"/>
      </rPr>
      <t>x</t>
    </r>
    <r>
      <rPr>
        <sz val="12"/>
        <color theme="1"/>
        <rFont val="Calibri"/>
        <family val="2"/>
        <scheme val="minor"/>
      </rPr>
      <t xml:space="preserve"> lbs a day until slaughter. </t>
    </r>
    <r>
      <rPr>
        <i/>
        <sz val="12"/>
        <color theme="1"/>
        <rFont val="Calibri"/>
        <family val="2"/>
        <scheme val="minor"/>
      </rPr>
      <t>A finishing diet consists of:</t>
    </r>
  </si>
  <si>
    <t>Calculated Total Dietary eNDF, % diet DM</t>
  </si>
  <si>
    <t>2689AD69</t>
  </si>
  <si>
    <t>Name</t>
  </si>
  <si>
    <t>SheetRef</t>
  </si>
  <si>
    <t>GenInfo</t>
  </si>
  <si>
    <t>Def. Link</t>
  </si>
  <si>
    <t>EXT REFS</t>
  </si>
  <si>
    <t>Def. Form</t>
  </si>
  <si>
    <t>Calc Macro</t>
  </si>
  <si>
    <t>Highest#</t>
  </si>
  <si>
    <t>Ptree1 Compatibility</t>
  </si>
  <si>
    <t>Model GUID</t>
  </si>
  <si>
    <t>Eval. Function</t>
  </si>
  <si>
    <t>Creation Version</t>
  </si>
  <si>
    <t>Required Version</t>
  </si>
  <si>
    <t>Recommended Version</t>
  </si>
  <si>
    <t>Last Modified By Version</t>
  </si>
  <si>
    <t>Output Label</t>
  </si>
  <si>
    <t>Output Value NF</t>
  </si>
  <si>
    <t>Output Prob NF</t>
  </si>
  <si>
    <t>Input Value NF</t>
  </si>
  <si>
    <t>Input Prob NF</t>
  </si>
  <si>
    <t>R-Value Ref.</t>
  </si>
  <si>
    <t>Anchor Cell</t>
  </si>
  <si>
    <t>Branch Name</t>
  </si>
  <si>
    <t>bformtype</t>
  </si>
  <si>
    <t>valformula</t>
  </si>
  <si>
    <t>pbformula</t>
  </si>
  <si>
    <t>distribution</t>
  </si>
  <si>
    <t>cumPayoffFunction</t>
  </si>
  <si>
    <t>link</t>
  </si>
  <si>
    <t>ENDNODEFORMULA</t>
  </si>
  <si>
    <t>VAL</t>
  </si>
  <si>
    <t>PB</t>
  </si>
  <si>
    <t>IntRefs</t>
  </si>
  <si>
    <t>RefRefs</t>
  </si>
  <si>
    <t>NodeNames</t>
  </si>
  <si>
    <t>Collapsed</t>
  </si>
  <si>
    <t>=</t>
  </si>
  <si>
    <t>8.0.1</t>
  </si>
  <si>
    <t>5.0.0</t>
  </si>
  <si>
    <t>&lt;NF&gt;</t>
  </si>
  <si>
    <t>Automatic</t>
  </si>
  <si>
    <t/>
  </si>
  <si>
    <t>DEFAULT</t>
  </si>
  <si>
    <t>0</t>
  </si>
  <si>
    <t>0,1,1,0,0,Exponential, 0,0,-1,0,-1,-1,.0001</t>
  </si>
  <si>
    <t>S-Induced Effects</t>
  </si>
  <si>
    <t>4,0,0,0,4,0,0</t>
  </si>
  <si>
    <t>PEM</t>
  </si>
  <si>
    <t>No PEM</t>
  </si>
  <si>
    <t>4,0,0,0,5,0,0</t>
  </si>
  <si>
    <t>4,0,0,0,6,0,0</t>
  </si>
  <si>
    <t>4,0,0,0,8,0,0</t>
  </si>
  <si>
    <t>2FEE492F</t>
  </si>
  <si>
    <t>0,2,1,0,0,Exponential, 0,0,-1,0,-1,-1,.0001</t>
  </si>
  <si>
    <t>Forage Levels, % diet DM</t>
  </si>
  <si>
    <t>NDF Level, % diet DM</t>
  </si>
  <si>
    <t>The risk of PEM is estimated using;</t>
  </si>
  <si>
    <r>
      <t>y = 0.0193e</t>
    </r>
    <r>
      <rPr>
        <vertAlign val="superscript"/>
        <sz val="12"/>
        <color rgb="FF000000"/>
        <rFont val="Calibri"/>
        <family val="2"/>
        <scheme val="minor"/>
      </rPr>
      <t>10.701x</t>
    </r>
  </si>
  <si>
    <r>
      <t>y = 0.0127e</t>
    </r>
    <r>
      <rPr>
        <vertAlign val="superscript"/>
        <sz val="12"/>
        <color rgb="FF000000"/>
        <rFont val="Calibri"/>
        <family val="2"/>
        <scheme val="minor"/>
      </rPr>
      <t>10.701x</t>
    </r>
  </si>
  <si>
    <r>
      <t>y = 0.0084e</t>
    </r>
    <r>
      <rPr>
        <vertAlign val="superscript"/>
        <sz val="12"/>
        <color rgb="FF000000"/>
        <rFont val="Calibri"/>
        <family val="2"/>
        <scheme val="minor"/>
      </rPr>
      <t>10.701x</t>
    </r>
  </si>
  <si>
    <r>
      <t>y = 0.0055e</t>
    </r>
    <r>
      <rPr>
        <vertAlign val="superscript"/>
        <sz val="12"/>
        <color rgb="FF000000"/>
        <rFont val="Calibri"/>
        <family val="2"/>
        <scheme val="minor"/>
      </rPr>
      <t>10.701x</t>
    </r>
  </si>
  <si>
    <r>
      <t>y = 0.0036e</t>
    </r>
    <r>
      <rPr>
        <vertAlign val="superscript"/>
        <sz val="12"/>
        <color rgb="FF000000"/>
        <rFont val="Calibri"/>
        <family val="2"/>
        <scheme val="minor"/>
      </rPr>
      <t>10.701x</t>
    </r>
  </si>
  <si>
    <r>
      <t xml:space="preserve">RDS Equations,              </t>
    </r>
    <r>
      <rPr>
        <i/>
        <sz val="12"/>
        <color theme="1"/>
        <rFont val="Calibri"/>
        <family val="2"/>
        <scheme val="minor"/>
      </rPr>
      <t>e = 2.71828</t>
    </r>
  </si>
  <si>
    <t>1,0,0,5,2,3,4,5,6,0,0,0</t>
  </si>
  <si>
    <t>0% eNDF</t>
  </si>
  <si>
    <t>2% eNDF</t>
  </si>
  <si>
    <t>6% eNDF</t>
  </si>
  <si>
    <t>4,0,0,0,2,0,0</t>
  </si>
  <si>
    <t>1,0,0,2,7,8,1,0,0</t>
  </si>
  <si>
    <t>1,0,0,2,9,10,1,0,0</t>
  </si>
  <si>
    <t>4,0,0,0,3,0,0</t>
  </si>
  <si>
    <t>1,0,0,2,11,12,1,0,0</t>
  </si>
  <si>
    <t>1,0,0,2,13,14,1,0,0</t>
  </si>
  <si>
    <t>1,0,0,2,15,16,1,0,0</t>
  </si>
  <si>
    <t>1,0,0,5,2,5,8,11,14,0,0,0</t>
  </si>
  <si>
    <t>1,0,0,2,3,4,1,0,0</t>
  </si>
  <si>
    <t>1,0,0,2,6,7,1,0,0</t>
  </si>
  <si>
    <t>1,0,0,2,12,13,1,0,0</t>
  </si>
  <si>
    <t>4,0,0,0,11,0,0</t>
  </si>
  <si>
    <t>4,0,0,0,14,0,0</t>
  </si>
  <si>
    <t>187D6011</t>
  </si>
  <si>
    <t>0,3,1,0,0,Exponential, 0,0,-1,0,-1,-1,.0001</t>
  </si>
  <si>
    <t>RDS Risk Analysis: Feedlot Cattle Consuming Background Diets</t>
  </si>
  <si>
    <t>TDS Risk Analysis: Feedlot Cattle Consuming Background Diets</t>
  </si>
  <si>
    <t>4% eNDF (Normal)</t>
  </si>
  <si>
    <t>8% eNDF (2x Normal)</t>
  </si>
  <si>
    <t>TDS Risk Analysis: Feedlot Cattle Consuming Finishing Diets</t>
  </si>
  <si>
    <t>27C896C7</t>
  </si>
  <si>
    <t>0,4,1,0,0,Exponential, 0,0,-1,0,-1,-1,.0001</t>
  </si>
  <si>
    <t>RDS Risk Analysis: Feedlot Cattle Consuming Finishing Diets</t>
  </si>
  <si>
    <r>
      <t xml:space="preserve">Crude Protein (CP), % DM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</si>
  <si>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Degradable Intake Protein (DIP), % CP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</si>
  <si>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 DIP, % DM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</si>
  <si>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Calculated Undegradable Intake Protein (UIP), %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</si>
  <si>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Neutral Detergent Fiber (NDF), % DM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</si>
  <si>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Effective NDF (eNDF), % of NDF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</si>
  <si>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r>
      <t xml:space="preserve">Amount of S in the SAA, % of Methionine </t>
    </r>
    <r>
      <rPr>
        <b/>
        <vertAlign val="superscript"/>
        <sz val="16"/>
        <color rgb="FF000000"/>
        <rFont val="Calibri"/>
        <family val="2"/>
        <scheme val="minor"/>
      </rPr>
      <t>d</t>
    </r>
  </si>
  <si>
    <r>
      <t xml:space="preserve">c </t>
    </r>
    <r>
      <rPr>
        <sz val="12"/>
        <color theme="1"/>
        <rFont val="Calibri"/>
        <family val="2"/>
        <scheme val="minor"/>
      </rPr>
      <t>OTSC database.</t>
    </r>
  </si>
  <si>
    <t>Feed Ingredient Category</t>
  </si>
  <si>
    <t xml:space="preserve">Total, % diet DM </t>
  </si>
  <si>
    <t>Calculated Total Dietary S, % DM in decimal</t>
  </si>
  <si>
    <t>VTM Supplement</t>
  </si>
  <si>
    <t xml:space="preserve">Sorghum Silage </t>
  </si>
  <si>
    <t>Cottonseed Meal (CSM)</t>
  </si>
  <si>
    <t>Cotton Hulls</t>
  </si>
  <si>
    <t xml:space="preserve">Fat </t>
  </si>
  <si>
    <t xml:space="preserve">Liquid Feed Blend </t>
  </si>
  <si>
    <t>10 to 20%</t>
  </si>
  <si>
    <t>Liquid Feed Blend</t>
  </si>
  <si>
    <t>Fat</t>
  </si>
  <si>
    <t>3 to 4%</t>
  </si>
  <si>
    <t>30 to 80%</t>
  </si>
  <si>
    <t>20 to 70%</t>
  </si>
  <si>
    <t>70 to 95%</t>
  </si>
  <si>
    <t>5 to 30%</t>
  </si>
  <si>
    <t>VTM Supplement (Contains  molasses, whey, and steep)</t>
  </si>
  <si>
    <t>10,15,20</t>
  </si>
  <si>
    <t>10,16.8,30</t>
  </si>
  <si>
    <t xml:space="preserve">Intake Rate, % </t>
  </si>
  <si>
    <t xml:space="preserve">South Plains </t>
  </si>
  <si>
    <t xml:space="preserve">Rolling Plains </t>
  </si>
  <si>
    <t xml:space="preserve">Far West </t>
  </si>
  <si>
    <t xml:space="preserve">South </t>
  </si>
  <si>
    <t xml:space="preserve">West Central </t>
  </si>
  <si>
    <t xml:space="preserve">Panhandle </t>
  </si>
  <si>
    <t xml:space="preserve">Central </t>
  </si>
  <si>
    <t>Southwest</t>
  </si>
  <si>
    <t>Coastal Blend</t>
  </si>
  <si>
    <t xml:space="preserve">North </t>
  </si>
  <si>
    <t xml:space="preserve">Southeast </t>
  </si>
  <si>
    <t xml:space="preserve">East </t>
  </si>
  <si>
    <t xml:space="preserve">District </t>
  </si>
  <si>
    <t>Avg S conc., mg/L</t>
  </si>
  <si>
    <t>Water Intake Based on Temperature in F</t>
  </si>
  <si>
    <t>Temperature in F</t>
  </si>
  <si>
    <t>Average Temp in F</t>
  </si>
  <si>
    <t xml:space="preserve">Revision History </t>
  </si>
  <si>
    <t>22-08-30</t>
  </si>
  <si>
    <t xml:space="preserve">AAB validated all exponential functions in precision tree. RDS in water was calculated with the assumption that 50% of TDS is inorganic. </t>
  </si>
  <si>
    <t>District #</t>
  </si>
  <si>
    <r>
      <t xml:space="preserve">Total Dietary S, % diet DM </t>
    </r>
    <r>
      <rPr>
        <b/>
        <vertAlign val="superscript"/>
        <sz val="16"/>
        <color theme="1"/>
        <rFont val="Calibri"/>
        <family val="2"/>
        <scheme val="minor"/>
      </rPr>
      <t>abc</t>
    </r>
  </si>
  <si>
    <t>Calculated Inorganic S in SAA, % DM in decimal form</t>
  </si>
  <si>
    <t xml:space="preserve">Calculated Rumen Degradable/ Inorganic S (RDS), % diet DM </t>
  </si>
  <si>
    <r>
      <t xml:space="preserve">d </t>
    </r>
    <r>
      <rPr>
        <sz val="12"/>
        <color theme="1"/>
        <rFont val="Calibri"/>
        <family val="2"/>
        <scheme val="minor"/>
      </rPr>
      <t>National Research Council. (2005). Mineral Tolerance of Animals: Second Revised Edition, 2005. Washington, DC: The National Academies Press.</t>
    </r>
  </si>
  <si>
    <r>
      <t xml:space="preserve">S-containing Amino Acid (SAA), Methionine, % UIP DM </t>
    </r>
    <r>
      <rPr>
        <b/>
        <vertAlign val="superscript"/>
        <sz val="16"/>
        <color rgb="FF000000"/>
        <rFont val="Calibri"/>
        <family val="2"/>
        <scheme val="minor"/>
      </rPr>
      <t>b</t>
    </r>
  </si>
  <si>
    <t>22-11-10</t>
  </si>
  <si>
    <t>After discussion w/ Dr. Post, it was concluded that ALL S in water is ruminally available/degradable. Thus, RDS for water &amp; DDGS = TDS</t>
  </si>
  <si>
    <t>Fiscal Year</t>
  </si>
  <si>
    <t>Product Class Type</t>
  </si>
  <si>
    <t xml:space="preserve">Product Class </t>
  </si>
  <si>
    <t xml:space="preserve">Product </t>
  </si>
  <si>
    <t xml:space="preserve">Reported Result </t>
  </si>
  <si>
    <t xml:space="preserve">No. of samples </t>
  </si>
  <si>
    <t>Brewers &amp; Distillers Products</t>
  </si>
  <si>
    <t>CORN DISTILLERS DRIED GRAIN WITH SOLUBLES</t>
  </si>
  <si>
    <t xml:space="preserve">Min </t>
  </si>
  <si>
    <t>Corn Distillers Dried Grains with Solubles</t>
  </si>
  <si>
    <t>Max</t>
  </si>
  <si>
    <t>DRIED DISTILLERS GRAINS</t>
  </si>
  <si>
    <t>Avg</t>
  </si>
  <si>
    <t>CORN DISTILLERS DRIED GRAINS WITH SOLUBLES</t>
  </si>
  <si>
    <t>Std</t>
  </si>
  <si>
    <t>DDG/S CORN DISTILLERS DRIED GRAINS WITH SOLUBLES</t>
  </si>
  <si>
    <t>&gt;0.3</t>
  </si>
  <si>
    <t>&gt;0.4</t>
  </si>
  <si>
    <t>Producers 570/2031 Dried Distillers Grain</t>
  </si>
  <si>
    <t>Corn Distillers Dried Grain with Solubles</t>
  </si>
  <si>
    <t>Total samples</t>
  </si>
  <si>
    <t>LICK AND GROW DDG</t>
  </si>
  <si>
    <t xml:space="preserve">Average </t>
  </si>
  <si>
    <t>DRY DISTILLER GRAINS</t>
  </si>
  <si>
    <t>0.15% or less</t>
  </si>
  <si>
    <t>corn distiller's dried grains with solubles 12b130</t>
  </si>
  <si>
    <t>0.16 to 0.3</t>
  </si>
  <si>
    <t>0.3 to 0.4</t>
  </si>
  <si>
    <t>&gt;0.41</t>
  </si>
  <si>
    <t>% frequency</t>
  </si>
  <si>
    <t>0.3% S or less</t>
  </si>
  <si>
    <t>&gt; 0.3% - 0.4% S</t>
  </si>
  <si>
    <t>&gt; 0.4% S</t>
  </si>
  <si>
    <t>CORN DRIED DISTILLERS GRAINS WITH SOLUBLES</t>
  </si>
  <si>
    <t>CORN DISTILLERS DRIED GRAIN WITH SOLUBLES (CRUDE PROTEIN 23%)</t>
  </si>
  <si>
    <t>CORN WET DISTILLERS GRAINS WITH SOLUBLES</t>
  </si>
  <si>
    <t>0.3% or less</t>
  </si>
  <si>
    <t>&gt; 0.3% - 0.4%</t>
  </si>
  <si>
    <t>&gt; 0.4%</t>
  </si>
  <si>
    <t>DISTILLERS DRIED GRAIN (CORN)</t>
  </si>
  <si>
    <t>CORN DISTILLERS DRIED GRAIN</t>
  </si>
  <si>
    <t xml:space="preserve">One sample T test </t>
  </si>
  <si>
    <t>DISTILLERS DRIED GRAINS WITH SOLUBLES</t>
  </si>
  <si>
    <t>GRAIN SORGHUM DISTILLERS DRIED GRAIN WITH SOLUBLES</t>
  </si>
  <si>
    <t>POET DDG/S CORN DISTILLERS DRIED GRAINS WITH SOLUBLES</t>
  </si>
  <si>
    <t>DRIED DISTILLERS GRAINS WITH SOLUBLES (DDGS)</t>
  </si>
  <si>
    <t>corn distillers dried grain with solubles</t>
  </si>
  <si>
    <t>DAKOTA GOLD CORN DISTILLERS DRIED GRAINS WITH SOLUBLES</t>
  </si>
  <si>
    <t>007073 SORGHUM DISTILLERS DRIED GRAINS WITH SOLUBLES</t>
  </si>
  <si>
    <t>HI-PRO FEEDS CORN DISTILLERS DRIED GRAINS WITH SOLUBLES</t>
  </si>
  <si>
    <t>DDG's</t>
  </si>
  <si>
    <t>DRY DISTILLER GRAINS WITH SOLUBLES</t>
  </si>
  <si>
    <t>MIDSOL DISTILLERS DRIED GRAINS WITH SOLUABLES</t>
  </si>
  <si>
    <t>CORN DISTILLERS DRIED GRAINS</t>
  </si>
  <si>
    <t>DRIED DISTILLERS GRAINS WITH SOLUBLES</t>
  </si>
  <si>
    <t>SOLULAC CORN DISTILLERS DRIED GRAINS WITH SOLUBLES</t>
  </si>
  <si>
    <t>CORN DISTILLERS DRIED GRAINS WITH SOLUBLES (MAIZE DISTILLERS GRAINS WITH SOLUBLES DEHYDRATED)</t>
  </si>
  <si>
    <t>CORN DISTILLERS DRIED GRAINS W/SOLUBLES (DDGS)</t>
  </si>
  <si>
    <t>DRIED DISTILLERS GRAIN (DDG)(ADULTERATED)</t>
  </si>
  <si>
    <t>CORN DISTILLERS DRIED GRAINS WITH SOLUBLES DEHYDRATED</t>
  </si>
  <si>
    <t>DRIED DISTILLERS GRAIN</t>
  </si>
  <si>
    <t>DISTILLERS DRIED GRAINS</t>
  </si>
  <si>
    <t>BULK DDGS</t>
  </si>
  <si>
    <t>POET DDG/S HF CORN DISTILLERS DRIED GRAINS WITH SOLUBLES</t>
  </si>
  <si>
    <t>DDG'S</t>
  </si>
  <si>
    <t>MIDSOL CORN DISTILLERS DRIED GRAINS WITH SOLUBLES</t>
  </si>
  <si>
    <t>"MISSOURI'S FINEST" CORN DRIED DISTILLERS GRAINS WITH SOLUBLES</t>
  </si>
  <si>
    <t>DDG</t>
  </si>
  <si>
    <t>BULK DDGS CORN DISTILLER DRIED GRAINS WITH SOLUBLES</t>
  </si>
  <si>
    <t>BULK DDGS DRIED DISTILLERS GRAINS WITH SOLUBLES</t>
  </si>
  <si>
    <t>DDGS WITH BRAN</t>
  </si>
  <si>
    <t>CORN DDG WITH SOLUBLES</t>
  </si>
  <si>
    <t>Dried Distillers Grain</t>
  </si>
  <si>
    <t>DDG - Dried Distillers Grain</t>
  </si>
  <si>
    <t>DDG DRIED DISTILLERS GRAIN</t>
  </si>
  <si>
    <t>DDG - DRIED DISTILLERS GRAIN</t>
  </si>
  <si>
    <t>TX County</t>
  </si>
  <si>
    <t xml:space="preserve"># of samples </t>
  </si>
  <si>
    <t>Avg SO4 conc., mg/L</t>
  </si>
  <si>
    <t xml:space="preserve">SO4 Std Dev, mg/L </t>
  </si>
  <si>
    <t xml:space="preserve"> Std Dev of S, mg/L </t>
  </si>
  <si>
    <t>District Avg, mg/L</t>
  </si>
  <si>
    <t>District Std Dev, mg/L</t>
  </si>
  <si>
    <t>Avg S conc., %</t>
  </si>
  <si>
    <t>Std Dev of S, %</t>
  </si>
  <si>
    <t>District Avg, %</t>
  </si>
  <si>
    <t>District Std Dev, %</t>
  </si>
  <si>
    <t>SO4 to S conversion</t>
  </si>
  <si>
    <t>1- Panhandle</t>
  </si>
  <si>
    <t xml:space="preserve">Armstrong </t>
  </si>
  <si>
    <t xml:space="preserve">O </t>
  </si>
  <si>
    <t xml:space="preserve">Briscoe </t>
  </si>
  <si>
    <t>S</t>
  </si>
  <si>
    <t xml:space="preserve">Carson </t>
  </si>
  <si>
    <t>SO4</t>
  </si>
  <si>
    <t xml:space="preserve">Collingsworth </t>
  </si>
  <si>
    <t>% S</t>
  </si>
  <si>
    <t xml:space="preserve">Dallam </t>
  </si>
  <si>
    <t xml:space="preserve">Deaf Smith </t>
  </si>
  <si>
    <t xml:space="preserve">Donley </t>
  </si>
  <si>
    <t xml:space="preserve">Gray </t>
  </si>
  <si>
    <t>Avg of S, mg/L</t>
  </si>
  <si>
    <t>Std Dev of S, mg/L</t>
  </si>
  <si>
    <t>Hall</t>
  </si>
  <si>
    <t xml:space="preserve">Hansford </t>
  </si>
  <si>
    <t xml:space="preserve">Hartley </t>
  </si>
  <si>
    <t xml:space="preserve">Hemphill </t>
  </si>
  <si>
    <t>Hutchinson</t>
  </si>
  <si>
    <t>Lipscomb</t>
  </si>
  <si>
    <t xml:space="preserve">Moore </t>
  </si>
  <si>
    <t>Ochiltree</t>
  </si>
  <si>
    <t>Oldham</t>
  </si>
  <si>
    <t xml:space="preserve">Potter </t>
  </si>
  <si>
    <t xml:space="preserve">Randall </t>
  </si>
  <si>
    <t>11-Costal Blend</t>
  </si>
  <si>
    <t xml:space="preserve">Roberts </t>
  </si>
  <si>
    <t>12-South</t>
  </si>
  <si>
    <t xml:space="preserve">Sherman </t>
  </si>
  <si>
    <t xml:space="preserve">Wheeler </t>
  </si>
  <si>
    <t>2- South Plains</t>
  </si>
  <si>
    <t xml:space="preserve">Bailey </t>
  </si>
  <si>
    <t xml:space="preserve">Borden </t>
  </si>
  <si>
    <t xml:space="preserve">Castro </t>
  </si>
  <si>
    <t xml:space="preserve">Cochran </t>
  </si>
  <si>
    <t xml:space="preserve">Crosby </t>
  </si>
  <si>
    <t xml:space="preserve">Dawson </t>
  </si>
  <si>
    <t xml:space="preserve">Floyd </t>
  </si>
  <si>
    <t>Gaines</t>
  </si>
  <si>
    <t>Garza</t>
  </si>
  <si>
    <t xml:space="preserve">Hale </t>
  </si>
  <si>
    <t xml:space="preserve">Hockley </t>
  </si>
  <si>
    <t>Lamb</t>
  </si>
  <si>
    <t xml:space="preserve">Lubbock </t>
  </si>
  <si>
    <t xml:space="preserve">Lynn </t>
  </si>
  <si>
    <t xml:space="preserve">Mitchell </t>
  </si>
  <si>
    <t xml:space="preserve">Parmer </t>
  </si>
  <si>
    <t xml:space="preserve">Scurry </t>
  </si>
  <si>
    <t>Swisher</t>
  </si>
  <si>
    <t xml:space="preserve">Terry </t>
  </si>
  <si>
    <t xml:space="preserve">Yoakum </t>
  </si>
  <si>
    <t>3- Rolling Plains</t>
  </si>
  <si>
    <t xml:space="preserve">Archer </t>
  </si>
  <si>
    <t xml:space="preserve">Baylor </t>
  </si>
  <si>
    <t xml:space="preserve">Childress </t>
  </si>
  <si>
    <t xml:space="preserve">Clay </t>
  </si>
  <si>
    <t xml:space="preserve">Cottle </t>
  </si>
  <si>
    <t>Dickens</t>
  </si>
  <si>
    <t xml:space="preserve">Foard </t>
  </si>
  <si>
    <t>Hardeman</t>
  </si>
  <si>
    <t xml:space="preserve">Haskell </t>
  </si>
  <si>
    <t>Jack</t>
  </si>
  <si>
    <t xml:space="preserve">Kent </t>
  </si>
  <si>
    <t xml:space="preserve">King </t>
  </si>
  <si>
    <t>Knox</t>
  </si>
  <si>
    <t xml:space="preserve">Montague </t>
  </si>
  <si>
    <t xml:space="preserve">Motley </t>
  </si>
  <si>
    <t xml:space="preserve">Palo Pinto </t>
  </si>
  <si>
    <t xml:space="preserve">Parker </t>
  </si>
  <si>
    <t xml:space="preserve">Stephens </t>
  </si>
  <si>
    <t xml:space="preserve">Stonewall </t>
  </si>
  <si>
    <t xml:space="preserve">Thockmorton </t>
  </si>
  <si>
    <t xml:space="preserve">Witchita </t>
  </si>
  <si>
    <t xml:space="preserve">Wilbarger </t>
  </si>
  <si>
    <t xml:space="preserve">Wise </t>
  </si>
  <si>
    <t xml:space="preserve">Young </t>
  </si>
  <si>
    <t xml:space="preserve">4- North </t>
  </si>
  <si>
    <t xml:space="preserve">Bowie </t>
  </si>
  <si>
    <t xml:space="preserve">Camp </t>
  </si>
  <si>
    <t>Cass</t>
  </si>
  <si>
    <t xml:space="preserve">Collin </t>
  </si>
  <si>
    <t xml:space="preserve">Cooke </t>
  </si>
  <si>
    <t xml:space="preserve">Dallas </t>
  </si>
  <si>
    <t xml:space="preserve">Delta </t>
  </si>
  <si>
    <t xml:space="preserve">Denton </t>
  </si>
  <si>
    <t xml:space="preserve">Fannin </t>
  </si>
  <si>
    <t xml:space="preserve">Franklin </t>
  </si>
  <si>
    <t xml:space="preserve">Grayson </t>
  </si>
  <si>
    <t xml:space="preserve">Hopkins </t>
  </si>
  <si>
    <t xml:space="preserve">Hunt </t>
  </si>
  <si>
    <t>Kaufman</t>
  </si>
  <si>
    <t>Lamar</t>
  </si>
  <si>
    <t xml:space="preserve">Morris </t>
  </si>
  <si>
    <t>Rains</t>
  </si>
  <si>
    <t>Red River</t>
  </si>
  <si>
    <t xml:space="preserve">Rockwall </t>
  </si>
  <si>
    <t xml:space="preserve">Tarrant </t>
  </si>
  <si>
    <t xml:space="preserve">Titus </t>
  </si>
  <si>
    <t xml:space="preserve">Van Zandt </t>
  </si>
  <si>
    <t>5- East</t>
  </si>
  <si>
    <t xml:space="preserve">Anderson </t>
  </si>
  <si>
    <t xml:space="preserve">Angelina </t>
  </si>
  <si>
    <t xml:space="preserve">Cherokee </t>
  </si>
  <si>
    <t>Gregg</t>
  </si>
  <si>
    <t xml:space="preserve">Harrison </t>
  </si>
  <si>
    <t xml:space="preserve">Henderson </t>
  </si>
  <si>
    <t xml:space="preserve">Houston </t>
  </si>
  <si>
    <t xml:space="preserve">Jasper </t>
  </si>
  <si>
    <t>Marion</t>
  </si>
  <si>
    <t xml:space="preserve">Nacogdoches </t>
  </si>
  <si>
    <t xml:space="preserve">Newton </t>
  </si>
  <si>
    <t>Panola</t>
  </si>
  <si>
    <t xml:space="preserve">Polk </t>
  </si>
  <si>
    <t xml:space="preserve">Rusk </t>
  </si>
  <si>
    <t xml:space="preserve">Sabine </t>
  </si>
  <si>
    <t xml:space="preserve">San Augustine </t>
  </si>
  <si>
    <t xml:space="preserve">Shelby </t>
  </si>
  <si>
    <t xml:space="preserve">Smith </t>
  </si>
  <si>
    <t xml:space="preserve">Trinity </t>
  </si>
  <si>
    <t xml:space="preserve">Tyler </t>
  </si>
  <si>
    <t xml:space="preserve">Upshur </t>
  </si>
  <si>
    <t xml:space="preserve">Wood </t>
  </si>
  <si>
    <t>6- Far West</t>
  </si>
  <si>
    <t xml:space="preserve">Andrews </t>
  </si>
  <si>
    <t xml:space="preserve">Brewster </t>
  </si>
  <si>
    <t xml:space="preserve">Crane </t>
  </si>
  <si>
    <t>Crockett</t>
  </si>
  <si>
    <t xml:space="preserve">Culberson </t>
  </si>
  <si>
    <t xml:space="preserve">Ector </t>
  </si>
  <si>
    <t xml:space="preserve">El Paso </t>
  </si>
  <si>
    <t>Glasscock</t>
  </si>
  <si>
    <t xml:space="preserve">Howard </t>
  </si>
  <si>
    <t xml:space="preserve">Hudspeth </t>
  </si>
  <si>
    <t xml:space="preserve">Jeff Davis </t>
  </si>
  <si>
    <t xml:space="preserve">Loving </t>
  </si>
  <si>
    <t xml:space="preserve">Martin </t>
  </si>
  <si>
    <t xml:space="preserve">Midland </t>
  </si>
  <si>
    <t>Pecos</t>
  </si>
  <si>
    <t xml:space="preserve">Presidio </t>
  </si>
  <si>
    <t xml:space="preserve">Reagan </t>
  </si>
  <si>
    <t>Reeves</t>
  </si>
  <si>
    <t>Terrell</t>
  </si>
  <si>
    <t xml:space="preserve">Upton </t>
  </si>
  <si>
    <t xml:space="preserve">Val Verde </t>
  </si>
  <si>
    <t xml:space="preserve">Ward </t>
  </si>
  <si>
    <t xml:space="preserve">Winkler </t>
  </si>
  <si>
    <t xml:space="preserve">7- West Central </t>
  </si>
  <si>
    <t xml:space="preserve">Brown </t>
  </si>
  <si>
    <t>Burnet</t>
  </si>
  <si>
    <t xml:space="preserve">Callahan </t>
  </si>
  <si>
    <t xml:space="preserve">Coke </t>
  </si>
  <si>
    <t xml:space="preserve">Coleman </t>
  </si>
  <si>
    <t xml:space="preserve">Concho </t>
  </si>
  <si>
    <t xml:space="preserve">Fisher </t>
  </si>
  <si>
    <t>Irion</t>
  </si>
  <si>
    <t xml:space="preserve">Jones </t>
  </si>
  <si>
    <t xml:space="preserve">Lampasas </t>
  </si>
  <si>
    <t xml:space="preserve">Llano </t>
  </si>
  <si>
    <t xml:space="preserve">Mason </t>
  </si>
  <si>
    <t xml:space="preserve">McCulloch </t>
  </si>
  <si>
    <t xml:space="preserve">Menard </t>
  </si>
  <si>
    <t>Mills</t>
  </si>
  <si>
    <t xml:space="preserve">Nolan </t>
  </si>
  <si>
    <t xml:space="preserve">Runnels </t>
  </si>
  <si>
    <t>San Saba</t>
  </si>
  <si>
    <t>Schelicher</t>
  </si>
  <si>
    <t>Shackelford</t>
  </si>
  <si>
    <t>Sterling</t>
  </si>
  <si>
    <t xml:space="preserve">Taylor </t>
  </si>
  <si>
    <t xml:space="preserve">Tom Green </t>
  </si>
  <si>
    <t xml:space="preserve">8- Central </t>
  </si>
  <si>
    <t xml:space="preserve">Bell </t>
  </si>
  <si>
    <t xml:space="preserve">Bosque </t>
  </si>
  <si>
    <t xml:space="preserve">Comanche </t>
  </si>
  <si>
    <t xml:space="preserve">Coryell </t>
  </si>
  <si>
    <t xml:space="preserve">Eastland </t>
  </si>
  <si>
    <t xml:space="preserve">Ellis </t>
  </si>
  <si>
    <t xml:space="preserve">Erath </t>
  </si>
  <si>
    <t xml:space="preserve">Falls </t>
  </si>
  <si>
    <t xml:space="preserve">Freestone </t>
  </si>
  <si>
    <t xml:space="preserve">Hamilton </t>
  </si>
  <si>
    <t xml:space="preserve">Hill </t>
  </si>
  <si>
    <t xml:space="preserve">Hood </t>
  </si>
  <si>
    <t xml:space="preserve">Johnson </t>
  </si>
  <si>
    <t>Leon</t>
  </si>
  <si>
    <t>Limestone</t>
  </si>
  <si>
    <t>McLennan</t>
  </si>
  <si>
    <t xml:space="preserve">Milam </t>
  </si>
  <si>
    <t xml:space="preserve">Navarro </t>
  </si>
  <si>
    <t xml:space="preserve">Robertson </t>
  </si>
  <si>
    <t>Somervell</t>
  </si>
  <si>
    <t xml:space="preserve">Williamson </t>
  </si>
  <si>
    <t>9- Southeast</t>
  </si>
  <si>
    <t xml:space="preserve">Brazoria </t>
  </si>
  <si>
    <t xml:space="preserve">Brazos </t>
  </si>
  <si>
    <t xml:space="preserve">Burleson </t>
  </si>
  <si>
    <t>Chambers</t>
  </si>
  <si>
    <t>Fort Bend</t>
  </si>
  <si>
    <t xml:space="preserve">Galveston </t>
  </si>
  <si>
    <t>Grimes</t>
  </si>
  <si>
    <t xml:space="preserve">Hardin </t>
  </si>
  <si>
    <t xml:space="preserve">Jefferson </t>
  </si>
  <si>
    <t>Lee</t>
  </si>
  <si>
    <t xml:space="preserve">Liberty </t>
  </si>
  <si>
    <t xml:space="preserve">Madison </t>
  </si>
  <si>
    <t xml:space="preserve">Montgomery </t>
  </si>
  <si>
    <t>Orange</t>
  </si>
  <si>
    <t xml:space="preserve">San Jacinto </t>
  </si>
  <si>
    <t xml:space="preserve">Walker </t>
  </si>
  <si>
    <t>Waller</t>
  </si>
  <si>
    <t>10- Southwest</t>
  </si>
  <si>
    <t>Bandera</t>
  </si>
  <si>
    <t xml:space="preserve">Bastrop </t>
  </si>
  <si>
    <t xml:space="preserve">Bexar </t>
  </si>
  <si>
    <t xml:space="preserve">Blanco </t>
  </si>
  <si>
    <t xml:space="preserve">Caldwell </t>
  </si>
  <si>
    <t xml:space="preserve">Comal </t>
  </si>
  <si>
    <t xml:space="preserve">Edwards </t>
  </si>
  <si>
    <t xml:space="preserve">Gillespie </t>
  </si>
  <si>
    <t xml:space="preserve">Gonzales </t>
  </si>
  <si>
    <t xml:space="preserve">Guadalupe </t>
  </si>
  <si>
    <t>Hays</t>
  </si>
  <si>
    <t>Kendall</t>
  </si>
  <si>
    <t>Kerr</t>
  </si>
  <si>
    <t xml:space="preserve">Kinney </t>
  </si>
  <si>
    <t xml:space="preserve">Medina </t>
  </si>
  <si>
    <t xml:space="preserve">Real </t>
  </si>
  <si>
    <t xml:space="preserve">Sutton </t>
  </si>
  <si>
    <t xml:space="preserve">Travis </t>
  </si>
  <si>
    <t xml:space="preserve">Uvalde </t>
  </si>
  <si>
    <t xml:space="preserve">Wilson </t>
  </si>
  <si>
    <t xml:space="preserve">11- Coastal Blend </t>
  </si>
  <si>
    <t xml:space="preserve">Aransas </t>
  </si>
  <si>
    <t xml:space="preserve">Austin </t>
  </si>
  <si>
    <t xml:space="preserve">Bee </t>
  </si>
  <si>
    <t xml:space="preserve">Calhoun </t>
  </si>
  <si>
    <t xml:space="preserve">Colorado </t>
  </si>
  <si>
    <t>DeWitt</t>
  </si>
  <si>
    <t xml:space="preserve">Fayette </t>
  </si>
  <si>
    <t xml:space="preserve">Goliad </t>
  </si>
  <si>
    <t xml:space="preserve">Jackson </t>
  </si>
  <si>
    <t xml:space="preserve">Karnes </t>
  </si>
  <si>
    <t xml:space="preserve">Lavaca </t>
  </si>
  <si>
    <t xml:space="preserve">Matagorda </t>
  </si>
  <si>
    <t xml:space="preserve">Nueces </t>
  </si>
  <si>
    <t xml:space="preserve">Refugio </t>
  </si>
  <si>
    <t xml:space="preserve">San Patricio </t>
  </si>
  <si>
    <t xml:space="preserve">Victoria </t>
  </si>
  <si>
    <t>Washington</t>
  </si>
  <si>
    <t xml:space="preserve">Wharton </t>
  </si>
  <si>
    <t xml:space="preserve">12- South </t>
  </si>
  <si>
    <t xml:space="preserve">Atascosa </t>
  </si>
  <si>
    <t xml:space="preserve">Brooks </t>
  </si>
  <si>
    <t xml:space="preserve">Cameron </t>
  </si>
  <si>
    <t>Dimmitt</t>
  </si>
  <si>
    <t xml:space="preserve">Duval </t>
  </si>
  <si>
    <t xml:space="preserve">Frio </t>
  </si>
  <si>
    <t xml:space="preserve">Hidalgo </t>
  </si>
  <si>
    <t>Jim Hogg</t>
  </si>
  <si>
    <t xml:space="preserve">Jim Wells </t>
  </si>
  <si>
    <t xml:space="preserve">Kenedy </t>
  </si>
  <si>
    <t xml:space="preserve">Kleberg </t>
  </si>
  <si>
    <t xml:space="preserve">La Salle </t>
  </si>
  <si>
    <t xml:space="preserve">Live Oak </t>
  </si>
  <si>
    <t xml:space="preserve">Maverick </t>
  </si>
  <si>
    <t>McMullen</t>
  </si>
  <si>
    <t xml:space="preserve">Starr </t>
  </si>
  <si>
    <t>Webb</t>
  </si>
  <si>
    <t xml:space="preserve">Willacy </t>
  </si>
  <si>
    <t xml:space="preserve">Zapata </t>
  </si>
  <si>
    <t xml:space="preserve">Zavala </t>
  </si>
  <si>
    <t>Table S2: S content in Texas water wells categorized by 12 districts outlined by Texas A&amp;M AgriLife Research Extension Service</t>
  </si>
  <si>
    <t>Table S1: S content in Texas DDGS reported by OTSC</t>
  </si>
  <si>
    <t>Table S3: Probabilistic risk model for growers</t>
  </si>
  <si>
    <t>Table S4: Probabilistic risk model for finishers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</si>
</sst>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"/>
    <numFmt numFmtId="165" formatCode="0.0000"/>
    <numFmt numFmtId="166" formatCode="0.0"/>
    <numFmt numFmtId="167" formatCode="0.000000000"/>
    <numFmt numFmtId="168" formatCode="[&gt;0.00001]0.0###%;[=0]0.0%;0.00E+00"/>
    <numFmt numFmtId="169" formatCode="0.000"/>
    <numFmt numFmtId="170" formatCode="0.0000000000000"/>
  </numFmts>
  <fonts count="2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80"/>
      <name val="Calibri"/>
      <family val="2"/>
      <scheme val="minor"/>
    </font>
    <font>
      <b/>
      <sz val="14"/>
      <color rgb="FF8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vertAlign val="superscript"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vertAlign val="superscript"/>
      <sz val="16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16">
    <xf numFmtId="0" fontId="0" fillId="0" borderId="0" xfId="0"/>
    <xf numFmtId="0" fontId="0" fillId="0" borderId="5" xfId="0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left" vertic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" fontId="0" fillId="0" borderId="2" xfId="0" applyNumberFormat="1" applyBorder="1"/>
    <xf numFmtId="167" fontId="0" fillId="0" borderId="0" xfId="0" applyNumberFormat="1"/>
    <xf numFmtId="0" fontId="0" fillId="0" borderId="14" xfId="0" applyBorder="1"/>
    <xf numFmtId="165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1" fillId="0" borderId="0" xfId="0" applyFont="1" applyAlignment="1">
      <alignment vertical="center" readingOrder="1"/>
    </xf>
    <xf numFmtId="0" fontId="0" fillId="0" borderId="22" xfId="0" applyBorder="1" applyAlignment="1">
      <alignment horizontal="center" vertical="center" wrapText="1"/>
    </xf>
    <xf numFmtId="0" fontId="1" fillId="0" borderId="11" xfId="0" applyFont="1" applyBorder="1" applyAlignment="1">
      <alignment vertical="center" readingOrder="1"/>
    </xf>
    <xf numFmtId="3" fontId="0" fillId="0" borderId="0" xfId="0" applyNumberFormat="1" applyAlignment="1">
      <alignment horizontal="left"/>
    </xf>
    <xf numFmtId="0" fontId="5" fillId="0" borderId="0" xfId="0" applyFont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0" fillId="0" borderId="1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 readingOrder="1"/>
    </xf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center"/>
    </xf>
    <xf numFmtId="169" fontId="5" fillId="0" borderId="0" xfId="0" applyNumberFormat="1" applyFont="1"/>
    <xf numFmtId="165" fontId="5" fillId="0" borderId="0" xfId="0" applyNumberFormat="1" applyFo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left" vertical="center"/>
    </xf>
    <xf numFmtId="169" fontId="8" fillId="0" borderId="0" xfId="0" applyNumberFormat="1" applyFont="1"/>
    <xf numFmtId="169" fontId="8" fillId="0" borderId="4" xfId="0" applyNumberFormat="1" applyFont="1" applyBorder="1"/>
    <xf numFmtId="169" fontId="8" fillId="0" borderId="2" xfId="0" applyNumberFormat="1" applyFont="1" applyBorder="1"/>
    <xf numFmtId="169" fontId="8" fillId="0" borderId="8" xfId="0" applyNumberFormat="1" applyFont="1" applyBorder="1"/>
    <xf numFmtId="169" fontId="8" fillId="0" borderId="11" xfId="0" applyNumberFormat="1" applyFont="1" applyBorder="1"/>
    <xf numFmtId="169" fontId="8" fillId="0" borderId="5" xfId="0" applyNumberFormat="1" applyFont="1" applyBorder="1"/>
    <xf numFmtId="169" fontId="8" fillId="0" borderId="3" xfId="0" applyNumberFormat="1" applyFont="1" applyBorder="1"/>
    <xf numFmtId="169" fontId="8" fillId="0" borderId="16" xfId="0" applyNumberFormat="1" applyFont="1" applyBorder="1"/>
    <xf numFmtId="169" fontId="8" fillId="0" borderId="17" xfId="0" applyNumberFormat="1" applyFont="1" applyBorder="1" applyAlignment="1">
      <alignment horizontal="right" vertical="center"/>
    </xf>
    <xf numFmtId="169" fontId="8" fillId="0" borderId="17" xfId="0" applyNumberFormat="1" applyFont="1" applyBorder="1" applyAlignment="1">
      <alignment horizontal="right"/>
    </xf>
    <xf numFmtId="169" fontId="9" fillId="0" borderId="17" xfId="0" applyNumberFormat="1" applyFont="1" applyBorder="1" applyAlignment="1">
      <alignment horizontal="right"/>
    </xf>
    <xf numFmtId="169" fontId="8" fillId="0" borderId="19" xfId="0" applyNumberFormat="1" applyFont="1" applyBorder="1" applyAlignment="1">
      <alignment horizontal="right"/>
    </xf>
    <xf numFmtId="169" fontId="9" fillId="0" borderId="19" xfId="0" applyNumberFormat="1" applyFont="1" applyBorder="1" applyAlignment="1">
      <alignment horizontal="right"/>
    </xf>
    <xf numFmtId="165" fontId="9" fillId="0" borderId="9" xfId="0" applyNumberFormat="1" applyFont="1" applyBorder="1" applyAlignment="1">
      <alignment horizontal="left" vertical="center"/>
    </xf>
    <xf numFmtId="165" fontId="9" fillId="0" borderId="10" xfId="0" applyNumberFormat="1" applyFont="1" applyBorder="1" applyAlignment="1">
      <alignment horizontal="left" vertical="center"/>
    </xf>
    <xf numFmtId="165" fontId="8" fillId="0" borderId="18" xfId="0" applyNumberFormat="1" applyFont="1" applyBorder="1"/>
    <xf numFmtId="165" fontId="8" fillId="0" borderId="10" xfId="0" applyNumberFormat="1" applyFont="1" applyBorder="1"/>
    <xf numFmtId="165" fontId="10" fillId="0" borderId="21" xfId="0" applyNumberFormat="1" applyFont="1" applyBorder="1" applyAlignment="1">
      <alignment vertical="center"/>
    </xf>
    <xf numFmtId="165" fontId="8" fillId="0" borderId="9" xfId="0" applyNumberFormat="1" applyFont="1" applyBorder="1"/>
    <xf numFmtId="165" fontId="8" fillId="0" borderId="2" xfId="0" applyNumberFormat="1" applyFont="1" applyBorder="1" applyAlignment="1">
      <alignment horizontal="left" vertical="center"/>
    </xf>
    <xf numFmtId="165" fontId="9" fillId="0" borderId="3" xfId="0" applyNumberFormat="1" applyFont="1" applyBorder="1" applyAlignment="1">
      <alignment horizontal="left" vertical="center"/>
    </xf>
    <xf numFmtId="165" fontId="8" fillId="0" borderId="0" xfId="0" applyNumberFormat="1" applyFont="1" applyAlignment="1">
      <alignment horizontal="left" vertical="center"/>
    </xf>
    <xf numFmtId="165" fontId="9" fillId="0" borderId="11" xfId="0" applyNumberFormat="1" applyFont="1" applyBorder="1" applyAlignment="1">
      <alignment horizontal="left" vertical="center"/>
    </xf>
    <xf numFmtId="165" fontId="11" fillId="0" borderId="17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65" fontId="8" fillId="0" borderId="4" xfId="0" applyNumberFormat="1" applyFont="1" applyBorder="1"/>
    <xf numFmtId="165" fontId="8" fillId="0" borderId="5" xfId="0" applyNumberFormat="1" applyFont="1" applyBorder="1"/>
    <xf numFmtId="165" fontId="8" fillId="0" borderId="0" xfId="0" applyNumberFormat="1" applyFont="1"/>
    <xf numFmtId="165" fontId="8" fillId="0" borderId="1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164" fontId="8" fillId="0" borderId="2" xfId="0" applyNumberFormat="1" applyFont="1" applyBorder="1"/>
    <xf numFmtId="164" fontId="8" fillId="0" borderId="3" xfId="0" applyNumberFormat="1" applyFont="1" applyBorder="1"/>
    <xf numFmtId="164" fontId="8" fillId="0" borderId="4" xfId="0" applyNumberFormat="1" applyFont="1" applyBorder="1"/>
    <xf numFmtId="164" fontId="8" fillId="0" borderId="5" xfId="0" applyNumberFormat="1" applyFont="1" applyBorder="1"/>
    <xf numFmtId="169" fontId="0" fillId="0" borderId="0" xfId="0" applyNumberFormat="1"/>
    <xf numFmtId="9" fontId="0" fillId="0" borderId="11" xfId="0" applyNumberFormat="1" applyBorder="1" applyAlignment="1">
      <alignment horizontal="center"/>
    </xf>
    <xf numFmtId="170" fontId="0" fillId="0" borderId="0" xfId="0" applyNumberFormat="1"/>
    <xf numFmtId="2" fontId="8" fillId="0" borderId="0" xfId="0" applyNumberFormat="1" applyFont="1"/>
    <xf numFmtId="166" fontId="8" fillId="0" borderId="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  <xf numFmtId="166" fontId="5" fillId="0" borderId="0" xfId="0" applyNumberFormat="1" applyFont="1"/>
    <xf numFmtId="166" fontId="5" fillId="0" borderId="4" xfId="0" applyNumberFormat="1" applyFont="1" applyBorder="1"/>
    <xf numFmtId="166" fontId="0" fillId="0" borderId="4" xfId="0" applyNumberFormat="1" applyBorder="1"/>
    <xf numFmtId="0" fontId="0" fillId="0" borderId="12" xfId="0" applyBorder="1"/>
    <xf numFmtId="166" fontId="0" fillId="0" borderId="12" xfId="0" applyNumberFormat="1" applyBorder="1"/>
    <xf numFmtId="164" fontId="5" fillId="0" borderId="0" xfId="0" applyNumberFormat="1" applyFont="1" applyAlignment="1">
      <alignment horizontal="right"/>
    </xf>
    <xf numFmtId="166" fontId="0" fillId="0" borderId="0" xfId="0" applyNumberFormat="1"/>
    <xf numFmtId="166" fontId="8" fillId="0" borderId="0" xfId="0" applyNumberFormat="1" applyFont="1"/>
    <xf numFmtId="0" fontId="5" fillId="2" borderId="11" xfId="0" applyFont="1" applyFill="1" applyBorder="1"/>
    <xf numFmtId="0" fontId="0" fillId="0" borderId="18" xfId="0" applyBorder="1"/>
    <xf numFmtId="166" fontId="0" fillId="0" borderId="8" xfId="0" applyNumberFormat="1" applyBorder="1"/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/>
    <xf numFmtId="1" fontId="0" fillId="0" borderId="4" xfId="0" applyNumberFormat="1" applyBorder="1"/>
    <xf numFmtId="166" fontId="0" fillId="0" borderId="34" xfId="0" applyNumberFormat="1" applyBorder="1" applyAlignment="1">
      <alignment horizontal="center"/>
    </xf>
    <xf numFmtId="1" fontId="1" fillId="0" borderId="4" xfId="0" applyNumberFormat="1" applyFont="1" applyBorder="1" applyAlignment="1">
      <alignment vertical="center" readingOrder="1"/>
    </xf>
    <xf numFmtId="0" fontId="0" fillId="2" borderId="33" xfId="0" applyFill="1" applyBorder="1"/>
    <xf numFmtId="0" fontId="0" fillId="0" borderId="35" xfId="0" applyBorder="1"/>
    <xf numFmtId="1" fontId="0" fillId="0" borderId="36" xfId="0" applyNumberFormat="1" applyBorder="1"/>
    <xf numFmtId="166" fontId="0" fillId="0" borderId="37" xfId="0" applyNumberFormat="1" applyBorder="1" applyAlignment="1">
      <alignment horizontal="center"/>
    </xf>
    <xf numFmtId="165" fontId="8" fillId="2" borderId="2" xfId="0" applyNumberFormat="1" applyFont="1" applyFill="1" applyBorder="1" applyAlignment="1">
      <alignment horizontal="left" vertical="center"/>
    </xf>
    <xf numFmtId="166" fontId="8" fillId="2" borderId="4" xfId="0" applyNumberFormat="1" applyFont="1" applyFill="1" applyBorder="1" applyAlignment="1">
      <alignment horizontal="right" vertical="center"/>
    </xf>
    <xf numFmtId="169" fontId="8" fillId="2" borderId="0" xfId="0" applyNumberFormat="1" applyFont="1" applyFill="1"/>
    <xf numFmtId="165" fontId="8" fillId="2" borderId="4" xfId="0" applyNumberFormat="1" applyFont="1" applyFill="1" applyBorder="1"/>
    <xf numFmtId="169" fontId="8" fillId="2" borderId="15" xfId="0" applyNumberFormat="1" applyFont="1" applyFill="1" applyBorder="1" applyAlignment="1">
      <alignment vertical="center"/>
    </xf>
    <xf numFmtId="169" fontId="8" fillId="2" borderId="2" xfId="0" applyNumberFormat="1" applyFont="1" applyFill="1" applyBorder="1"/>
    <xf numFmtId="169" fontId="8" fillId="2" borderId="4" xfId="0" applyNumberFormat="1" applyFont="1" applyFill="1" applyBorder="1"/>
    <xf numFmtId="169" fontId="8" fillId="2" borderId="8" xfId="0" applyNumberFormat="1" applyFont="1" applyFill="1" applyBorder="1"/>
    <xf numFmtId="165" fontId="8" fillId="2" borderId="0" xfId="0" applyNumberFormat="1" applyFont="1" applyFill="1"/>
    <xf numFmtId="165" fontId="8" fillId="2" borderId="2" xfId="0" applyNumberFormat="1" applyFont="1" applyFill="1" applyBorder="1"/>
    <xf numFmtId="0" fontId="5" fillId="2" borderId="0" xfId="0" applyFont="1" applyFill="1"/>
    <xf numFmtId="0" fontId="0" fillId="2" borderId="0" xfId="0" applyFill="1"/>
    <xf numFmtId="165" fontId="8" fillId="2" borderId="14" xfId="0" applyNumberFormat="1" applyFont="1" applyFill="1" applyBorder="1" applyAlignment="1">
      <alignment horizontal="left" vertical="center"/>
    </xf>
    <xf numFmtId="166" fontId="8" fillId="2" borderId="15" xfId="0" applyNumberFormat="1" applyFont="1" applyFill="1" applyBorder="1" applyAlignment="1">
      <alignment horizontal="right" vertical="center"/>
    </xf>
    <xf numFmtId="165" fontId="8" fillId="2" borderId="0" xfId="0" applyNumberFormat="1" applyFont="1" applyFill="1" applyAlignment="1">
      <alignment horizontal="left" vertical="center"/>
    </xf>
    <xf numFmtId="166" fontId="8" fillId="2" borderId="8" xfId="0" applyNumberFormat="1" applyFont="1" applyFill="1" applyBorder="1" applyAlignment="1">
      <alignment horizontal="right" vertical="center"/>
    </xf>
    <xf numFmtId="165" fontId="8" fillId="2" borderId="13" xfId="0" applyNumberFormat="1" applyFont="1" applyFill="1" applyBorder="1" applyAlignment="1">
      <alignment horizontal="left" vertical="center"/>
    </xf>
    <xf numFmtId="165" fontId="8" fillId="2" borderId="11" xfId="0" applyNumberFormat="1" applyFont="1" applyFill="1" applyBorder="1" applyAlignment="1">
      <alignment horizontal="left" vertical="center"/>
    </xf>
    <xf numFmtId="166" fontId="8" fillId="2" borderId="5" xfId="0" applyNumberFormat="1" applyFont="1" applyFill="1" applyBorder="1" applyAlignment="1">
      <alignment horizontal="right" vertical="center"/>
    </xf>
    <xf numFmtId="169" fontId="8" fillId="2" borderId="11" xfId="0" applyNumberFormat="1" applyFont="1" applyFill="1" applyBorder="1"/>
    <xf numFmtId="165" fontId="8" fillId="2" borderId="5" xfId="0" applyNumberFormat="1" applyFont="1" applyFill="1" applyBorder="1"/>
    <xf numFmtId="169" fontId="8" fillId="2" borderId="16" xfId="0" applyNumberFormat="1" applyFont="1" applyFill="1" applyBorder="1"/>
    <xf numFmtId="169" fontId="8" fillId="2" borderId="5" xfId="0" applyNumberFormat="1" applyFont="1" applyFill="1" applyBorder="1"/>
    <xf numFmtId="169" fontId="8" fillId="2" borderId="3" xfId="0" applyNumberFormat="1" applyFont="1" applyFill="1" applyBorder="1"/>
    <xf numFmtId="165" fontId="8" fillId="2" borderId="11" xfId="0" applyNumberFormat="1" applyFont="1" applyFill="1" applyBorder="1"/>
    <xf numFmtId="164" fontId="8" fillId="2" borderId="5" xfId="0" applyNumberFormat="1" applyFont="1" applyFill="1" applyBorder="1"/>
    <xf numFmtId="164" fontId="8" fillId="2" borderId="2" xfId="0" applyNumberFormat="1" applyFont="1" applyFill="1" applyBorder="1"/>
    <xf numFmtId="164" fontId="8" fillId="2" borderId="4" xfId="0" applyNumberFormat="1" applyFont="1" applyFill="1" applyBorder="1"/>
    <xf numFmtId="169" fontId="8" fillId="2" borderId="13" xfId="0" applyNumberFormat="1" applyFont="1" applyFill="1" applyBorder="1"/>
    <xf numFmtId="169" fontId="8" fillId="2" borderId="15" xfId="0" applyNumberFormat="1" applyFont="1" applyFill="1" applyBorder="1"/>
    <xf numFmtId="169" fontId="8" fillId="2" borderId="14" xfId="0" applyNumberFormat="1" applyFont="1" applyFill="1" applyBorder="1"/>
    <xf numFmtId="165" fontId="8" fillId="2" borderId="13" xfId="0" applyNumberFormat="1" applyFont="1" applyFill="1" applyBorder="1"/>
    <xf numFmtId="164" fontId="8" fillId="2" borderId="15" xfId="0" applyNumberFormat="1" applyFont="1" applyFill="1" applyBorder="1"/>
    <xf numFmtId="164" fontId="8" fillId="2" borderId="0" xfId="0" applyNumberFormat="1" applyFont="1" applyFill="1"/>
    <xf numFmtId="165" fontId="8" fillId="2" borderId="15" xfId="0" applyNumberFormat="1" applyFont="1" applyFill="1" applyBorder="1"/>
    <xf numFmtId="0" fontId="9" fillId="0" borderId="20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38" xfId="0" applyFont="1" applyBorder="1"/>
    <xf numFmtId="169" fontId="16" fillId="0" borderId="38" xfId="0" applyNumberFormat="1" applyFont="1" applyBorder="1"/>
    <xf numFmtId="0" fontId="5" fillId="0" borderId="38" xfId="0" applyFont="1" applyBorder="1"/>
    <xf numFmtId="169" fontId="5" fillId="0" borderId="38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1" fontId="0" fillId="0" borderId="0" xfId="0" applyNumberForma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horizontal="center"/>
    </xf>
    <xf numFmtId="0" fontId="18" fillId="0" borderId="0" xfId="0" applyFont="1" applyAlignment="1">
      <alignment horizontal="left"/>
    </xf>
    <xf numFmtId="0" fontId="0" fillId="0" borderId="2" xfId="0" applyBorder="1" applyAlignment="1">
      <alignment horizontal="left" wrapText="1"/>
    </xf>
    <xf numFmtId="2" fontId="0" fillId="0" borderId="0" xfId="0" applyNumberFormat="1" applyAlignment="1">
      <alignment horizontal="right"/>
    </xf>
    <xf numFmtId="0" fontId="0" fillId="3" borderId="0" xfId="0" applyFill="1" applyAlignment="1">
      <alignment horizontal="center"/>
    </xf>
    <xf numFmtId="9" fontId="0" fillId="0" borderId="0" xfId="1" applyFont="1"/>
    <xf numFmtId="0" fontId="0" fillId="2" borderId="39" xfId="0" applyFill="1" applyBorder="1"/>
    <xf numFmtId="0" fontId="0" fillId="3" borderId="40" xfId="0" applyFill="1" applyBorder="1"/>
    <xf numFmtId="0" fontId="0" fillId="4" borderId="31" xfId="0" applyFill="1" applyBorder="1"/>
    <xf numFmtId="0" fontId="0" fillId="5" borderId="31" xfId="0" applyFill="1" applyBorder="1"/>
    <xf numFmtId="0" fontId="0" fillId="6" borderId="31" xfId="0" applyFill="1" applyBorder="1"/>
    <xf numFmtId="0" fontId="0" fillId="7" borderId="31" xfId="0" applyFill="1" applyBorder="1"/>
    <xf numFmtId="0" fontId="0" fillId="8" borderId="31" xfId="0" applyFill="1" applyBorder="1"/>
    <xf numFmtId="0" fontId="0" fillId="9" borderId="31" xfId="0" applyFill="1" applyBorder="1"/>
    <xf numFmtId="0" fontId="0" fillId="10" borderId="41" xfId="0" applyFill="1" applyBorder="1"/>
    <xf numFmtId="0" fontId="0" fillId="11" borderId="19" xfId="0" applyFill="1" applyBorder="1"/>
    <xf numFmtId="0" fontId="0" fillId="0" borderId="39" xfId="0" applyBorder="1" applyAlignment="1">
      <alignment horizontal="left"/>
    </xf>
    <xf numFmtId="0" fontId="0" fillId="0" borderId="42" xfId="0" applyBorder="1"/>
    <xf numFmtId="0" fontId="0" fillId="0" borderId="43" xfId="0" applyBorder="1"/>
    <xf numFmtId="0" fontId="0" fillId="0" borderId="19" xfId="0" applyBorder="1"/>
    <xf numFmtId="0" fontId="0" fillId="0" borderId="44" xfId="0" applyBorder="1" applyAlignment="1">
      <alignment horizontal="left"/>
    </xf>
    <xf numFmtId="2" fontId="0" fillId="0" borderId="12" xfId="0" applyNumberFormat="1" applyBorder="1"/>
    <xf numFmtId="2" fontId="0" fillId="0" borderId="42" xfId="0" applyNumberFormat="1" applyBorder="1"/>
    <xf numFmtId="2" fontId="0" fillId="0" borderId="43" xfId="0" applyNumberFormat="1" applyBorder="1"/>
    <xf numFmtId="2" fontId="0" fillId="0" borderId="19" xfId="0" applyNumberFormat="1" applyBorder="1"/>
    <xf numFmtId="0" fontId="0" fillId="0" borderId="44" xfId="0" applyBorder="1" applyAlignment="1">
      <alignment horizontal="left" wrapText="1"/>
    </xf>
    <xf numFmtId="0" fontId="0" fillId="0" borderId="13" xfId="0" applyBorder="1"/>
    <xf numFmtId="0" fontId="0" fillId="0" borderId="45" xfId="0" applyBorder="1"/>
    <xf numFmtId="0" fontId="0" fillId="0" borderId="46" xfId="0" applyBorder="1"/>
    <xf numFmtId="0" fontId="0" fillId="0" borderId="8" xfId="0" applyBorder="1" applyAlignment="1">
      <alignment horizontal="left" wrapText="1"/>
    </xf>
    <xf numFmtId="0" fontId="0" fillId="0" borderId="34" xfId="0" applyBorder="1"/>
    <xf numFmtId="0" fontId="0" fillId="0" borderId="16" xfId="0" applyBorder="1" applyAlignment="1">
      <alignment horizontal="left" wrapText="1"/>
    </xf>
    <xf numFmtId="0" fontId="0" fillId="0" borderId="47" xfId="0" applyBorder="1"/>
    <xf numFmtId="0" fontId="0" fillId="0" borderId="48" xfId="0" applyBorder="1"/>
    <xf numFmtId="0" fontId="0" fillId="0" borderId="17" xfId="0" applyBorder="1" applyAlignment="1">
      <alignment horizontal="left" wrapText="1"/>
    </xf>
    <xf numFmtId="0" fontId="0" fillId="0" borderId="39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3" borderId="2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6" borderId="17" xfId="0" applyFill="1" applyBorder="1"/>
    <xf numFmtId="0" fontId="0" fillId="7" borderId="17" xfId="0" applyFill="1" applyBorder="1"/>
    <xf numFmtId="0" fontId="0" fillId="8" borderId="17" xfId="0" applyFill="1" applyBorder="1"/>
    <xf numFmtId="0" fontId="0" fillId="9" borderId="17" xfId="0" applyFill="1" applyBorder="1"/>
    <xf numFmtId="0" fontId="0" fillId="10" borderId="17" xfId="0" applyFill="1" applyBorder="1"/>
    <xf numFmtId="166" fontId="0" fillId="0" borderId="2" xfId="0" applyNumberFormat="1" applyBorder="1"/>
    <xf numFmtId="166" fontId="0" fillId="0" borderId="11" xfId="0" applyNumberFormat="1" applyBorder="1"/>
    <xf numFmtId="166" fontId="0" fillId="0" borderId="3" xfId="0" applyNumberFormat="1" applyBorder="1"/>
    <xf numFmtId="0" fontId="0" fillId="4" borderId="0" xfId="0" applyFill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9" borderId="39" xfId="0" applyFill="1" applyBorder="1"/>
    <xf numFmtId="0" fontId="0" fillId="10" borderId="13" xfId="0" applyFill="1" applyBorder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20" fillId="0" borderId="49" xfId="0" applyFont="1" applyBorder="1" applyAlignment="1">
      <alignment horizontal="left" vertical="center" wrapText="1"/>
    </xf>
    <xf numFmtId="0" fontId="20" fillId="0" borderId="50" xfId="0" applyFont="1" applyBorder="1" applyAlignment="1">
      <alignment horizontal="left" vertical="center"/>
    </xf>
    <xf numFmtId="0" fontId="20" fillId="0" borderId="51" xfId="0" applyFont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12" borderId="55" xfId="0" applyFont="1" applyFill="1" applyBorder="1" applyAlignment="1">
      <alignment horizontal="center" vertical="center"/>
    </xf>
    <xf numFmtId="0" fontId="20" fillId="0" borderId="5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31" xfId="0" applyBorder="1" applyAlignment="1">
      <alignment horizontal="left"/>
    </xf>
    <xf numFmtId="0" fontId="0" fillId="0" borderId="57" xfId="0" applyBorder="1"/>
    <xf numFmtId="2" fontId="0" fillId="0" borderId="58" xfId="0" applyNumberFormat="1" applyBorder="1"/>
    <xf numFmtId="2" fontId="0" fillId="0" borderId="31" xfId="0" applyNumberFormat="1" applyBorder="1"/>
    <xf numFmtId="2" fontId="0" fillId="0" borderId="41" xfId="0" applyNumberFormat="1" applyBorder="1"/>
    <xf numFmtId="0" fontId="0" fillId="12" borderId="61" xfId="0" applyFill="1" applyBorder="1"/>
    <xf numFmtId="165" fontId="0" fillId="0" borderId="59" xfId="0" applyNumberFormat="1" applyBorder="1" applyAlignment="1">
      <alignment horizontal="right"/>
    </xf>
    <xf numFmtId="165" fontId="0" fillId="0" borderId="58" xfId="0" applyNumberFormat="1" applyBorder="1" applyAlignment="1">
      <alignment horizontal="right"/>
    </xf>
    <xf numFmtId="165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left"/>
    </xf>
    <xf numFmtId="2" fontId="0" fillId="0" borderId="34" xfId="0" applyNumberFormat="1" applyBorder="1"/>
    <xf numFmtId="0" fontId="0" fillId="0" borderId="17" xfId="0" applyBorder="1" applyAlignment="1">
      <alignment horizontal="left"/>
    </xf>
    <xf numFmtId="2" fontId="0" fillId="0" borderId="15" xfId="0" applyNumberFormat="1" applyBorder="1"/>
    <xf numFmtId="2" fontId="0" fillId="0" borderId="17" xfId="0" applyNumberFormat="1" applyBorder="1"/>
    <xf numFmtId="2" fontId="0" fillId="0" borderId="24" xfId="0" applyNumberFormat="1" applyBorder="1"/>
    <xf numFmtId="0" fontId="0" fillId="12" borderId="0" xfId="0" applyFill="1"/>
    <xf numFmtId="165" fontId="0" fillId="0" borderId="62" xfId="0" applyNumberFormat="1" applyBorder="1" applyAlignment="1">
      <alignment horizontal="right"/>
    </xf>
    <xf numFmtId="165" fontId="0" fillId="0" borderId="4" xfId="0" applyNumberFormat="1" applyBorder="1" applyAlignment="1">
      <alignment horizontal="right"/>
    </xf>
    <xf numFmtId="0" fontId="0" fillId="0" borderId="47" xfId="0" applyBorder="1" applyAlignment="1">
      <alignment horizontal="left"/>
    </xf>
    <xf numFmtId="2" fontId="0" fillId="0" borderId="48" xfId="0" applyNumberFormat="1" applyBorder="1"/>
    <xf numFmtId="0" fontId="0" fillId="0" borderId="35" xfId="0" applyBorder="1" applyAlignment="1">
      <alignment horizontal="left"/>
    </xf>
    <xf numFmtId="2" fontId="0" fillId="0" borderId="37" xfId="0" applyNumberFormat="1" applyBorder="1"/>
    <xf numFmtId="0" fontId="0" fillId="0" borderId="26" xfId="0" applyBorder="1" applyAlignment="1">
      <alignment horizontal="left"/>
    </xf>
    <xf numFmtId="0" fontId="0" fillId="0" borderId="63" xfId="0" applyBorder="1"/>
    <xf numFmtId="2" fontId="0" fillId="0" borderId="26" xfId="0" applyNumberFormat="1" applyBorder="1"/>
    <xf numFmtId="2" fontId="0" fillId="0" borderId="27" xfId="0" applyNumberFormat="1" applyBorder="1"/>
    <xf numFmtId="0" fontId="0" fillId="12" borderId="28" xfId="0" applyFill="1" applyBorder="1"/>
    <xf numFmtId="165" fontId="0" fillId="0" borderId="64" xfId="0" applyNumberFormat="1" applyBorder="1" applyAlignment="1">
      <alignment horizontal="right"/>
    </xf>
    <xf numFmtId="165" fontId="0" fillId="0" borderId="36" xfId="0" applyNumberFormat="1" applyBorder="1" applyAlignment="1">
      <alignment horizontal="right"/>
    </xf>
    <xf numFmtId="0" fontId="0" fillId="0" borderId="5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6" xfId="0" applyBorder="1" applyAlignment="1">
      <alignment horizontal="left"/>
    </xf>
    <xf numFmtId="1" fontId="0" fillId="0" borderId="31" xfId="0" applyNumberFormat="1" applyBorder="1"/>
    <xf numFmtId="1" fontId="0" fillId="0" borderId="17" xfId="0" applyNumberFormat="1" applyBorder="1"/>
    <xf numFmtId="1" fontId="0" fillId="0" borderId="26" xfId="0" applyNumberFormat="1" applyBorder="1"/>
    <xf numFmtId="0" fontId="0" fillId="0" borderId="31" xfId="0" applyBorder="1"/>
    <xf numFmtId="0" fontId="0" fillId="0" borderId="17" xfId="0" applyBorder="1"/>
    <xf numFmtId="2" fontId="0" fillId="0" borderId="5" xfId="0" applyNumberFormat="1" applyBorder="1"/>
    <xf numFmtId="0" fontId="0" fillId="0" borderId="36" xfId="0" applyBorder="1"/>
    <xf numFmtId="2" fontId="0" fillId="0" borderId="36" xfId="0" applyNumberFormat="1" applyBorder="1"/>
    <xf numFmtId="0" fontId="2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4" xfId="0" applyBorder="1" applyAlignment="1">
      <alignment horizontal="right" indent="2"/>
    </xf>
    <xf numFmtId="0" fontId="0" fillId="0" borderId="4" xfId="0" applyBorder="1" applyAlignment="1">
      <alignment horizontal="right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1" fillId="0" borderId="0" xfId="0" applyFont="1" applyAlignment="1">
      <alignment horizontal="left"/>
    </xf>
    <xf numFmtId="0" fontId="20" fillId="0" borderId="40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2" fontId="0" fillId="0" borderId="5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2" fontId="0" fillId="0" borderId="60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65" fontId="0" fillId="0" borderId="58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0" fontId="21" fillId="0" borderId="28" xfId="0" applyFont="1" applyBorder="1" applyAlignment="1">
      <alignment horizontal="left"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165" fontId="0" fillId="0" borderId="66" xfId="0" applyNumberForma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0" fillId="0" borderId="56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0" fontId="4" fillId="0" borderId="29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44192193709319"/>
          <c:y val="0.10319603867446911"/>
          <c:w val="0.61997660586581682"/>
          <c:h val="0.72324569409726325"/>
        </c:manualLayout>
      </c:layout>
      <c:barChart>
        <c:barDir val="col"/>
        <c:grouping val="clustered"/>
        <c:varyColors val="0"/>
        <c:ser>
          <c:idx val="0"/>
          <c:order val="0"/>
          <c:tx>
            <c:v>0.3% S or less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8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2.8571428571428571E-2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353-9643-97E0-E0976E39BC25}"/>
            </c:ext>
          </c:extLst>
        </c:ser>
        <c:ser>
          <c:idx val="1"/>
          <c:order val="1"/>
          <c:tx>
            <c:v>&gt; 0.3% - 0.4% S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8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</c:numLit>
          </c:cat>
          <c:val>
            <c:numLit>
              <c:formatCode>General</c:formatCode>
              <c:ptCount val="8"/>
              <c:pt idx="0">
                <c:v>0</c:v>
              </c:pt>
              <c:pt idx="1">
                <c:v>0.1</c:v>
              </c:pt>
              <c:pt idx="2">
                <c:v>0</c:v>
              </c:pt>
              <c:pt idx="3">
                <c:v>0.13636363636363635</c:v>
              </c:pt>
              <c:pt idx="4">
                <c:v>0.14285714285714285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353-9643-97E0-E0976E39BC25}"/>
            </c:ext>
          </c:extLst>
        </c:ser>
        <c:ser>
          <c:idx val="2"/>
          <c:order val="2"/>
          <c:tx>
            <c:v>&gt; 0.4% S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8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</c:numLit>
          </c:cat>
          <c:val>
            <c:numLit>
              <c:formatCode>General</c:formatCode>
              <c:ptCount val="8"/>
              <c:pt idx="0">
                <c:v>1</c:v>
              </c:pt>
              <c:pt idx="1">
                <c:v>0.87142857142857144</c:v>
              </c:pt>
              <c:pt idx="2">
                <c:v>1</c:v>
              </c:pt>
              <c:pt idx="3">
                <c:v>0.86363636363636365</c:v>
              </c:pt>
              <c:pt idx="4">
                <c:v>0.8571428571428571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9353-9643-97E0-E0976E39B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47889872"/>
        <c:axId val="947889216"/>
      </c:barChart>
      <c:catAx>
        <c:axId val="94788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7889216"/>
        <c:crosses val="autoZero"/>
        <c:auto val="1"/>
        <c:lblAlgn val="ctr"/>
        <c:lblOffset val="100"/>
        <c:noMultiLvlLbl val="0"/>
      </c:catAx>
      <c:valAx>
        <c:axId val="9478892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/>
                  <a:t>Percent frequency</a:t>
                </a:r>
              </a:p>
            </c:rich>
          </c:tx>
          <c:layout>
            <c:manualLayout>
              <c:xMode val="edge"/>
              <c:yMode val="edge"/>
              <c:x val="3.0107780626931459E-2"/>
              <c:y val="0.22034940944881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7889872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05915652786228"/>
          <c:y val="0.1885413017258116"/>
          <c:w val="0.21458610945288348"/>
          <c:h val="0.33052821522309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44192193709319"/>
          <c:y val="0.10319603867446911"/>
          <c:w val="0.61997660586581682"/>
          <c:h val="0.72324569409726325"/>
        </c:manualLayout>
      </c:layout>
      <c:barChart>
        <c:barDir val="col"/>
        <c:grouping val="clustered"/>
        <c:varyColors val="0"/>
        <c:ser>
          <c:idx val="0"/>
          <c:order val="0"/>
          <c:tx>
            <c:v>0.3% or less</c:v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2.8571428571428571E-2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3CA-9440-87EF-BE6B19631AD4}"/>
            </c:ext>
          </c:extLst>
        </c:ser>
        <c:ser>
          <c:idx val="1"/>
          <c:order val="1"/>
          <c:tx>
            <c:v>&gt; 0.3% - 0.4% S</c:v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Lit>
              <c:formatCode>General</c:formatCode>
              <c:ptCount val="11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0.1</c:v>
              </c:pt>
              <c:pt idx="4">
                <c:v>0</c:v>
              </c:pt>
              <c:pt idx="5">
                <c:v>0.13636363636363635</c:v>
              </c:pt>
              <c:pt idx="6">
                <c:v>0.14285714285714285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83CA-9440-87EF-BE6B19631AD4}"/>
            </c:ext>
          </c:extLst>
        </c:ser>
        <c:ser>
          <c:idx val="2"/>
          <c:order val="2"/>
          <c:tx>
            <c:v>&gt; 0.4%</c:v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0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pt idx="9">
                <c:v>2020</c:v>
              </c:pt>
            </c:numLit>
          </c:cat>
          <c:val>
            <c:numLit>
              <c:formatCode>General</c:formatCode>
              <c:ptCount val="10"/>
              <c:pt idx="0">
                <c:v>1</c:v>
              </c:pt>
              <c:pt idx="1">
                <c:v>1</c:v>
              </c:pt>
              <c:pt idx="2">
                <c:v>0.87142857142857144</c:v>
              </c:pt>
              <c:pt idx="3">
                <c:v>1</c:v>
              </c:pt>
              <c:pt idx="4">
                <c:v>0.86363636363636365</c:v>
              </c:pt>
              <c:pt idx="5">
                <c:v>0.8571428571428571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83CA-9440-87EF-BE6B19631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axId val="947889872"/>
        <c:axId val="947889216"/>
      </c:barChart>
      <c:catAx>
        <c:axId val="94788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7889216"/>
        <c:crosses val="autoZero"/>
        <c:auto val="1"/>
        <c:lblAlgn val="ctr"/>
        <c:lblOffset val="100"/>
        <c:noMultiLvlLbl val="0"/>
      </c:catAx>
      <c:valAx>
        <c:axId val="9478892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Percent frequency</a:t>
                </a:r>
              </a:p>
            </c:rich>
          </c:tx>
          <c:layout>
            <c:manualLayout>
              <c:xMode val="edge"/>
              <c:yMode val="edge"/>
              <c:x val="3.0107780626931459E-2"/>
              <c:y val="0.22034940944881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7889872"/>
        <c:crosses val="autoZero"/>
        <c:crossBetween val="midCat"/>
        <c:min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905924953825212"/>
          <c:y val="0.3212538276465442"/>
          <c:w val="0.20285021937639228"/>
          <c:h val="0.33052821522309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603249</xdr:colOff>
      <xdr:row>15</xdr:row>
      <xdr:rowOff>74081</xdr:rowOff>
    </xdr:from>
    <xdr:to>
      <xdr:col>26</xdr:col>
      <xdr:colOff>21166</xdr:colOff>
      <xdr:row>25</xdr:row>
      <xdr:rowOff>126998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9AA7D7-FF52-4846-AFD5-E96CD51AC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444501</xdr:colOff>
      <xdr:row>30</xdr:row>
      <xdr:rowOff>63501</xdr:rowOff>
    </xdr:from>
    <xdr:to>
      <xdr:col>26</xdr:col>
      <xdr:colOff>338668</xdr:colOff>
      <xdr:row>39</xdr:row>
      <xdr:rowOff>177801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5571FE-1ADE-3E4F-916B-A9DDF305B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0</xdr:colOff>
      <xdr:row>37</xdr:row>
      <xdr:rowOff>0</xdr:rowOff>
    </xdr:from>
    <xdr:to>
      <xdr:col>14</xdr:col>
      <xdr:colOff>304800</xdr:colOff>
      <xdr:row>38</xdr:row>
      <xdr:rowOff>88900</xdr:rowOff>
    </xdr:to>
    <xdr:sp macro="" textlink="">
      <xdr:nvSpPr>
        <xdr:cNvPr id="5" name="AutoShape 1" descr="Z=\frac{(\bar{X}-\mu_{0})}{s}">
          <a:extLst>
            <a:ext uri="{FF2B5EF4-FFF2-40B4-BE49-F238E27FC236}">
              <a16:creationId xmlns:a16="http://schemas.microsoft.com/office/drawing/2014/main" id="{5F99A32A-5EA8-6146-8861-B23C76D0B9E1}"/>
            </a:ext>
          </a:extLst>
        </xdr:cNvPr>
        <xdr:cNvSpPr>
          <a:spLocks noChangeAspect="1" noChangeArrowheads="1"/>
        </xdr:cNvSpPr>
      </xdr:nvSpPr>
      <xdr:spPr bwMode="auto">
        <a:xfrm>
          <a:off x="20688300" y="731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63500</xdr:colOff>
      <xdr:row>33</xdr:row>
      <xdr:rowOff>130163</xdr:rowOff>
    </xdr:from>
    <xdr:to>
      <xdr:col>7</xdr:col>
      <xdr:colOff>982133</xdr:colOff>
      <xdr:row>45</xdr:row>
      <xdr:rowOff>168275</xdr:rowOff>
    </xdr:to>
    <xdr:pic>
      <xdr:nvPicPr>
        <xdr:cNvPr id="6" name="Picture 5" descr="T-test: Definition, Formula, Types, Applications">
          <a:extLst>
            <a:ext uri="{FF2B5EF4-FFF2-40B4-BE49-F238E27FC236}">
              <a16:creationId xmlns:a16="http://schemas.microsoft.com/office/drawing/2014/main" id="{5965069D-1964-2341-ACD0-F9137AA574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4566"/>
        <a:stretch/>
      </xdr:blipFill>
      <xdr:spPr bwMode="auto">
        <a:xfrm>
          <a:off x="14414500" y="6683363"/>
          <a:ext cx="2595033" cy="26416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247460</xdr:colOff>
      <xdr:row>70</xdr:row>
      <xdr:rowOff>194945</xdr:rowOff>
    </xdr:from>
    <xdr:to>
      <xdr:col>3</xdr:col>
      <xdr:colOff>127</xdr:colOff>
      <xdr:row>70</xdr:row>
      <xdr:rowOff>194945</xdr:rowOff>
    </xdr:to>
    <xdr:cxnSp macro="_xll.PtreeEvent_ObjectClick">
      <xdr:nvCxnSpPr>
        <xdr:cNvPr id="313" name="PTObj_DBranchHLine_2_16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CxnSpPr/>
      </xdr:nvCxnSpPr>
      <xdr:spPr>
        <a:xfrm>
          <a:off x="4790885" y="2151189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68</xdr:row>
      <xdr:rowOff>189864</xdr:rowOff>
    </xdr:from>
    <xdr:to>
      <xdr:col>2</xdr:col>
      <xdr:colOff>247460</xdr:colOff>
      <xdr:row>70</xdr:row>
      <xdr:rowOff>194945</xdr:rowOff>
    </xdr:to>
    <xdr:cxnSp macro="_xll.PtreeEvent_ObjectClick">
      <xdr:nvCxnSpPr>
        <xdr:cNvPr id="312" name="PTObj_DBranchDLine_2_16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CxnSpPr/>
      </xdr:nvCxnSpPr>
      <xdr:spPr>
        <a:xfrm>
          <a:off x="4638485" y="21106764"/>
          <a:ext cx="152400" cy="4051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66</xdr:row>
      <xdr:rowOff>194945</xdr:rowOff>
    </xdr:from>
    <xdr:to>
      <xdr:col>3</xdr:col>
      <xdr:colOff>127</xdr:colOff>
      <xdr:row>66</xdr:row>
      <xdr:rowOff>194945</xdr:rowOff>
    </xdr:to>
    <xdr:cxnSp macro="_xll.PtreeEvent_ObjectClick">
      <xdr:nvCxnSpPr>
        <xdr:cNvPr id="309" name="PTObj_DBranchHLine_2_15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CxnSpPr/>
      </xdr:nvCxnSpPr>
      <xdr:spPr>
        <a:xfrm>
          <a:off x="4790885" y="2071179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66</xdr:row>
      <xdr:rowOff>194945</xdr:rowOff>
    </xdr:from>
    <xdr:to>
      <xdr:col>2</xdr:col>
      <xdr:colOff>247460</xdr:colOff>
      <xdr:row>68</xdr:row>
      <xdr:rowOff>189864</xdr:rowOff>
    </xdr:to>
    <xdr:cxnSp macro="_xll.PtreeEvent_ObjectClick">
      <xdr:nvCxnSpPr>
        <xdr:cNvPr id="308" name="PTObj_DBranchDLine_2_15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CxnSpPr/>
      </xdr:nvCxnSpPr>
      <xdr:spPr>
        <a:xfrm flipV="1">
          <a:off x="4638485" y="20711795"/>
          <a:ext cx="152400" cy="39496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247460</xdr:colOff>
      <xdr:row>68</xdr:row>
      <xdr:rowOff>194945</xdr:rowOff>
    </xdr:from>
    <xdr:to>
      <xdr:col>2</xdr:col>
      <xdr:colOff>127</xdr:colOff>
      <xdr:row>68</xdr:row>
      <xdr:rowOff>194945</xdr:rowOff>
    </xdr:to>
    <xdr:cxnSp macro="_xll.PtreeEvent_ObjectClick">
      <xdr:nvCxnSpPr>
        <xdr:cNvPr id="305" name="PTObj_DBranchHLine_2_1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CxnSpPr/>
      </xdr:nvCxnSpPr>
      <xdr:spPr>
        <a:xfrm>
          <a:off x="3000185" y="21111845"/>
          <a:ext cx="154336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95060</xdr:colOff>
      <xdr:row>43</xdr:row>
      <xdr:rowOff>189864</xdr:rowOff>
    </xdr:from>
    <xdr:to>
      <xdr:col>1</xdr:col>
      <xdr:colOff>247460</xdr:colOff>
      <xdr:row>68</xdr:row>
      <xdr:rowOff>194945</xdr:rowOff>
    </xdr:to>
    <xdr:cxnSp macro="_xll.PtreeEvent_ObjectClick">
      <xdr:nvCxnSpPr>
        <xdr:cNvPr id="304" name="PTObj_DBranchDLine_2_14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CxnSpPr/>
      </xdr:nvCxnSpPr>
      <xdr:spPr>
        <a:xfrm>
          <a:off x="2847785" y="16706214"/>
          <a:ext cx="152400" cy="44056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63</xdr:row>
      <xdr:rowOff>194945</xdr:rowOff>
    </xdr:from>
    <xdr:to>
      <xdr:col>3</xdr:col>
      <xdr:colOff>127</xdr:colOff>
      <xdr:row>63</xdr:row>
      <xdr:rowOff>194945</xdr:rowOff>
    </xdr:to>
    <xdr:cxnSp macro="_xll.PtreeEvent_ObjectClick">
      <xdr:nvCxnSpPr>
        <xdr:cNvPr id="301" name="PTObj_DBranchHLine_2_13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CxnSpPr/>
      </xdr:nvCxnSpPr>
      <xdr:spPr>
        <a:xfrm>
          <a:off x="4790885" y="203117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61</xdr:row>
      <xdr:rowOff>189864</xdr:rowOff>
    </xdr:from>
    <xdr:to>
      <xdr:col>2</xdr:col>
      <xdr:colOff>247460</xdr:colOff>
      <xdr:row>63</xdr:row>
      <xdr:rowOff>194945</xdr:rowOff>
    </xdr:to>
    <xdr:cxnSp macro="_xll.PtreeEvent_ObjectClick">
      <xdr:nvCxnSpPr>
        <xdr:cNvPr id="300" name="PTObj_DBranchDLine_2_13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CxnSpPr/>
      </xdr:nvCxnSpPr>
      <xdr:spPr>
        <a:xfrm>
          <a:off x="4638485" y="19906614"/>
          <a:ext cx="152400" cy="4051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59</xdr:row>
      <xdr:rowOff>194945</xdr:rowOff>
    </xdr:from>
    <xdr:to>
      <xdr:col>3</xdr:col>
      <xdr:colOff>127</xdr:colOff>
      <xdr:row>59</xdr:row>
      <xdr:rowOff>194945</xdr:rowOff>
    </xdr:to>
    <xdr:cxnSp macro="_xll.PtreeEvent_ObjectClick">
      <xdr:nvCxnSpPr>
        <xdr:cNvPr id="297" name="PTObj_DBranchHLine_2_1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CxnSpPr/>
      </xdr:nvCxnSpPr>
      <xdr:spPr>
        <a:xfrm>
          <a:off x="4790885" y="195116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59</xdr:row>
      <xdr:rowOff>194945</xdr:rowOff>
    </xdr:from>
    <xdr:to>
      <xdr:col>2</xdr:col>
      <xdr:colOff>247460</xdr:colOff>
      <xdr:row>61</xdr:row>
      <xdr:rowOff>189864</xdr:rowOff>
    </xdr:to>
    <xdr:cxnSp macro="_xll.PtreeEvent_ObjectClick">
      <xdr:nvCxnSpPr>
        <xdr:cNvPr id="296" name="PTObj_DBranchDLine_2_1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CxnSpPr/>
      </xdr:nvCxnSpPr>
      <xdr:spPr>
        <a:xfrm flipV="1">
          <a:off x="4638485" y="19511645"/>
          <a:ext cx="152400" cy="39496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247460</xdr:colOff>
      <xdr:row>61</xdr:row>
      <xdr:rowOff>194945</xdr:rowOff>
    </xdr:from>
    <xdr:to>
      <xdr:col>2</xdr:col>
      <xdr:colOff>127</xdr:colOff>
      <xdr:row>61</xdr:row>
      <xdr:rowOff>194945</xdr:rowOff>
    </xdr:to>
    <xdr:cxnSp macro="_xll.PtreeEvent_ObjectClick">
      <xdr:nvCxnSpPr>
        <xdr:cNvPr id="293" name="PTObj_DBranchHLine_2_1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CxnSpPr/>
      </xdr:nvCxnSpPr>
      <xdr:spPr>
        <a:xfrm>
          <a:off x="3000185" y="19911695"/>
          <a:ext cx="154336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95060</xdr:colOff>
      <xdr:row>43</xdr:row>
      <xdr:rowOff>189864</xdr:rowOff>
    </xdr:from>
    <xdr:to>
      <xdr:col>1</xdr:col>
      <xdr:colOff>247460</xdr:colOff>
      <xdr:row>61</xdr:row>
      <xdr:rowOff>194945</xdr:rowOff>
    </xdr:to>
    <xdr:cxnSp macro="_xll.PtreeEvent_ObjectClick">
      <xdr:nvCxnSpPr>
        <xdr:cNvPr id="292" name="PTObj_DBranchDLine_2_1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CxnSpPr/>
      </xdr:nvCxnSpPr>
      <xdr:spPr>
        <a:xfrm>
          <a:off x="2847785" y="16706214"/>
          <a:ext cx="152400" cy="32054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56</xdr:row>
      <xdr:rowOff>194945</xdr:rowOff>
    </xdr:from>
    <xdr:to>
      <xdr:col>3</xdr:col>
      <xdr:colOff>127</xdr:colOff>
      <xdr:row>56</xdr:row>
      <xdr:rowOff>194945</xdr:rowOff>
    </xdr:to>
    <xdr:cxnSp macro="_xll.PtreeEvent_ObjectClick">
      <xdr:nvCxnSpPr>
        <xdr:cNvPr id="289" name="PTObj_DBranchHLine_2_1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CxnSpPr/>
      </xdr:nvCxnSpPr>
      <xdr:spPr>
        <a:xfrm>
          <a:off x="4790885" y="1911159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54</xdr:row>
      <xdr:rowOff>189864</xdr:rowOff>
    </xdr:from>
    <xdr:to>
      <xdr:col>2</xdr:col>
      <xdr:colOff>247460</xdr:colOff>
      <xdr:row>56</xdr:row>
      <xdr:rowOff>194945</xdr:rowOff>
    </xdr:to>
    <xdr:cxnSp macro="_xll.PtreeEvent_ObjectClick">
      <xdr:nvCxnSpPr>
        <xdr:cNvPr id="288" name="PTObj_DBranchDLine_2_1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CxnSpPr/>
      </xdr:nvCxnSpPr>
      <xdr:spPr>
        <a:xfrm>
          <a:off x="4638485" y="18706464"/>
          <a:ext cx="152400" cy="4051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52</xdr:row>
      <xdr:rowOff>194945</xdr:rowOff>
    </xdr:from>
    <xdr:to>
      <xdr:col>3</xdr:col>
      <xdr:colOff>127</xdr:colOff>
      <xdr:row>52</xdr:row>
      <xdr:rowOff>194945</xdr:rowOff>
    </xdr:to>
    <xdr:cxnSp macro="_xll.PtreeEvent_ObjectClick">
      <xdr:nvCxnSpPr>
        <xdr:cNvPr id="285" name="PTObj_DBranchHLine_2_9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CxnSpPr/>
      </xdr:nvCxnSpPr>
      <xdr:spPr>
        <a:xfrm>
          <a:off x="4790885" y="1831149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52</xdr:row>
      <xdr:rowOff>194945</xdr:rowOff>
    </xdr:from>
    <xdr:to>
      <xdr:col>2</xdr:col>
      <xdr:colOff>247460</xdr:colOff>
      <xdr:row>54</xdr:row>
      <xdr:rowOff>189864</xdr:rowOff>
    </xdr:to>
    <xdr:cxnSp macro="_xll.PtreeEvent_ObjectClick">
      <xdr:nvCxnSpPr>
        <xdr:cNvPr id="284" name="PTObj_DBranchDLine_2_9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CxnSpPr/>
      </xdr:nvCxnSpPr>
      <xdr:spPr>
        <a:xfrm flipV="1">
          <a:off x="4638485" y="18311495"/>
          <a:ext cx="152400" cy="39496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247460</xdr:colOff>
      <xdr:row>54</xdr:row>
      <xdr:rowOff>194945</xdr:rowOff>
    </xdr:from>
    <xdr:to>
      <xdr:col>2</xdr:col>
      <xdr:colOff>127</xdr:colOff>
      <xdr:row>54</xdr:row>
      <xdr:rowOff>194945</xdr:rowOff>
    </xdr:to>
    <xdr:cxnSp macro="_xll.PtreeEvent_ObjectClick">
      <xdr:nvCxnSpPr>
        <xdr:cNvPr id="281" name="PTObj_DBranchHLine_2_8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CxnSpPr/>
      </xdr:nvCxnSpPr>
      <xdr:spPr>
        <a:xfrm>
          <a:off x="3000185" y="18711545"/>
          <a:ext cx="154336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95060</xdr:colOff>
      <xdr:row>43</xdr:row>
      <xdr:rowOff>189864</xdr:rowOff>
    </xdr:from>
    <xdr:to>
      <xdr:col>1</xdr:col>
      <xdr:colOff>247460</xdr:colOff>
      <xdr:row>54</xdr:row>
      <xdr:rowOff>194945</xdr:rowOff>
    </xdr:to>
    <xdr:cxnSp macro="_xll.PtreeEvent_ObjectClick">
      <xdr:nvCxnSpPr>
        <xdr:cNvPr id="280" name="PTObj_DBranchDLine_2_8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CxnSpPr/>
      </xdr:nvCxnSpPr>
      <xdr:spPr>
        <a:xfrm>
          <a:off x="2847785" y="16706214"/>
          <a:ext cx="152400" cy="20053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49</xdr:row>
      <xdr:rowOff>194945</xdr:rowOff>
    </xdr:from>
    <xdr:to>
      <xdr:col>3</xdr:col>
      <xdr:colOff>127</xdr:colOff>
      <xdr:row>49</xdr:row>
      <xdr:rowOff>194945</xdr:rowOff>
    </xdr:to>
    <xdr:cxnSp macro="_xll.PtreeEvent_ObjectClick">
      <xdr:nvCxnSpPr>
        <xdr:cNvPr id="277" name="PTObj_DBranchHLine_2_7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CxnSpPr/>
      </xdr:nvCxnSpPr>
      <xdr:spPr>
        <a:xfrm>
          <a:off x="4790885" y="179114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47</xdr:row>
      <xdr:rowOff>189864</xdr:rowOff>
    </xdr:from>
    <xdr:to>
      <xdr:col>2</xdr:col>
      <xdr:colOff>247460</xdr:colOff>
      <xdr:row>49</xdr:row>
      <xdr:rowOff>194945</xdr:rowOff>
    </xdr:to>
    <xdr:cxnSp macro="_xll.PtreeEvent_ObjectClick">
      <xdr:nvCxnSpPr>
        <xdr:cNvPr id="276" name="PTObj_DBranchDLine_2_7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CxnSpPr/>
      </xdr:nvCxnSpPr>
      <xdr:spPr>
        <a:xfrm>
          <a:off x="4638485" y="17506314"/>
          <a:ext cx="152400" cy="4051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45</xdr:row>
      <xdr:rowOff>194945</xdr:rowOff>
    </xdr:from>
    <xdr:to>
      <xdr:col>3</xdr:col>
      <xdr:colOff>127</xdr:colOff>
      <xdr:row>45</xdr:row>
      <xdr:rowOff>194945</xdr:rowOff>
    </xdr:to>
    <xdr:cxnSp macro="_xll.PtreeEvent_ObjectClick">
      <xdr:nvCxnSpPr>
        <xdr:cNvPr id="273" name="PTObj_DBranchHLine_2_6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CxnSpPr/>
      </xdr:nvCxnSpPr>
      <xdr:spPr>
        <a:xfrm>
          <a:off x="4790885" y="171113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45</xdr:row>
      <xdr:rowOff>194945</xdr:rowOff>
    </xdr:from>
    <xdr:to>
      <xdr:col>2</xdr:col>
      <xdr:colOff>247460</xdr:colOff>
      <xdr:row>47</xdr:row>
      <xdr:rowOff>189864</xdr:rowOff>
    </xdr:to>
    <xdr:cxnSp macro="_xll.PtreeEvent_ObjectClick">
      <xdr:nvCxnSpPr>
        <xdr:cNvPr id="272" name="PTObj_DBranchDLine_2_6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CxnSpPr/>
      </xdr:nvCxnSpPr>
      <xdr:spPr>
        <a:xfrm flipV="1">
          <a:off x="4638485" y="17111345"/>
          <a:ext cx="152400" cy="39496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247460</xdr:colOff>
      <xdr:row>47</xdr:row>
      <xdr:rowOff>194945</xdr:rowOff>
    </xdr:from>
    <xdr:to>
      <xdr:col>2</xdr:col>
      <xdr:colOff>127</xdr:colOff>
      <xdr:row>47</xdr:row>
      <xdr:rowOff>194945</xdr:rowOff>
    </xdr:to>
    <xdr:cxnSp macro="_xll.PtreeEvent_ObjectClick">
      <xdr:nvCxnSpPr>
        <xdr:cNvPr id="269" name="PTObj_DBranchHLine_2_5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CxnSpPr/>
      </xdr:nvCxnSpPr>
      <xdr:spPr>
        <a:xfrm>
          <a:off x="3000185" y="17511395"/>
          <a:ext cx="154336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95060</xdr:colOff>
      <xdr:row>43</xdr:row>
      <xdr:rowOff>189864</xdr:rowOff>
    </xdr:from>
    <xdr:to>
      <xdr:col>1</xdr:col>
      <xdr:colOff>247460</xdr:colOff>
      <xdr:row>47</xdr:row>
      <xdr:rowOff>194945</xdr:rowOff>
    </xdr:to>
    <xdr:cxnSp macro="_xll.PtreeEvent_ObjectClick">
      <xdr:nvCxnSpPr>
        <xdr:cNvPr id="268" name="PTObj_DBranchDLine_2_5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CxnSpPr/>
      </xdr:nvCxnSpPr>
      <xdr:spPr>
        <a:xfrm>
          <a:off x="2847785" y="16706214"/>
          <a:ext cx="152400" cy="80518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41</xdr:row>
      <xdr:rowOff>194945</xdr:rowOff>
    </xdr:from>
    <xdr:to>
      <xdr:col>3</xdr:col>
      <xdr:colOff>127</xdr:colOff>
      <xdr:row>41</xdr:row>
      <xdr:rowOff>194945</xdr:rowOff>
    </xdr:to>
    <xdr:cxnSp macro="_xll.PtreeEvent_ObjectClick">
      <xdr:nvCxnSpPr>
        <xdr:cNvPr id="265" name="PTObj_DBranchHLine_2_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CxnSpPr/>
      </xdr:nvCxnSpPr>
      <xdr:spPr>
        <a:xfrm>
          <a:off x="4790885" y="163112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39</xdr:row>
      <xdr:rowOff>189864</xdr:rowOff>
    </xdr:from>
    <xdr:to>
      <xdr:col>2</xdr:col>
      <xdr:colOff>247460</xdr:colOff>
      <xdr:row>41</xdr:row>
      <xdr:rowOff>194945</xdr:rowOff>
    </xdr:to>
    <xdr:cxnSp macro="_xll.PtreeEvent_ObjectClick">
      <xdr:nvCxnSpPr>
        <xdr:cNvPr id="264" name="PTObj_DBranchDLine_2_4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CxnSpPr/>
      </xdr:nvCxnSpPr>
      <xdr:spPr>
        <a:xfrm>
          <a:off x="4638485" y="15906114"/>
          <a:ext cx="152400" cy="40513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37</xdr:row>
      <xdr:rowOff>194945</xdr:rowOff>
    </xdr:from>
    <xdr:to>
      <xdr:col>3</xdr:col>
      <xdr:colOff>127</xdr:colOff>
      <xdr:row>37</xdr:row>
      <xdr:rowOff>194945</xdr:rowOff>
    </xdr:to>
    <xdr:cxnSp macro="_xll.PtreeEvent_ObjectClick">
      <xdr:nvCxnSpPr>
        <xdr:cNvPr id="261" name="PTObj_DBranchHLine_2_3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CxnSpPr/>
      </xdr:nvCxnSpPr>
      <xdr:spPr>
        <a:xfrm>
          <a:off x="4790885" y="15511145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37</xdr:row>
      <xdr:rowOff>194945</xdr:rowOff>
    </xdr:from>
    <xdr:to>
      <xdr:col>2</xdr:col>
      <xdr:colOff>247460</xdr:colOff>
      <xdr:row>39</xdr:row>
      <xdr:rowOff>189864</xdr:rowOff>
    </xdr:to>
    <xdr:cxnSp macro="_xll.PtreeEvent_ObjectClick">
      <xdr:nvCxnSpPr>
        <xdr:cNvPr id="260" name="PTObj_DBranchDLine_2_3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CxnSpPr/>
      </xdr:nvCxnSpPr>
      <xdr:spPr>
        <a:xfrm flipV="1">
          <a:off x="4638485" y="15511145"/>
          <a:ext cx="152400" cy="39496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247460</xdr:colOff>
      <xdr:row>39</xdr:row>
      <xdr:rowOff>194945</xdr:rowOff>
    </xdr:from>
    <xdr:to>
      <xdr:col>2</xdr:col>
      <xdr:colOff>127</xdr:colOff>
      <xdr:row>39</xdr:row>
      <xdr:rowOff>194945</xdr:rowOff>
    </xdr:to>
    <xdr:cxnSp macro="_xll.PtreeEvent_ObjectClick">
      <xdr:nvCxnSpPr>
        <xdr:cNvPr id="257" name="PTObj_DBranchHLine_2_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CxnSpPr/>
      </xdr:nvCxnSpPr>
      <xdr:spPr>
        <a:xfrm>
          <a:off x="3000185" y="15911195"/>
          <a:ext cx="154336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95060</xdr:colOff>
      <xdr:row>39</xdr:row>
      <xdr:rowOff>194945</xdr:rowOff>
    </xdr:from>
    <xdr:to>
      <xdr:col>1</xdr:col>
      <xdr:colOff>247460</xdr:colOff>
      <xdr:row>43</xdr:row>
      <xdr:rowOff>189864</xdr:rowOff>
    </xdr:to>
    <xdr:cxnSp macro="_xll.PtreeEvent_ObjectClick">
      <xdr:nvCxnSpPr>
        <xdr:cNvPr id="256" name="PTObj_DBranchDLine_2_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CxnSpPr/>
      </xdr:nvCxnSpPr>
      <xdr:spPr>
        <a:xfrm flipV="1">
          <a:off x="2847785" y="15911195"/>
          <a:ext cx="152400" cy="79501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43</xdr:row>
      <xdr:rowOff>194945</xdr:rowOff>
    </xdr:from>
    <xdr:to>
      <xdr:col>1</xdr:col>
      <xdr:colOff>127</xdr:colOff>
      <xdr:row>43</xdr:row>
      <xdr:rowOff>194945</xdr:rowOff>
    </xdr:to>
    <xdr:cxnSp macro="_xll.PtreeEvent_ObjectClick">
      <xdr:nvCxnSpPr>
        <xdr:cNvPr id="219" name="PTObj_DBranchHLine_2_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CxnSpPr/>
      </xdr:nvCxnSpPr>
      <xdr:spPr>
        <a:xfrm>
          <a:off x="177800" y="16711295"/>
          <a:ext cx="2575052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127</xdr:colOff>
      <xdr:row>35</xdr:row>
      <xdr:rowOff>0</xdr:rowOff>
    </xdr:from>
    <xdr:to>
      <xdr:col>1</xdr:col>
      <xdr:colOff>200152</xdr:colOff>
      <xdr:row>35</xdr:row>
      <xdr:rowOff>204107</xdr:rowOff>
    </xdr:to>
    <xdr:sp macro="_xll.PtreeEvent_ObjectClick" textlink="">
      <xdr:nvSpPr>
        <xdr:cNvPr id="11" name="PTObj_DNode_1_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752852" y="80102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35</xdr:row>
      <xdr:rowOff>0</xdr:rowOff>
    </xdr:from>
    <xdr:ext cx="2641557" cy="180627"/>
    <xdr:sp macro="_xll.PtreeEvent_ObjectClick" textlink="">
      <xdr:nvSpPr>
        <xdr:cNvPr id="21" name="PTObj_DBranchName_1_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15900" y="9220057"/>
          <a:ext cx="264155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TDS Risk Analysis: Feedlot Cattle Consuming Background Diets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204107</xdr:rowOff>
    </xdr:to>
    <xdr:sp macro="_xll.PtreeEvent_ObjectClick" textlink="">
      <xdr:nvSpPr>
        <xdr:cNvPr id="244" name="PTObj_DNode_1_2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4543552" y="80102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35</xdr:row>
      <xdr:rowOff>0</xdr:rowOff>
    </xdr:from>
    <xdr:ext cx="431464" cy="180627"/>
    <xdr:sp macro="_xll.PtreeEvent_ObjectClick" textlink="">
      <xdr:nvSpPr>
        <xdr:cNvPr id="247" name="PTObj_DBranchName_1_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3038285" y="8019907"/>
          <a:ext cx="431464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204108</xdr:rowOff>
    </xdr:to>
    <xdr:sp macro="_xll.PtreeEvent_ObjectClick" textlink="">
      <xdr:nvSpPr>
        <xdr:cNvPr id="248" name="PTObj_DNode_1_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 rot="-5400000">
          <a:off x="6239002" y="80102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251" name="PTObj_DBranchName_1_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4828985" y="8019907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204105</xdr:rowOff>
    </xdr:to>
    <xdr:sp macro="_xll.PtreeEvent_ObjectClick" textlink="">
      <xdr:nvSpPr>
        <xdr:cNvPr id="252" name="PTObj_DNode_1_8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 rot="-5400000">
          <a:off x="6239002" y="88103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6" cy="180627"/>
    <xdr:sp macro="_xll.PtreeEvent_ObjectClick" textlink="">
      <xdr:nvSpPr>
        <xdr:cNvPr id="255" name="PTObj_DBranchName_1_8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4828985" y="8820007"/>
          <a:ext cx="389786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204107</xdr:rowOff>
    </xdr:to>
    <xdr:sp macro="_xll.PtreeEvent_ObjectClick" textlink="">
      <xdr:nvSpPr>
        <xdr:cNvPr id="36" name="PTObj_DNode_1_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4543552" y="1001045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35</xdr:row>
      <xdr:rowOff>0</xdr:rowOff>
    </xdr:from>
    <xdr:ext cx="431464" cy="180627"/>
    <xdr:sp macro="_xll.PtreeEvent_ObjectClick" textlink="">
      <xdr:nvSpPr>
        <xdr:cNvPr id="39" name="PTObj_DBranchName_1_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038285" y="10020157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2%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204106</xdr:rowOff>
    </xdr:to>
    <xdr:sp macro="_xll.PtreeEvent_ObjectClick" textlink="">
      <xdr:nvSpPr>
        <xdr:cNvPr id="52" name="PTObj_DNode_1_9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 rot="-5400000">
          <a:off x="6239002" y="96104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55" name="PTObj_DBranchName_1_9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828985" y="9620107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204106</xdr:rowOff>
    </xdr:to>
    <xdr:sp macro="_xll.PtreeEvent_ObjectClick" textlink="">
      <xdr:nvSpPr>
        <xdr:cNvPr id="68" name="PTObj_DNode_1_1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 rot="-5400000">
          <a:off x="6239002" y="104105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71" name="PTObj_DBranchName_1_1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4828985" y="10420207"/>
          <a:ext cx="38978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204107</xdr:rowOff>
    </xdr:to>
    <xdr:sp macro="_xll.PtreeEvent_ObjectClick" textlink="">
      <xdr:nvSpPr>
        <xdr:cNvPr id="100" name="PTObj_DNode_1_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4543552" y="112106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35</xdr:row>
      <xdr:rowOff>0</xdr:rowOff>
    </xdr:from>
    <xdr:ext cx="827599" cy="180627"/>
    <xdr:sp macro="_xll.PtreeEvent_ObjectClick" textlink="">
      <xdr:nvSpPr>
        <xdr:cNvPr id="103" name="PTObj_DBranchName_1_4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581210" y="11220307"/>
          <a:ext cx="827599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4% eNDF (Normal)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16" name="PTObj_DNode_1_1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 rot="-5400000">
          <a:off x="6239002" y="108105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122" name="PTObj_DBranchName_1_1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4828985" y="10820257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23" name="PTObj_DNode_1_1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 rot="-5400000">
          <a:off x="6239002" y="116106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134" name="PTObj_DBranchName_1_12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4828985" y="11620357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204106</xdr:rowOff>
    </xdr:to>
    <xdr:sp macro="_xll.PtreeEvent_ObjectClick" textlink="">
      <xdr:nvSpPr>
        <xdr:cNvPr id="139" name="PTObj_DNode_1_5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4543552" y="1241075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35</xdr:row>
      <xdr:rowOff>0</xdr:rowOff>
    </xdr:from>
    <xdr:ext cx="431464" cy="180627"/>
    <xdr:sp macro="_xll.PtreeEvent_ObjectClick" textlink="">
      <xdr:nvSpPr>
        <xdr:cNvPr id="142" name="PTObj_DBranchName_1_5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3038285" y="12420457"/>
          <a:ext cx="431464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6%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43" name="PTObj_DNode_1_13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 rot="-5400000">
          <a:off x="6239002" y="120107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146" name="PTObj_DBranchName_1_13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4828985" y="12020407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47" name="PTObj_DNode_1_14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 rot="-5400000">
          <a:off x="6239002" y="128108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150" name="PTObj_DBranchName_1_14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4828985" y="12820507"/>
          <a:ext cx="38978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204107</xdr:rowOff>
    </xdr:to>
    <xdr:sp macro="_xll.PtreeEvent_ObjectClick" textlink="">
      <xdr:nvSpPr>
        <xdr:cNvPr id="155" name="PTObj_DNode_1_6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4543552" y="136109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35</xdr:row>
      <xdr:rowOff>0</xdr:rowOff>
    </xdr:from>
    <xdr:ext cx="947247" cy="180627"/>
    <xdr:sp macro="_xll.PtreeEvent_ObjectClick" textlink="">
      <xdr:nvSpPr>
        <xdr:cNvPr id="170" name="PTObj_DBranchName_1_6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3581210" y="13620606"/>
          <a:ext cx="94724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8% eNDF (2x Normal)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71" name="PTObj_DNode_1_15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 rot="-5400000">
          <a:off x="6239002" y="132108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186" name="PTObj_DBranchName_1_1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4828985" y="13220556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87" name="PTObj_DNode_1_1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 rot="-5400000">
          <a:off x="6239002" y="140109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202" name="PTObj_DBranchName_1_16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4828985" y="1402065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1</xdr:col>
      <xdr:colOff>127</xdr:colOff>
      <xdr:row>43</xdr:row>
      <xdr:rowOff>94932</xdr:rowOff>
    </xdr:from>
    <xdr:to>
      <xdr:col>1</xdr:col>
      <xdr:colOff>200152</xdr:colOff>
      <xdr:row>44</xdr:row>
      <xdr:rowOff>94932</xdr:rowOff>
    </xdr:to>
    <xdr:sp macro="_xll.PtreeEvent_ObjectClick" textlink="">
      <xdr:nvSpPr>
        <xdr:cNvPr id="218" name="PTObj_DNode_2_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2752852" y="166112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43</xdr:row>
      <xdr:rowOff>104631</xdr:rowOff>
    </xdr:from>
    <xdr:ext cx="2647263" cy="180627"/>
    <xdr:sp macro="_xll.PtreeEvent_ObjectClick" textlink="">
      <xdr:nvSpPr>
        <xdr:cNvPr id="220" name="PTObj_DBranchName_2_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215900" y="16620981"/>
          <a:ext cx="2647263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RDS Risk Analysis: Feedlot Cattle Consuming Background Diets</a:t>
          </a:r>
        </a:p>
      </xdr:txBody>
    </xdr:sp>
    <xdr:clientData/>
  </xdr:oneCellAnchor>
  <xdr:twoCellAnchor editAs="oneCell">
    <xdr:from>
      <xdr:col>2</xdr:col>
      <xdr:colOff>127</xdr:colOff>
      <xdr:row>39</xdr:row>
      <xdr:rowOff>94932</xdr:rowOff>
    </xdr:from>
    <xdr:to>
      <xdr:col>2</xdr:col>
      <xdr:colOff>200152</xdr:colOff>
      <xdr:row>40</xdr:row>
      <xdr:rowOff>94932</xdr:rowOff>
    </xdr:to>
    <xdr:sp macro="_xll.PtreeEvent_ObjectClick" textlink="">
      <xdr:nvSpPr>
        <xdr:cNvPr id="221" name="PTObj_DNode_2_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4543552" y="158111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39</xdr:row>
      <xdr:rowOff>104631</xdr:rowOff>
    </xdr:from>
    <xdr:ext cx="431464" cy="180627"/>
    <xdr:sp macro="_xll.PtreeEvent_ObjectClick" textlink="">
      <xdr:nvSpPr>
        <xdr:cNvPr id="258" name="PTObj_DBranchName_2_2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3038285" y="15820881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0% eNDF</a:t>
          </a:r>
        </a:p>
      </xdr:txBody>
    </xdr:sp>
    <xdr:clientData/>
  </xdr:oneCellAnchor>
  <xdr:twoCellAnchor editAs="oneCell">
    <xdr:from>
      <xdr:col>3</xdr:col>
      <xdr:colOff>127</xdr:colOff>
      <xdr:row>37</xdr:row>
      <xdr:rowOff>94932</xdr:rowOff>
    </xdr:from>
    <xdr:to>
      <xdr:col>3</xdr:col>
      <xdr:colOff>200152</xdr:colOff>
      <xdr:row>38</xdr:row>
      <xdr:rowOff>94931</xdr:rowOff>
    </xdr:to>
    <xdr:sp macro="_xll.PtreeEvent_ObjectClick" textlink="">
      <xdr:nvSpPr>
        <xdr:cNvPr id="259" name="PTObj_DNode_2_3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 rot="-5400000">
          <a:off x="6239002" y="154111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37</xdr:row>
      <xdr:rowOff>104631</xdr:rowOff>
    </xdr:from>
    <xdr:ext cx="246221" cy="180627"/>
    <xdr:sp macro="_xll.PtreeEvent_ObjectClick" textlink="">
      <xdr:nvSpPr>
        <xdr:cNvPr id="262" name="PTObj_DBranchName_2_3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4828985" y="15420831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41</xdr:row>
      <xdr:rowOff>94932</xdr:rowOff>
    </xdr:from>
    <xdr:to>
      <xdr:col>3</xdr:col>
      <xdr:colOff>200152</xdr:colOff>
      <xdr:row>42</xdr:row>
      <xdr:rowOff>94932</xdr:rowOff>
    </xdr:to>
    <xdr:sp macro="_xll.PtreeEvent_ObjectClick" textlink="">
      <xdr:nvSpPr>
        <xdr:cNvPr id="263" name="PTObj_DNode_2_4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 rot="-5400000">
          <a:off x="6239002" y="162112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41</xdr:row>
      <xdr:rowOff>104631</xdr:rowOff>
    </xdr:from>
    <xdr:ext cx="389787" cy="180627"/>
    <xdr:sp macro="_xll.PtreeEvent_ObjectClick" textlink="">
      <xdr:nvSpPr>
        <xdr:cNvPr id="266" name="PTObj_DBranchName_2_4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4828985" y="1622093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47</xdr:row>
      <xdr:rowOff>94932</xdr:rowOff>
    </xdr:from>
    <xdr:to>
      <xdr:col>2</xdr:col>
      <xdr:colOff>200152</xdr:colOff>
      <xdr:row>48</xdr:row>
      <xdr:rowOff>94932</xdr:rowOff>
    </xdr:to>
    <xdr:sp macro="_xll.PtreeEvent_ObjectClick" textlink="">
      <xdr:nvSpPr>
        <xdr:cNvPr id="267" name="PTObj_DNode_2_5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4543552" y="174113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47</xdr:row>
      <xdr:rowOff>104631</xdr:rowOff>
    </xdr:from>
    <xdr:ext cx="431464" cy="180627"/>
    <xdr:sp macro="_xll.PtreeEvent_ObjectClick" textlink="">
      <xdr:nvSpPr>
        <xdr:cNvPr id="270" name="PTObj_DBranchName_2_5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3038285" y="17421081"/>
          <a:ext cx="431464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2% eNDF</a:t>
          </a:r>
        </a:p>
      </xdr:txBody>
    </xdr:sp>
    <xdr:clientData/>
  </xdr:oneCellAnchor>
  <xdr:twoCellAnchor editAs="oneCell">
    <xdr:from>
      <xdr:col>3</xdr:col>
      <xdr:colOff>127</xdr:colOff>
      <xdr:row>45</xdr:row>
      <xdr:rowOff>94932</xdr:rowOff>
    </xdr:from>
    <xdr:to>
      <xdr:col>3</xdr:col>
      <xdr:colOff>200152</xdr:colOff>
      <xdr:row>46</xdr:row>
      <xdr:rowOff>94933</xdr:rowOff>
    </xdr:to>
    <xdr:sp macro="_xll.PtreeEvent_ObjectClick" textlink="">
      <xdr:nvSpPr>
        <xdr:cNvPr id="271" name="PTObj_DNode_2_6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 rot="-5400000">
          <a:off x="6239002" y="170113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45</xdr:row>
      <xdr:rowOff>104631</xdr:rowOff>
    </xdr:from>
    <xdr:ext cx="246221" cy="180627"/>
    <xdr:sp macro="_xll.PtreeEvent_ObjectClick" textlink="">
      <xdr:nvSpPr>
        <xdr:cNvPr id="274" name="PTObj_DBranchName_2_6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4828985" y="1702103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49</xdr:row>
      <xdr:rowOff>94932</xdr:rowOff>
    </xdr:from>
    <xdr:to>
      <xdr:col>3</xdr:col>
      <xdr:colOff>200152</xdr:colOff>
      <xdr:row>50</xdr:row>
      <xdr:rowOff>94932</xdr:rowOff>
    </xdr:to>
    <xdr:sp macro="_xll.PtreeEvent_ObjectClick" textlink="">
      <xdr:nvSpPr>
        <xdr:cNvPr id="275" name="PTObj_DNode_2_7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 rot="-5400000">
          <a:off x="6239002" y="178114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49</xdr:row>
      <xdr:rowOff>104631</xdr:rowOff>
    </xdr:from>
    <xdr:ext cx="389787" cy="180627"/>
    <xdr:sp macro="_xll.PtreeEvent_ObjectClick" textlink="">
      <xdr:nvSpPr>
        <xdr:cNvPr id="278" name="PTObj_DBranchName_2_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4828985" y="1782113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54</xdr:row>
      <xdr:rowOff>94932</xdr:rowOff>
    </xdr:from>
    <xdr:to>
      <xdr:col>2</xdr:col>
      <xdr:colOff>200152</xdr:colOff>
      <xdr:row>55</xdr:row>
      <xdr:rowOff>94931</xdr:rowOff>
    </xdr:to>
    <xdr:sp macro="_xll.PtreeEvent_ObjectClick" textlink="">
      <xdr:nvSpPr>
        <xdr:cNvPr id="279" name="PTObj_DNode_2_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4543552" y="1861153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54</xdr:row>
      <xdr:rowOff>104631</xdr:rowOff>
    </xdr:from>
    <xdr:ext cx="827599" cy="180627"/>
    <xdr:sp macro="_xll.PtreeEvent_ObjectClick" textlink="">
      <xdr:nvSpPr>
        <xdr:cNvPr id="282" name="PTObj_DBranchName_2_8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3581210" y="18621231"/>
          <a:ext cx="827599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4% eNDF (Normal)</a:t>
          </a:r>
        </a:p>
      </xdr:txBody>
    </xdr:sp>
    <xdr:clientData/>
  </xdr:oneCellAnchor>
  <xdr:twoCellAnchor editAs="oneCell">
    <xdr:from>
      <xdr:col>3</xdr:col>
      <xdr:colOff>127</xdr:colOff>
      <xdr:row>52</xdr:row>
      <xdr:rowOff>94932</xdr:rowOff>
    </xdr:from>
    <xdr:to>
      <xdr:col>3</xdr:col>
      <xdr:colOff>200152</xdr:colOff>
      <xdr:row>53</xdr:row>
      <xdr:rowOff>94933</xdr:rowOff>
    </xdr:to>
    <xdr:sp macro="_xll.PtreeEvent_ObjectClick" textlink="">
      <xdr:nvSpPr>
        <xdr:cNvPr id="283" name="PTObj_DNode_2_9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 rot="-5400000">
          <a:off x="6239002" y="182114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52</xdr:row>
      <xdr:rowOff>104631</xdr:rowOff>
    </xdr:from>
    <xdr:ext cx="246221" cy="180627"/>
    <xdr:sp macro="_xll.PtreeEvent_ObjectClick" textlink="">
      <xdr:nvSpPr>
        <xdr:cNvPr id="286" name="PTObj_DBranchName_2_9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4828985" y="1822118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56</xdr:row>
      <xdr:rowOff>94932</xdr:rowOff>
    </xdr:from>
    <xdr:to>
      <xdr:col>3</xdr:col>
      <xdr:colOff>200152</xdr:colOff>
      <xdr:row>57</xdr:row>
      <xdr:rowOff>94931</xdr:rowOff>
    </xdr:to>
    <xdr:sp macro="_xll.PtreeEvent_ObjectClick" textlink="">
      <xdr:nvSpPr>
        <xdr:cNvPr id="287" name="PTObj_DNode_2_1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 rot="-5400000">
          <a:off x="6239002" y="190115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56</xdr:row>
      <xdr:rowOff>104631</xdr:rowOff>
    </xdr:from>
    <xdr:ext cx="389787" cy="180627"/>
    <xdr:sp macro="_xll.PtreeEvent_ObjectClick" textlink="">
      <xdr:nvSpPr>
        <xdr:cNvPr id="290" name="PTObj_DBranchName_2_1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4828985" y="1902128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61</xdr:row>
      <xdr:rowOff>94932</xdr:rowOff>
    </xdr:from>
    <xdr:to>
      <xdr:col>2</xdr:col>
      <xdr:colOff>200152</xdr:colOff>
      <xdr:row>62</xdr:row>
      <xdr:rowOff>94932</xdr:rowOff>
    </xdr:to>
    <xdr:sp macro="_xll.PtreeEvent_ObjectClick" textlink="">
      <xdr:nvSpPr>
        <xdr:cNvPr id="291" name="PTObj_DNode_2_1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4543552" y="198116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61</xdr:row>
      <xdr:rowOff>104631</xdr:rowOff>
    </xdr:from>
    <xdr:ext cx="431464" cy="180627"/>
    <xdr:sp macro="_xll.PtreeEvent_ObjectClick" textlink="">
      <xdr:nvSpPr>
        <xdr:cNvPr id="294" name="PTObj_DBranchName_2_1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3038285" y="19821381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6% eNDF</a:t>
          </a:r>
        </a:p>
      </xdr:txBody>
    </xdr:sp>
    <xdr:clientData/>
  </xdr:oneCellAnchor>
  <xdr:twoCellAnchor editAs="oneCell">
    <xdr:from>
      <xdr:col>3</xdr:col>
      <xdr:colOff>127</xdr:colOff>
      <xdr:row>59</xdr:row>
      <xdr:rowOff>94932</xdr:rowOff>
    </xdr:from>
    <xdr:to>
      <xdr:col>3</xdr:col>
      <xdr:colOff>200152</xdr:colOff>
      <xdr:row>60</xdr:row>
      <xdr:rowOff>94932</xdr:rowOff>
    </xdr:to>
    <xdr:sp macro="_xll.PtreeEvent_ObjectClick" textlink="">
      <xdr:nvSpPr>
        <xdr:cNvPr id="295" name="PTObj_DNode_2_1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 rot="-5400000">
          <a:off x="6239002" y="194116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59</xdr:row>
      <xdr:rowOff>104631</xdr:rowOff>
    </xdr:from>
    <xdr:ext cx="246221" cy="180627"/>
    <xdr:sp macro="_xll.PtreeEvent_ObjectClick" textlink="">
      <xdr:nvSpPr>
        <xdr:cNvPr id="298" name="PTObj_DBranchName_2_1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4828985" y="1942133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63</xdr:row>
      <xdr:rowOff>94932</xdr:rowOff>
    </xdr:from>
    <xdr:to>
      <xdr:col>3</xdr:col>
      <xdr:colOff>200152</xdr:colOff>
      <xdr:row>64</xdr:row>
      <xdr:rowOff>94931</xdr:rowOff>
    </xdr:to>
    <xdr:sp macro="_xll.PtreeEvent_ObjectClick" textlink="">
      <xdr:nvSpPr>
        <xdr:cNvPr id="299" name="PTObj_DNode_2_13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 rot="-5400000">
          <a:off x="6239002" y="202117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63</xdr:row>
      <xdr:rowOff>104631</xdr:rowOff>
    </xdr:from>
    <xdr:ext cx="389787" cy="180627"/>
    <xdr:sp macro="_xll.PtreeEvent_ObjectClick" textlink="">
      <xdr:nvSpPr>
        <xdr:cNvPr id="302" name="PTObj_DBranchName_2_13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4828985" y="2022143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68</xdr:row>
      <xdr:rowOff>94932</xdr:rowOff>
    </xdr:from>
    <xdr:to>
      <xdr:col>2</xdr:col>
      <xdr:colOff>200152</xdr:colOff>
      <xdr:row>69</xdr:row>
      <xdr:rowOff>94932</xdr:rowOff>
    </xdr:to>
    <xdr:sp macro="_xll.PtreeEvent_ObjectClick" textlink="">
      <xdr:nvSpPr>
        <xdr:cNvPr id="303" name="PTObj_DNode_2_14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4543552" y="2101183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285560</xdr:colOff>
      <xdr:row>68</xdr:row>
      <xdr:rowOff>104631</xdr:rowOff>
    </xdr:from>
    <xdr:ext cx="947247" cy="180627"/>
    <xdr:sp macro="_xll.PtreeEvent_ObjectClick" textlink="">
      <xdr:nvSpPr>
        <xdr:cNvPr id="306" name="PTObj_DBranchName_2_14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3581210" y="21021531"/>
          <a:ext cx="947247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8% eNDF (2x Normal)</a:t>
          </a:r>
        </a:p>
      </xdr:txBody>
    </xdr:sp>
    <xdr:clientData/>
  </xdr:oneCellAnchor>
  <xdr:twoCellAnchor editAs="oneCell">
    <xdr:from>
      <xdr:col>3</xdr:col>
      <xdr:colOff>127</xdr:colOff>
      <xdr:row>66</xdr:row>
      <xdr:rowOff>94932</xdr:rowOff>
    </xdr:from>
    <xdr:to>
      <xdr:col>3</xdr:col>
      <xdr:colOff>200152</xdr:colOff>
      <xdr:row>67</xdr:row>
      <xdr:rowOff>94932</xdr:rowOff>
    </xdr:to>
    <xdr:sp macro="_xll.PtreeEvent_ObjectClick" textlink="">
      <xdr:nvSpPr>
        <xdr:cNvPr id="307" name="PTObj_DNode_2_15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 rot="-5400000">
          <a:off x="6239002" y="206117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66</xdr:row>
      <xdr:rowOff>104631</xdr:rowOff>
    </xdr:from>
    <xdr:ext cx="246221" cy="180627"/>
    <xdr:sp macro="_xll.PtreeEvent_ObjectClick" textlink="">
      <xdr:nvSpPr>
        <xdr:cNvPr id="310" name="PTObj_DBranchName_2_15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4828985" y="2062148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70</xdr:row>
      <xdr:rowOff>94932</xdr:rowOff>
    </xdr:from>
    <xdr:to>
      <xdr:col>3</xdr:col>
      <xdr:colOff>200152</xdr:colOff>
      <xdr:row>71</xdr:row>
      <xdr:rowOff>85857</xdr:rowOff>
    </xdr:to>
    <xdr:sp macro="_xll.PtreeEvent_ObjectClick" textlink="">
      <xdr:nvSpPr>
        <xdr:cNvPr id="311" name="PTObj_DNode_2_16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 rot="-5400000">
          <a:off x="6239002" y="214118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70</xdr:row>
      <xdr:rowOff>104631</xdr:rowOff>
    </xdr:from>
    <xdr:ext cx="389787" cy="180627"/>
    <xdr:sp macro="_xll.PtreeEvent_ObjectClick" textlink="">
      <xdr:nvSpPr>
        <xdr:cNvPr id="314" name="PTObj_DBranchName_2_16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4828985" y="2142158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247460</xdr:colOff>
      <xdr:row>70</xdr:row>
      <xdr:rowOff>194945</xdr:rowOff>
    </xdr:from>
    <xdr:to>
      <xdr:col>3</xdr:col>
      <xdr:colOff>127</xdr:colOff>
      <xdr:row>70</xdr:row>
      <xdr:rowOff>194945</xdr:rowOff>
    </xdr:to>
    <xdr:cxnSp macro="_xll.PtreeEvent_ObjectClick">
      <xdr:nvCxnSpPr>
        <xdr:cNvPr id="138" name="PTObj_DBranchHLine_4_16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CxnSpPr/>
      </xdr:nvCxnSpPr>
      <xdr:spPr>
        <a:xfrm>
          <a:off x="5219510" y="2266442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68</xdr:row>
      <xdr:rowOff>189863</xdr:rowOff>
    </xdr:from>
    <xdr:to>
      <xdr:col>2</xdr:col>
      <xdr:colOff>247460</xdr:colOff>
      <xdr:row>70</xdr:row>
      <xdr:rowOff>194945</xdr:rowOff>
    </xdr:to>
    <xdr:cxnSp macro="_xll.PtreeEvent_ObjectClick">
      <xdr:nvCxnSpPr>
        <xdr:cNvPr id="137" name="PTObj_DBranchDLine_4_16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CxnSpPr/>
      </xdr:nvCxnSpPr>
      <xdr:spPr>
        <a:xfrm>
          <a:off x="5067110" y="22259288"/>
          <a:ext cx="152400" cy="40513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66</xdr:row>
      <xdr:rowOff>194945</xdr:rowOff>
    </xdr:from>
    <xdr:to>
      <xdr:col>3</xdr:col>
      <xdr:colOff>127</xdr:colOff>
      <xdr:row>66</xdr:row>
      <xdr:rowOff>194945</xdr:rowOff>
    </xdr:to>
    <xdr:cxnSp macro="_xll.PtreeEvent_ObjectClick">
      <xdr:nvCxnSpPr>
        <xdr:cNvPr id="134" name="PTObj_DBranchHLine_4_15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CxnSpPr/>
      </xdr:nvCxnSpPr>
      <xdr:spPr>
        <a:xfrm>
          <a:off x="5219510" y="2186432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66</xdr:row>
      <xdr:rowOff>194945</xdr:rowOff>
    </xdr:from>
    <xdr:to>
      <xdr:col>2</xdr:col>
      <xdr:colOff>247460</xdr:colOff>
      <xdr:row>68</xdr:row>
      <xdr:rowOff>189863</xdr:rowOff>
    </xdr:to>
    <xdr:cxnSp macro="_xll.PtreeEvent_ObjectClick">
      <xdr:nvCxnSpPr>
        <xdr:cNvPr id="133" name="PTObj_DBranchDLine_4_15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CxnSpPr/>
      </xdr:nvCxnSpPr>
      <xdr:spPr>
        <a:xfrm flipV="1">
          <a:off x="5067110" y="21864320"/>
          <a:ext cx="152400" cy="394968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247459</xdr:colOff>
      <xdr:row>68</xdr:row>
      <xdr:rowOff>194945</xdr:rowOff>
    </xdr:from>
    <xdr:to>
      <xdr:col>2</xdr:col>
      <xdr:colOff>127</xdr:colOff>
      <xdr:row>68</xdr:row>
      <xdr:rowOff>194945</xdr:rowOff>
    </xdr:to>
    <xdr:cxnSp macro="_xll.PtreeEvent_ObjectClick">
      <xdr:nvCxnSpPr>
        <xdr:cNvPr id="130" name="PTObj_DBranchHLine_4_14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CxnSpPr/>
      </xdr:nvCxnSpPr>
      <xdr:spPr>
        <a:xfrm>
          <a:off x="3419284" y="22264370"/>
          <a:ext cx="155289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95059</xdr:colOff>
      <xdr:row>43</xdr:row>
      <xdr:rowOff>189866</xdr:rowOff>
    </xdr:from>
    <xdr:to>
      <xdr:col>1</xdr:col>
      <xdr:colOff>247459</xdr:colOff>
      <xdr:row>68</xdr:row>
      <xdr:rowOff>194945</xdr:rowOff>
    </xdr:to>
    <xdr:cxnSp macro="_xll.PtreeEvent_ObjectClick">
      <xdr:nvCxnSpPr>
        <xdr:cNvPr id="129" name="PTObj_DBranchDLine_4_1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CxnSpPr/>
      </xdr:nvCxnSpPr>
      <xdr:spPr>
        <a:xfrm>
          <a:off x="3266884" y="17858741"/>
          <a:ext cx="152400" cy="440562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63</xdr:row>
      <xdr:rowOff>194945</xdr:rowOff>
    </xdr:from>
    <xdr:to>
      <xdr:col>3</xdr:col>
      <xdr:colOff>127</xdr:colOff>
      <xdr:row>63</xdr:row>
      <xdr:rowOff>194945</xdr:rowOff>
    </xdr:to>
    <xdr:cxnSp macro="_xll.PtreeEvent_ObjectClick">
      <xdr:nvCxnSpPr>
        <xdr:cNvPr id="126" name="PTObj_DBranchHLine_4_13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CxnSpPr/>
      </xdr:nvCxnSpPr>
      <xdr:spPr>
        <a:xfrm>
          <a:off x="5219510" y="214642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61</xdr:row>
      <xdr:rowOff>189866</xdr:rowOff>
    </xdr:from>
    <xdr:to>
      <xdr:col>2</xdr:col>
      <xdr:colOff>247460</xdr:colOff>
      <xdr:row>63</xdr:row>
      <xdr:rowOff>194945</xdr:rowOff>
    </xdr:to>
    <xdr:cxnSp macro="_xll.PtreeEvent_ObjectClick">
      <xdr:nvCxnSpPr>
        <xdr:cNvPr id="125" name="PTObj_DBranchDLine_4_13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CxnSpPr/>
      </xdr:nvCxnSpPr>
      <xdr:spPr>
        <a:xfrm>
          <a:off x="5067110" y="21059141"/>
          <a:ext cx="152400" cy="40512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59</xdr:row>
      <xdr:rowOff>194945</xdr:rowOff>
    </xdr:from>
    <xdr:to>
      <xdr:col>3</xdr:col>
      <xdr:colOff>127</xdr:colOff>
      <xdr:row>59</xdr:row>
      <xdr:rowOff>194945</xdr:rowOff>
    </xdr:to>
    <xdr:cxnSp macro="_xll.PtreeEvent_ObjectClick">
      <xdr:nvCxnSpPr>
        <xdr:cNvPr id="122" name="PTObj_DBranchHLine_4_12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CxnSpPr/>
      </xdr:nvCxnSpPr>
      <xdr:spPr>
        <a:xfrm>
          <a:off x="5219510" y="206641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59</xdr:row>
      <xdr:rowOff>194945</xdr:rowOff>
    </xdr:from>
    <xdr:to>
      <xdr:col>2</xdr:col>
      <xdr:colOff>247460</xdr:colOff>
      <xdr:row>61</xdr:row>
      <xdr:rowOff>189866</xdr:rowOff>
    </xdr:to>
    <xdr:cxnSp macro="_xll.PtreeEvent_ObjectClick">
      <xdr:nvCxnSpPr>
        <xdr:cNvPr id="121" name="PTObj_DBranchDLine_4_12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CxnSpPr/>
      </xdr:nvCxnSpPr>
      <xdr:spPr>
        <a:xfrm flipV="1">
          <a:off x="5067110" y="20664170"/>
          <a:ext cx="152400" cy="39497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247459</xdr:colOff>
      <xdr:row>61</xdr:row>
      <xdr:rowOff>194945</xdr:rowOff>
    </xdr:from>
    <xdr:to>
      <xdr:col>2</xdr:col>
      <xdr:colOff>127</xdr:colOff>
      <xdr:row>61</xdr:row>
      <xdr:rowOff>194945</xdr:rowOff>
    </xdr:to>
    <xdr:cxnSp macro="_xll.PtreeEvent_ObjectClick">
      <xdr:nvCxnSpPr>
        <xdr:cNvPr id="118" name="PTObj_DBranchHLine_4_11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CxnSpPr/>
      </xdr:nvCxnSpPr>
      <xdr:spPr>
        <a:xfrm>
          <a:off x="3419284" y="21064220"/>
          <a:ext cx="155289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95059</xdr:colOff>
      <xdr:row>43</xdr:row>
      <xdr:rowOff>189866</xdr:rowOff>
    </xdr:from>
    <xdr:to>
      <xdr:col>1</xdr:col>
      <xdr:colOff>247459</xdr:colOff>
      <xdr:row>61</xdr:row>
      <xdr:rowOff>194945</xdr:rowOff>
    </xdr:to>
    <xdr:cxnSp macro="_xll.PtreeEvent_ObjectClick">
      <xdr:nvCxnSpPr>
        <xdr:cNvPr id="117" name="PTObj_DBranchDLine_4_11">
          <a:extLst>
            <a:ext uri="{FF2B5EF4-FFF2-40B4-BE49-F238E27FC236}">
              <a16:creationId xmlns:a16="http://schemas.microsoft.com/office/drawing/2014/main" id="{00000000-0008-0000-0100-000075000000}"/>
            </a:ext>
          </a:extLst>
        </xdr:cNvPr>
        <xdr:cNvCxnSpPr/>
      </xdr:nvCxnSpPr>
      <xdr:spPr>
        <a:xfrm>
          <a:off x="3266884" y="17858741"/>
          <a:ext cx="152400" cy="320547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56</xdr:row>
      <xdr:rowOff>194945</xdr:rowOff>
    </xdr:from>
    <xdr:to>
      <xdr:col>3</xdr:col>
      <xdr:colOff>127</xdr:colOff>
      <xdr:row>56</xdr:row>
      <xdr:rowOff>194945</xdr:rowOff>
    </xdr:to>
    <xdr:cxnSp macro="_xll.PtreeEvent_ObjectClick">
      <xdr:nvCxnSpPr>
        <xdr:cNvPr id="114" name="PTObj_DBranchHLine_4_10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CxnSpPr/>
      </xdr:nvCxnSpPr>
      <xdr:spPr>
        <a:xfrm>
          <a:off x="5219510" y="2026412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54</xdr:row>
      <xdr:rowOff>189863</xdr:rowOff>
    </xdr:from>
    <xdr:to>
      <xdr:col>2</xdr:col>
      <xdr:colOff>247460</xdr:colOff>
      <xdr:row>56</xdr:row>
      <xdr:rowOff>194945</xdr:rowOff>
    </xdr:to>
    <xdr:cxnSp macro="_xll.PtreeEvent_ObjectClick">
      <xdr:nvCxnSpPr>
        <xdr:cNvPr id="113" name="PTObj_DBranchDLine_4_10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CxnSpPr/>
      </xdr:nvCxnSpPr>
      <xdr:spPr>
        <a:xfrm>
          <a:off x="5067110" y="19858988"/>
          <a:ext cx="152400" cy="405132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52</xdr:row>
      <xdr:rowOff>194945</xdr:rowOff>
    </xdr:from>
    <xdr:to>
      <xdr:col>3</xdr:col>
      <xdr:colOff>127</xdr:colOff>
      <xdr:row>52</xdr:row>
      <xdr:rowOff>194945</xdr:rowOff>
    </xdr:to>
    <xdr:cxnSp macro="_xll.PtreeEvent_ObjectClick">
      <xdr:nvCxnSpPr>
        <xdr:cNvPr id="110" name="PTObj_DBranchHLine_4_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CxnSpPr/>
      </xdr:nvCxnSpPr>
      <xdr:spPr>
        <a:xfrm>
          <a:off x="5219510" y="1946402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52</xdr:row>
      <xdr:rowOff>194945</xdr:rowOff>
    </xdr:from>
    <xdr:to>
      <xdr:col>2</xdr:col>
      <xdr:colOff>247460</xdr:colOff>
      <xdr:row>54</xdr:row>
      <xdr:rowOff>189863</xdr:rowOff>
    </xdr:to>
    <xdr:cxnSp macro="_xll.PtreeEvent_ObjectClick">
      <xdr:nvCxnSpPr>
        <xdr:cNvPr id="109" name="PTObj_DBranchDLine_4_9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CxnSpPr/>
      </xdr:nvCxnSpPr>
      <xdr:spPr>
        <a:xfrm flipV="1">
          <a:off x="5067110" y="19464020"/>
          <a:ext cx="152400" cy="394968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247459</xdr:colOff>
      <xdr:row>54</xdr:row>
      <xdr:rowOff>194945</xdr:rowOff>
    </xdr:from>
    <xdr:to>
      <xdr:col>2</xdr:col>
      <xdr:colOff>127</xdr:colOff>
      <xdr:row>54</xdr:row>
      <xdr:rowOff>194945</xdr:rowOff>
    </xdr:to>
    <xdr:cxnSp macro="_xll.PtreeEvent_ObjectClick">
      <xdr:nvCxnSpPr>
        <xdr:cNvPr id="106" name="PTObj_DBranchHLine_4_8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CxnSpPr/>
      </xdr:nvCxnSpPr>
      <xdr:spPr>
        <a:xfrm>
          <a:off x="3419284" y="19864070"/>
          <a:ext cx="155289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95059</xdr:colOff>
      <xdr:row>43</xdr:row>
      <xdr:rowOff>189866</xdr:rowOff>
    </xdr:from>
    <xdr:to>
      <xdr:col>1</xdr:col>
      <xdr:colOff>247459</xdr:colOff>
      <xdr:row>54</xdr:row>
      <xdr:rowOff>194945</xdr:rowOff>
    </xdr:to>
    <xdr:cxnSp macro="_xll.PtreeEvent_ObjectClick">
      <xdr:nvCxnSpPr>
        <xdr:cNvPr id="105" name="PTObj_DBranchDLine_4_8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CxnSpPr/>
      </xdr:nvCxnSpPr>
      <xdr:spPr>
        <a:xfrm>
          <a:off x="3266884" y="17858741"/>
          <a:ext cx="152400" cy="200532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49</xdr:row>
      <xdr:rowOff>194945</xdr:rowOff>
    </xdr:from>
    <xdr:to>
      <xdr:col>3</xdr:col>
      <xdr:colOff>127</xdr:colOff>
      <xdr:row>49</xdr:row>
      <xdr:rowOff>194945</xdr:rowOff>
    </xdr:to>
    <xdr:cxnSp macro="_xll.PtreeEvent_ObjectClick">
      <xdr:nvCxnSpPr>
        <xdr:cNvPr id="102" name="PTObj_DBranchHLine_4_7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CxnSpPr/>
      </xdr:nvCxnSpPr>
      <xdr:spPr>
        <a:xfrm>
          <a:off x="5219510" y="190639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47</xdr:row>
      <xdr:rowOff>189866</xdr:rowOff>
    </xdr:from>
    <xdr:to>
      <xdr:col>2</xdr:col>
      <xdr:colOff>247460</xdr:colOff>
      <xdr:row>49</xdr:row>
      <xdr:rowOff>194945</xdr:rowOff>
    </xdr:to>
    <xdr:cxnSp macro="_xll.PtreeEvent_ObjectClick">
      <xdr:nvCxnSpPr>
        <xdr:cNvPr id="101" name="PTObj_DBranchDLine_4_7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CxnSpPr/>
      </xdr:nvCxnSpPr>
      <xdr:spPr>
        <a:xfrm>
          <a:off x="5067110" y="18658841"/>
          <a:ext cx="152400" cy="40512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45</xdr:row>
      <xdr:rowOff>194945</xdr:rowOff>
    </xdr:from>
    <xdr:to>
      <xdr:col>3</xdr:col>
      <xdr:colOff>127</xdr:colOff>
      <xdr:row>45</xdr:row>
      <xdr:rowOff>194945</xdr:rowOff>
    </xdr:to>
    <xdr:cxnSp macro="_xll.PtreeEvent_ObjectClick">
      <xdr:nvCxnSpPr>
        <xdr:cNvPr id="98" name="PTObj_DBranchHLine_4_6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CxnSpPr/>
      </xdr:nvCxnSpPr>
      <xdr:spPr>
        <a:xfrm>
          <a:off x="5219510" y="182638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45</xdr:row>
      <xdr:rowOff>194945</xdr:rowOff>
    </xdr:from>
    <xdr:to>
      <xdr:col>2</xdr:col>
      <xdr:colOff>247460</xdr:colOff>
      <xdr:row>47</xdr:row>
      <xdr:rowOff>189866</xdr:rowOff>
    </xdr:to>
    <xdr:cxnSp macro="_xll.PtreeEvent_ObjectClick">
      <xdr:nvCxnSpPr>
        <xdr:cNvPr id="97" name="PTObj_DBranchDLine_4_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CxnSpPr/>
      </xdr:nvCxnSpPr>
      <xdr:spPr>
        <a:xfrm flipV="1">
          <a:off x="5067110" y="18263870"/>
          <a:ext cx="152400" cy="39497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247459</xdr:colOff>
      <xdr:row>47</xdr:row>
      <xdr:rowOff>194945</xdr:rowOff>
    </xdr:from>
    <xdr:to>
      <xdr:col>2</xdr:col>
      <xdr:colOff>127</xdr:colOff>
      <xdr:row>47</xdr:row>
      <xdr:rowOff>194945</xdr:rowOff>
    </xdr:to>
    <xdr:cxnSp macro="_xll.PtreeEvent_ObjectClick">
      <xdr:nvCxnSpPr>
        <xdr:cNvPr id="94" name="PTObj_DBranchHLine_4_5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CxnSpPr/>
      </xdr:nvCxnSpPr>
      <xdr:spPr>
        <a:xfrm>
          <a:off x="3419284" y="18663920"/>
          <a:ext cx="155289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95059</xdr:colOff>
      <xdr:row>43</xdr:row>
      <xdr:rowOff>189866</xdr:rowOff>
    </xdr:from>
    <xdr:to>
      <xdr:col>1</xdr:col>
      <xdr:colOff>247459</xdr:colOff>
      <xdr:row>47</xdr:row>
      <xdr:rowOff>194945</xdr:rowOff>
    </xdr:to>
    <xdr:cxnSp macro="_xll.PtreeEvent_ObjectClick">
      <xdr:nvCxnSpPr>
        <xdr:cNvPr id="93" name="PTObj_DBranchDLine_4_5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CxnSpPr/>
      </xdr:nvCxnSpPr>
      <xdr:spPr>
        <a:xfrm>
          <a:off x="3266884" y="17858741"/>
          <a:ext cx="152400" cy="80517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41</xdr:row>
      <xdr:rowOff>194945</xdr:rowOff>
    </xdr:from>
    <xdr:to>
      <xdr:col>3</xdr:col>
      <xdr:colOff>127</xdr:colOff>
      <xdr:row>41</xdr:row>
      <xdr:rowOff>194945</xdr:rowOff>
    </xdr:to>
    <xdr:cxnSp macro="_xll.PtreeEvent_ObjectClick">
      <xdr:nvCxnSpPr>
        <xdr:cNvPr id="90" name="PTObj_DBranchHLine_4_4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CxnSpPr/>
      </xdr:nvCxnSpPr>
      <xdr:spPr>
        <a:xfrm>
          <a:off x="5219510" y="174637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39</xdr:row>
      <xdr:rowOff>189866</xdr:rowOff>
    </xdr:from>
    <xdr:to>
      <xdr:col>2</xdr:col>
      <xdr:colOff>247460</xdr:colOff>
      <xdr:row>41</xdr:row>
      <xdr:rowOff>194945</xdr:rowOff>
    </xdr:to>
    <xdr:cxnSp macro="_xll.PtreeEvent_ObjectClick">
      <xdr:nvCxnSpPr>
        <xdr:cNvPr id="89" name="PTObj_DBranchDLine_4_4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CxnSpPr/>
      </xdr:nvCxnSpPr>
      <xdr:spPr>
        <a:xfrm>
          <a:off x="5067110" y="17058641"/>
          <a:ext cx="152400" cy="405129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247460</xdr:colOff>
      <xdr:row>37</xdr:row>
      <xdr:rowOff>194945</xdr:rowOff>
    </xdr:from>
    <xdr:to>
      <xdr:col>3</xdr:col>
      <xdr:colOff>127</xdr:colOff>
      <xdr:row>37</xdr:row>
      <xdr:rowOff>194945</xdr:rowOff>
    </xdr:to>
    <xdr:cxnSp macro="_xll.PtreeEvent_ObjectClick">
      <xdr:nvCxnSpPr>
        <xdr:cNvPr id="86" name="PTObj_DBranchHLine_4_3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CxnSpPr/>
      </xdr:nvCxnSpPr>
      <xdr:spPr>
        <a:xfrm>
          <a:off x="5219510" y="16663670"/>
          <a:ext cx="1448117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95060</xdr:colOff>
      <xdr:row>37</xdr:row>
      <xdr:rowOff>194945</xdr:rowOff>
    </xdr:from>
    <xdr:to>
      <xdr:col>2</xdr:col>
      <xdr:colOff>247460</xdr:colOff>
      <xdr:row>39</xdr:row>
      <xdr:rowOff>189866</xdr:rowOff>
    </xdr:to>
    <xdr:cxnSp macro="_xll.PtreeEvent_ObjectClick">
      <xdr:nvCxnSpPr>
        <xdr:cNvPr id="85" name="PTObj_DBranchDLine_4_3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CxnSpPr/>
      </xdr:nvCxnSpPr>
      <xdr:spPr>
        <a:xfrm flipV="1">
          <a:off x="5067110" y="16663670"/>
          <a:ext cx="152400" cy="39497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247459</xdr:colOff>
      <xdr:row>39</xdr:row>
      <xdr:rowOff>194945</xdr:rowOff>
    </xdr:from>
    <xdr:to>
      <xdr:col>2</xdr:col>
      <xdr:colOff>127</xdr:colOff>
      <xdr:row>39</xdr:row>
      <xdr:rowOff>194945</xdr:rowOff>
    </xdr:to>
    <xdr:cxnSp macro="_xll.PtreeEvent_ObjectClick">
      <xdr:nvCxnSpPr>
        <xdr:cNvPr id="82" name="PTObj_DBranchHLine_4_2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CxnSpPr/>
      </xdr:nvCxnSpPr>
      <xdr:spPr>
        <a:xfrm>
          <a:off x="3419284" y="17063720"/>
          <a:ext cx="1552893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95059</xdr:colOff>
      <xdr:row>39</xdr:row>
      <xdr:rowOff>194945</xdr:rowOff>
    </xdr:from>
    <xdr:to>
      <xdr:col>1</xdr:col>
      <xdr:colOff>247459</xdr:colOff>
      <xdr:row>43</xdr:row>
      <xdr:rowOff>189866</xdr:rowOff>
    </xdr:to>
    <xdr:cxnSp macro="_xll.PtreeEvent_ObjectClick">
      <xdr:nvCxnSpPr>
        <xdr:cNvPr id="81" name="PTObj_DBranchDLine_4_2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CxnSpPr/>
      </xdr:nvCxnSpPr>
      <xdr:spPr>
        <a:xfrm flipV="1">
          <a:off x="3266884" y="17063720"/>
          <a:ext cx="152400" cy="795021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177800</xdr:colOff>
      <xdr:row>43</xdr:row>
      <xdr:rowOff>194945</xdr:rowOff>
    </xdr:from>
    <xdr:to>
      <xdr:col>1</xdr:col>
      <xdr:colOff>127</xdr:colOff>
      <xdr:row>43</xdr:row>
      <xdr:rowOff>194945</xdr:rowOff>
    </xdr:to>
    <xdr:cxnSp macro="_xll.PtreeEvent_ObjectClick">
      <xdr:nvCxnSpPr>
        <xdr:cNvPr id="78" name="PTObj_DBranchHLine_4_1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CxnSpPr/>
      </xdr:nvCxnSpPr>
      <xdr:spPr>
        <a:xfrm>
          <a:off x="177800" y="17863820"/>
          <a:ext cx="2994152" cy="0"/>
        </a:xfrm>
        <a:prstGeom prst="line">
          <a:avLst/>
        </a:prstGeom>
        <a:ln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127</xdr:colOff>
      <xdr:row>35</xdr:row>
      <xdr:rowOff>0</xdr:rowOff>
    </xdr:from>
    <xdr:to>
      <xdr:col>1</xdr:col>
      <xdr:colOff>200152</xdr:colOff>
      <xdr:row>35</xdr:row>
      <xdr:rowOff>204108</xdr:rowOff>
    </xdr:to>
    <xdr:sp macro="_xll.PtreeEvent_ObjectClick" textlink="">
      <xdr:nvSpPr>
        <xdr:cNvPr id="8" name="PTObj_DNode_3_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3162427" y="103628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35</xdr:row>
      <xdr:rowOff>0</xdr:rowOff>
    </xdr:from>
    <xdr:ext cx="2514599" cy="180627"/>
    <xdr:sp macro="_xll.PtreeEvent_ObjectClick" textlink="">
      <xdr:nvSpPr>
        <xdr:cNvPr id="10" name="PTObj_DBranchName_3_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5900" y="10372582"/>
          <a:ext cx="2514599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TDS Risk Analysis: Feedlot Cattle Consuming Finishing Diets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209210</xdr:rowOff>
    </xdr:to>
    <xdr:sp macro="_xll.PtreeEvent_ObjectClick" textlink="">
      <xdr:nvSpPr>
        <xdr:cNvPr id="11" name="PTObj_DNode_3_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962652" y="95627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35</xdr:row>
      <xdr:rowOff>0</xdr:rowOff>
    </xdr:from>
    <xdr:ext cx="431464" cy="180627"/>
    <xdr:sp macro="_xll.PtreeEvent_ObjectClick" textlink="">
      <xdr:nvSpPr>
        <xdr:cNvPr id="14" name="PTObj_DBranchName_3_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3447859" y="9572482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15" name="PTObj_DNode_3_3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 rot="-5400000">
          <a:off x="6658102" y="91627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18" name="PTObj_DBranchName_3_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5248085" y="9172432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204106</xdr:rowOff>
    </xdr:to>
    <xdr:sp macro="_xll.PtreeEvent_ObjectClick" textlink="">
      <xdr:nvSpPr>
        <xdr:cNvPr id="19" name="PTObj_DNode_3_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 rot="-5400000">
          <a:off x="6658102" y="99628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22" name="PTObj_DBranchName_3_4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5248085" y="9972532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204108</xdr:rowOff>
    </xdr:to>
    <xdr:sp macro="_xll.PtreeEvent_ObjectClick" textlink="">
      <xdr:nvSpPr>
        <xdr:cNvPr id="23" name="PTObj_DNode_3_5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4962652" y="111629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35</xdr:row>
      <xdr:rowOff>0</xdr:rowOff>
    </xdr:from>
    <xdr:ext cx="431464" cy="180627"/>
    <xdr:sp macro="_xll.PtreeEvent_ObjectClick" textlink="">
      <xdr:nvSpPr>
        <xdr:cNvPr id="26" name="PTObj_DBranchName_3_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3447859" y="11172682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2%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27" name="PTObj_DNode_3_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 rot="-5400000">
          <a:off x="6658102" y="107629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30" name="PTObj_DBranchName_3_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5248085" y="10772632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31" name="PTObj_DNode_3_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 rot="-5400000">
          <a:off x="6658102" y="115630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34" name="PTObj_DBranchName_3_7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5248085" y="11572732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192202</xdr:rowOff>
    </xdr:to>
    <xdr:sp macro="_xll.PtreeEvent_ObjectClick" textlink="">
      <xdr:nvSpPr>
        <xdr:cNvPr id="35" name="PTObj_DNode_3_8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4962652" y="1236313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35</xdr:row>
      <xdr:rowOff>0</xdr:rowOff>
    </xdr:from>
    <xdr:ext cx="827599" cy="180627"/>
    <xdr:sp macro="_xll.PtreeEvent_ObjectClick" textlink="">
      <xdr:nvSpPr>
        <xdr:cNvPr id="38" name="PTObj_DBranchName_3_8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3447859" y="12372832"/>
          <a:ext cx="827599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4% eNDF (Normal)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204105</xdr:rowOff>
    </xdr:to>
    <xdr:sp macro="_xll.PtreeEvent_ObjectClick" textlink="">
      <xdr:nvSpPr>
        <xdr:cNvPr id="39" name="PTObj_DNode_3_9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 rot="-5400000">
          <a:off x="6658102" y="119630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42" name="PTObj_DBranchName_3_9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5248085" y="11972782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43" name="PTObj_DNode_3_10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 rot="-5400000">
          <a:off x="6658102" y="127631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46" name="PTObj_DBranchName_3_10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5248085" y="12772882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209210</xdr:rowOff>
    </xdr:to>
    <xdr:sp macro="_xll.PtreeEvent_ObjectClick" textlink="">
      <xdr:nvSpPr>
        <xdr:cNvPr id="47" name="PTObj_DNode_3_1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4962652" y="1356328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35</xdr:row>
      <xdr:rowOff>0</xdr:rowOff>
    </xdr:from>
    <xdr:ext cx="431464" cy="180627"/>
    <xdr:sp macro="_xll.PtreeEvent_ObjectClick" textlink="">
      <xdr:nvSpPr>
        <xdr:cNvPr id="50" name="PTObj_DBranchName_3_1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3447859" y="13572981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6% eNDF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204106</xdr:rowOff>
    </xdr:to>
    <xdr:sp macro="_xll.PtreeEvent_ObjectClick" textlink="">
      <xdr:nvSpPr>
        <xdr:cNvPr id="51" name="PTObj_DNode_3_12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 rot="-5400000">
          <a:off x="6658102" y="131632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54" name="PTObj_DBranchName_3_12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5248085" y="1317293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204106</xdr:rowOff>
    </xdr:to>
    <xdr:sp macro="_xll.PtreeEvent_ObjectClick" textlink="">
      <xdr:nvSpPr>
        <xdr:cNvPr id="55" name="PTObj_DNode_3_13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 rot="-5400000">
          <a:off x="6658102" y="1396333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58" name="PTObj_DBranchName_3_1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5248085" y="1397303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35</xdr:row>
      <xdr:rowOff>0</xdr:rowOff>
    </xdr:from>
    <xdr:to>
      <xdr:col>2</xdr:col>
      <xdr:colOff>200152</xdr:colOff>
      <xdr:row>35</xdr:row>
      <xdr:rowOff>204107</xdr:rowOff>
    </xdr:to>
    <xdr:sp macro="_xll.PtreeEvent_ObjectClick" textlink="">
      <xdr:nvSpPr>
        <xdr:cNvPr id="59" name="PTObj_DNode_3_1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/>
      </xdr:nvSpPr>
      <xdr:spPr>
        <a:xfrm>
          <a:off x="4962652" y="14763432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35</xdr:row>
      <xdr:rowOff>0</xdr:rowOff>
    </xdr:from>
    <xdr:ext cx="947246" cy="180627"/>
    <xdr:sp macro="_xll.PtreeEvent_ObjectClick" textlink="">
      <xdr:nvSpPr>
        <xdr:cNvPr id="62" name="PTObj_DBranchName_3_14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3447859" y="14773131"/>
          <a:ext cx="947246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8% eNDF (2x Normal)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63" name="PTObj_DNode_3_15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 rot="-5400000">
          <a:off x="6658102" y="143633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246221" cy="180627"/>
    <xdr:sp macro="_xll.PtreeEvent_ObjectClick" textlink="">
      <xdr:nvSpPr>
        <xdr:cNvPr id="66" name="PTObj_DBranchName_3_1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5248085" y="14373081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35</xdr:row>
      <xdr:rowOff>0</xdr:rowOff>
    </xdr:from>
    <xdr:to>
      <xdr:col>3</xdr:col>
      <xdr:colOff>200152</xdr:colOff>
      <xdr:row>35</xdr:row>
      <xdr:rowOff>204107</xdr:rowOff>
    </xdr:to>
    <xdr:sp macro="_xll.PtreeEvent_ObjectClick" textlink="">
      <xdr:nvSpPr>
        <xdr:cNvPr id="67" name="PTObj_DNode_3_1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-5400000">
          <a:off x="6658102" y="15163482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35</xdr:row>
      <xdr:rowOff>0</xdr:rowOff>
    </xdr:from>
    <xdr:ext cx="389787" cy="180627"/>
    <xdr:sp macro="_xll.PtreeEvent_ObjectClick" textlink="">
      <xdr:nvSpPr>
        <xdr:cNvPr id="70" name="PTObj_DBranchName_3_16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5248085" y="15173181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1</xdr:col>
      <xdr:colOff>127</xdr:colOff>
      <xdr:row>43</xdr:row>
      <xdr:rowOff>94932</xdr:rowOff>
    </xdr:from>
    <xdr:to>
      <xdr:col>1</xdr:col>
      <xdr:colOff>200152</xdr:colOff>
      <xdr:row>44</xdr:row>
      <xdr:rowOff>94934</xdr:rowOff>
    </xdr:to>
    <xdr:sp macro="_xll.PtreeEvent_ObjectClick" textlink="">
      <xdr:nvSpPr>
        <xdr:cNvPr id="77" name="PTObj_DNode_4_1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/>
      </xdr:nvSpPr>
      <xdr:spPr>
        <a:xfrm>
          <a:off x="3171952" y="177638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0</xdr:col>
      <xdr:colOff>215900</xdr:colOff>
      <xdr:row>43</xdr:row>
      <xdr:rowOff>104631</xdr:rowOff>
    </xdr:from>
    <xdr:ext cx="2520306" cy="180627"/>
    <xdr:sp macro="_xll.PtreeEvent_ObjectClick" textlink="">
      <xdr:nvSpPr>
        <xdr:cNvPr id="79" name="PTObj_DBranchName_4_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15900" y="17773506"/>
          <a:ext cx="2520306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RDS Risk Analysis: Feedlot Cattle Consuming Finishing Diets</a:t>
          </a:r>
        </a:p>
      </xdr:txBody>
    </xdr:sp>
    <xdr:clientData/>
  </xdr:oneCellAnchor>
  <xdr:twoCellAnchor editAs="oneCell">
    <xdr:from>
      <xdr:col>2</xdr:col>
      <xdr:colOff>127</xdr:colOff>
      <xdr:row>39</xdr:row>
      <xdr:rowOff>94932</xdr:rowOff>
    </xdr:from>
    <xdr:to>
      <xdr:col>2</xdr:col>
      <xdr:colOff>200152</xdr:colOff>
      <xdr:row>40</xdr:row>
      <xdr:rowOff>98902</xdr:rowOff>
    </xdr:to>
    <xdr:sp macro="_xll.PtreeEvent_ObjectClick" textlink="">
      <xdr:nvSpPr>
        <xdr:cNvPr id="80" name="PTObj_DNode_4_2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/>
      </xdr:nvSpPr>
      <xdr:spPr>
        <a:xfrm>
          <a:off x="4972177" y="169637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39</xdr:row>
      <xdr:rowOff>104631</xdr:rowOff>
    </xdr:from>
    <xdr:ext cx="431464" cy="180627"/>
    <xdr:sp macro="_xll.PtreeEvent_ObjectClick" textlink="">
      <xdr:nvSpPr>
        <xdr:cNvPr id="83" name="PTObj_DBranchName_4_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3457384" y="16973406"/>
          <a:ext cx="431464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0% eNDF</a:t>
          </a:r>
        </a:p>
      </xdr:txBody>
    </xdr:sp>
    <xdr:clientData/>
  </xdr:oneCellAnchor>
  <xdr:twoCellAnchor editAs="oneCell">
    <xdr:from>
      <xdr:col>3</xdr:col>
      <xdr:colOff>127</xdr:colOff>
      <xdr:row>37</xdr:row>
      <xdr:rowOff>94932</xdr:rowOff>
    </xdr:from>
    <xdr:to>
      <xdr:col>3</xdr:col>
      <xdr:colOff>200152</xdr:colOff>
      <xdr:row>38</xdr:row>
      <xdr:rowOff>92663</xdr:rowOff>
    </xdr:to>
    <xdr:sp macro="_xll.PtreeEvent_ObjectClick" textlink="">
      <xdr:nvSpPr>
        <xdr:cNvPr id="84" name="PTObj_DNode_4_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/>
      </xdr:nvSpPr>
      <xdr:spPr>
        <a:xfrm rot="-5400000">
          <a:off x="6667627" y="165636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37</xdr:row>
      <xdr:rowOff>104631</xdr:rowOff>
    </xdr:from>
    <xdr:ext cx="246221" cy="180627"/>
    <xdr:sp macro="_xll.PtreeEvent_ObjectClick" textlink="">
      <xdr:nvSpPr>
        <xdr:cNvPr id="87" name="PTObj_DBranchName_4_3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5257610" y="16573356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41</xdr:row>
      <xdr:rowOff>94932</xdr:rowOff>
    </xdr:from>
    <xdr:to>
      <xdr:col>3</xdr:col>
      <xdr:colOff>200152</xdr:colOff>
      <xdr:row>42</xdr:row>
      <xdr:rowOff>94932</xdr:rowOff>
    </xdr:to>
    <xdr:sp macro="_xll.PtreeEvent_ObjectClick" textlink="">
      <xdr:nvSpPr>
        <xdr:cNvPr id="88" name="PTObj_DNode_4_4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/>
      </xdr:nvSpPr>
      <xdr:spPr>
        <a:xfrm rot="-5400000">
          <a:off x="6667627" y="173637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41</xdr:row>
      <xdr:rowOff>104631</xdr:rowOff>
    </xdr:from>
    <xdr:ext cx="389787" cy="180627"/>
    <xdr:sp macro="_xll.PtreeEvent_ObjectClick" textlink="">
      <xdr:nvSpPr>
        <xdr:cNvPr id="91" name="PTObj_DBranchName_4_4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5257610" y="1737345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47</xdr:row>
      <xdr:rowOff>94932</xdr:rowOff>
    </xdr:from>
    <xdr:to>
      <xdr:col>2</xdr:col>
      <xdr:colOff>200152</xdr:colOff>
      <xdr:row>48</xdr:row>
      <xdr:rowOff>100035</xdr:rowOff>
    </xdr:to>
    <xdr:sp macro="_xll.PtreeEvent_ObjectClick" textlink="">
      <xdr:nvSpPr>
        <xdr:cNvPr id="92" name="PTObj_DNode_4_5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/>
      </xdr:nvSpPr>
      <xdr:spPr>
        <a:xfrm>
          <a:off x="4972177" y="185639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47</xdr:row>
      <xdr:rowOff>104631</xdr:rowOff>
    </xdr:from>
    <xdr:ext cx="431464" cy="180627"/>
    <xdr:sp macro="_xll.PtreeEvent_ObjectClick" textlink="">
      <xdr:nvSpPr>
        <xdr:cNvPr id="95" name="PTObj_DBranchName_4_5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3457384" y="18573606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2% eNDF</a:t>
          </a:r>
        </a:p>
      </xdr:txBody>
    </xdr:sp>
    <xdr:clientData/>
  </xdr:oneCellAnchor>
  <xdr:twoCellAnchor editAs="oneCell">
    <xdr:from>
      <xdr:col>3</xdr:col>
      <xdr:colOff>127</xdr:colOff>
      <xdr:row>45</xdr:row>
      <xdr:rowOff>94932</xdr:rowOff>
    </xdr:from>
    <xdr:to>
      <xdr:col>3</xdr:col>
      <xdr:colOff>200152</xdr:colOff>
      <xdr:row>46</xdr:row>
      <xdr:rowOff>94931</xdr:rowOff>
    </xdr:to>
    <xdr:sp macro="_xll.PtreeEvent_ObjectClick" textlink="">
      <xdr:nvSpPr>
        <xdr:cNvPr id="96" name="PTObj_DNode_4_6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/>
      </xdr:nvSpPr>
      <xdr:spPr>
        <a:xfrm rot="-5400000">
          <a:off x="6667627" y="181638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45</xdr:row>
      <xdr:rowOff>104631</xdr:rowOff>
    </xdr:from>
    <xdr:ext cx="246221" cy="180627"/>
    <xdr:sp macro="_xll.PtreeEvent_ObjectClick" textlink="">
      <xdr:nvSpPr>
        <xdr:cNvPr id="99" name="PTObj_DBranchName_4_6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5257610" y="18173556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49</xdr:row>
      <xdr:rowOff>94932</xdr:rowOff>
    </xdr:from>
    <xdr:to>
      <xdr:col>3</xdr:col>
      <xdr:colOff>200152</xdr:colOff>
      <xdr:row>50</xdr:row>
      <xdr:rowOff>94931</xdr:rowOff>
    </xdr:to>
    <xdr:sp macro="_xll.PtreeEvent_ObjectClick" textlink="">
      <xdr:nvSpPr>
        <xdr:cNvPr id="100" name="PTObj_DNode_4_7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/>
      </xdr:nvSpPr>
      <xdr:spPr>
        <a:xfrm rot="-5400000">
          <a:off x="6667627" y="189639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49</xdr:row>
      <xdr:rowOff>104631</xdr:rowOff>
    </xdr:from>
    <xdr:ext cx="389787" cy="180627"/>
    <xdr:sp macro="_xll.PtreeEvent_ObjectClick" textlink="">
      <xdr:nvSpPr>
        <xdr:cNvPr id="103" name="PTObj_DBranchName_4_7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5257610" y="1897365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54</xdr:row>
      <xdr:rowOff>94932</xdr:rowOff>
    </xdr:from>
    <xdr:to>
      <xdr:col>2</xdr:col>
      <xdr:colOff>200152</xdr:colOff>
      <xdr:row>55</xdr:row>
      <xdr:rowOff>100034</xdr:rowOff>
    </xdr:to>
    <xdr:sp macro="_xll.PtreeEvent_ObjectClick" textlink="">
      <xdr:nvSpPr>
        <xdr:cNvPr id="104" name="PTObj_DNode_4_8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4972177" y="1976405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54</xdr:row>
      <xdr:rowOff>104631</xdr:rowOff>
    </xdr:from>
    <xdr:ext cx="827599" cy="180627"/>
    <xdr:sp macro="_xll.PtreeEvent_ObjectClick" textlink="">
      <xdr:nvSpPr>
        <xdr:cNvPr id="107" name="PTObj_DBranchName_4_8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 txBox="1"/>
      </xdr:nvSpPr>
      <xdr:spPr>
        <a:xfrm>
          <a:off x="3457384" y="19773756"/>
          <a:ext cx="827599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4% eNDF (Normal)</a:t>
          </a:r>
        </a:p>
      </xdr:txBody>
    </xdr:sp>
    <xdr:clientData/>
  </xdr:oneCellAnchor>
  <xdr:twoCellAnchor editAs="oneCell">
    <xdr:from>
      <xdr:col>3</xdr:col>
      <xdr:colOff>127</xdr:colOff>
      <xdr:row>52</xdr:row>
      <xdr:rowOff>94932</xdr:rowOff>
    </xdr:from>
    <xdr:to>
      <xdr:col>3</xdr:col>
      <xdr:colOff>200152</xdr:colOff>
      <xdr:row>53</xdr:row>
      <xdr:rowOff>94934</xdr:rowOff>
    </xdr:to>
    <xdr:sp macro="_xll.PtreeEvent_ObjectClick" textlink="">
      <xdr:nvSpPr>
        <xdr:cNvPr id="108" name="PTObj_DNode_4_9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 rot="-5400000">
          <a:off x="6667627" y="193640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52</xdr:row>
      <xdr:rowOff>104631</xdr:rowOff>
    </xdr:from>
    <xdr:ext cx="246221" cy="180627"/>
    <xdr:sp macro="_xll.PtreeEvent_ObjectClick" textlink="">
      <xdr:nvSpPr>
        <xdr:cNvPr id="111" name="PTObj_DBranchName_4_9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5257610" y="19373706"/>
          <a:ext cx="246221" cy="180627"/>
        </a:xfrm>
        <a:prstGeom prst="rect">
          <a:avLst/>
        </a:prstGeom>
        <a:solidFill>
          <a:srgbClr val="FFFFFF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56</xdr:row>
      <xdr:rowOff>94932</xdr:rowOff>
    </xdr:from>
    <xdr:to>
      <xdr:col>3</xdr:col>
      <xdr:colOff>200152</xdr:colOff>
      <xdr:row>57</xdr:row>
      <xdr:rowOff>94933</xdr:rowOff>
    </xdr:to>
    <xdr:sp macro="_xll.PtreeEvent_ObjectClick" textlink="">
      <xdr:nvSpPr>
        <xdr:cNvPr id="112" name="PTObj_DNode_4_10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/>
      </xdr:nvSpPr>
      <xdr:spPr>
        <a:xfrm rot="-5400000">
          <a:off x="6667627" y="201641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56</xdr:row>
      <xdr:rowOff>104631</xdr:rowOff>
    </xdr:from>
    <xdr:ext cx="389787" cy="180627"/>
    <xdr:sp macro="_xll.PtreeEvent_ObjectClick" textlink="">
      <xdr:nvSpPr>
        <xdr:cNvPr id="115" name="PTObj_DBranchName_4_10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5257610" y="2017380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61</xdr:row>
      <xdr:rowOff>94932</xdr:rowOff>
    </xdr:from>
    <xdr:to>
      <xdr:col>2</xdr:col>
      <xdr:colOff>200152</xdr:colOff>
      <xdr:row>62</xdr:row>
      <xdr:rowOff>98334</xdr:rowOff>
    </xdr:to>
    <xdr:sp macro="_xll.PtreeEvent_ObjectClick" textlink="">
      <xdr:nvSpPr>
        <xdr:cNvPr id="116" name="PTObj_DNode_4_11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/>
      </xdr:nvSpPr>
      <xdr:spPr>
        <a:xfrm>
          <a:off x="4972177" y="2096420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61</xdr:row>
      <xdr:rowOff>104631</xdr:rowOff>
    </xdr:from>
    <xdr:ext cx="431464" cy="180627"/>
    <xdr:sp macro="_xll.PtreeEvent_ObjectClick" textlink="">
      <xdr:nvSpPr>
        <xdr:cNvPr id="119" name="PTObj_DBranchName_4_11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3457384" y="20973906"/>
          <a:ext cx="431464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6% eNDF</a:t>
          </a:r>
        </a:p>
      </xdr:txBody>
    </xdr:sp>
    <xdr:clientData/>
  </xdr:oneCellAnchor>
  <xdr:twoCellAnchor editAs="oneCell">
    <xdr:from>
      <xdr:col>3</xdr:col>
      <xdr:colOff>127</xdr:colOff>
      <xdr:row>59</xdr:row>
      <xdr:rowOff>94932</xdr:rowOff>
    </xdr:from>
    <xdr:to>
      <xdr:col>3</xdr:col>
      <xdr:colOff>200152</xdr:colOff>
      <xdr:row>60</xdr:row>
      <xdr:rowOff>94931</xdr:rowOff>
    </xdr:to>
    <xdr:sp macro="_xll.PtreeEvent_ObjectClick" textlink="">
      <xdr:nvSpPr>
        <xdr:cNvPr id="120" name="PTObj_DNode_4_12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/>
      </xdr:nvSpPr>
      <xdr:spPr>
        <a:xfrm rot="-5400000">
          <a:off x="6667627" y="205641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59</xdr:row>
      <xdr:rowOff>104631</xdr:rowOff>
    </xdr:from>
    <xdr:ext cx="246221" cy="180627"/>
    <xdr:sp macro="_xll.PtreeEvent_ObjectClick" textlink="">
      <xdr:nvSpPr>
        <xdr:cNvPr id="123" name="PTObj_DBranchName_4_1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5257610" y="20573856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63</xdr:row>
      <xdr:rowOff>94932</xdr:rowOff>
    </xdr:from>
    <xdr:to>
      <xdr:col>3</xdr:col>
      <xdr:colOff>200152</xdr:colOff>
      <xdr:row>64</xdr:row>
      <xdr:rowOff>83593</xdr:rowOff>
    </xdr:to>
    <xdr:sp macro="_xll.PtreeEvent_ObjectClick" textlink="">
      <xdr:nvSpPr>
        <xdr:cNvPr id="124" name="PTObj_DNode_4_1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/>
      </xdr:nvSpPr>
      <xdr:spPr>
        <a:xfrm rot="-5400000">
          <a:off x="6667627" y="2136425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63</xdr:row>
      <xdr:rowOff>104631</xdr:rowOff>
    </xdr:from>
    <xdr:ext cx="389787" cy="180627"/>
    <xdr:sp macro="_xll.PtreeEvent_ObjectClick" textlink="">
      <xdr:nvSpPr>
        <xdr:cNvPr id="127" name="PTObj_DBranchName_4_13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5257610" y="2137395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  <xdr:twoCellAnchor editAs="oneCell">
    <xdr:from>
      <xdr:col>2</xdr:col>
      <xdr:colOff>127</xdr:colOff>
      <xdr:row>68</xdr:row>
      <xdr:rowOff>94932</xdr:rowOff>
    </xdr:from>
    <xdr:to>
      <xdr:col>2</xdr:col>
      <xdr:colOff>200152</xdr:colOff>
      <xdr:row>69</xdr:row>
      <xdr:rowOff>94932</xdr:rowOff>
    </xdr:to>
    <xdr:sp macro="_xll.PtreeEvent_ObjectClick" textlink="">
      <xdr:nvSpPr>
        <xdr:cNvPr id="128" name="PTObj_DNode_4_14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/>
      </xdr:nvSpPr>
      <xdr:spPr>
        <a:xfrm>
          <a:off x="4972177" y="22164357"/>
          <a:ext cx="200025" cy="200025"/>
        </a:xfrm>
        <a:prstGeom prst="ellipse">
          <a:avLst/>
        </a:prstGeom>
        <a:solidFill>
          <a:srgbClr val="80000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285559</xdr:colOff>
      <xdr:row>68</xdr:row>
      <xdr:rowOff>104631</xdr:rowOff>
    </xdr:from>
    <xdr:ext cx="947246" cy="180627"/>
    <xdr:sp macro="_xll.PtreeEvent_ObjectClick" textlink="">
      <xdr:nvSpPr>
        <xdr:cNvPr id="131" name="PTObj_DBranchName_4_1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3457384" y="22174056"/>
          <a:ext cx="947246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8% eNDF (2x Normal)</a:t>
          </a:r>
        </a:p>
      </xdr:txBody>
    </xdr:sp>
    <xdr:clientData/>
  </xdr:oneCellAnchor>
  <xdr:twoCellAnchor editAs="oneCell">
    <xdr:from>
      <xdr:col>3</xdr:col>
      <xdr:colOff>127</xdr:colOff>
      <xdr:row>66</xdr:row>
      <xdr:rowOff>94932</xdr:rowOff>
    </xdr:from>
    <xdr:to>
      <xdr:col>3</xdr:col>
      <xdr:colOff>200152</xdr:colOff>
      <xdr:row>67</xdr:row>
      <xdr:rowOff>94933</xdr:rowOff>
    </xdr:to>
    <xdr:sp macro="_xll.PtreeEvent_ObjectClick" textlink="">
      <xdr:nvSpPr>
        <xdr:cNvPr id="132" name="PTObj_DNode_4_15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/>
      </xdr:nvSpPr>
      <xdr:spPr>
        <a:xfrm rot="-5400000">
          <a:off x="6667627" y="217643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66</xdr:row>
      <xdr:rowOff>104631</xdr:rowOff>
    </xdr:from>
    <xdr:ext cx="246221" cy="180627"/>
    <xdr:sp macro="_xll.PtreeEvent_ObjectClick" textlink="">
      <xdr:nvSpPr>
        <xdr:cNvPr id="135" name="PTObj_DBranchName_4_15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5257610" y="21774006"/>
          <a:ext cx="246221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PEM</a:t>
          </a:r>
        </a:p>
      </xdr:txBody>
    </xdr:sp>
    <xdr:clientData/>
  </xdr:oneCellAnchor>
  <xdr:twoCellAnchor editAs="oneCell">
    <xdr:from>
      <xdr:col>3</xdr:col>
      <xdr:colOff>127</xdr:colOff>
      <xdr:row>70</xdr:row>
      <xdr:rowOff>94932</xdr:rowOff>
    </xdr:from>
    <xdr:to>
      <xdr:col>3</xdr:col>
      <xdr:colOff>200152</xdr:colOff>
      <xdr:row>71</xdr:row>
      <xdr:rowOff>94933</xdr:rowOff>
    </xdr:to>
    <xdr:sp macro="_xll.PtreeEvent_ObjectClick" textlink="">
      <xdr:nvSpPr>
        <xdr:cNvPr id="136" name="PTObj_DNode_4_16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/>
      </xdr:nvSpPr>
      <xdr:spPr>
        <a:xfrm rot="-5400000">
          <a:off x="6667627" y="22564407"/>
          <a:ext cx="200025" cy="200025"/>
        </a:xfrm>
        <a:prstGeom prst="triangle">
          <a:avLst/>
        </a:prstGeom>
        <a:solidFill>
          <a:srgbClr val="000080"/>
        </a:solidFill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285560</xdr:colOff>
      <xdr:row>70</xdr:row>
      <xdr:rowOff>104631</xdr:rowOff>
    </xdr:from>
    <xdr:ext cx="389787" cy="180627"/>
    <xdr:sp macro="_xll.PtreeEvent_ObjectClick" textlink="">
      <xdr:nvSpPr>
        <xdr:cNvPr id="139" name="PTObj_DBranchName_4_16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5257610" y="22574106"/>
          <a:ext cx="389787" cy="180627"/>
        </a:xfrm>
        <a:prstGeom prst="rect">
          <a:avLst/>
        </a:prstGeom>
        <a:solidFill>
          <a:schemeClr val="lt1"/>
        </a:solidFill>
        <a:ln w="9525" cmpd="sng">
          <a:solidFill>
            <a:srgbClr val="80808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7432" tIns="27432" rIns="27432" bIns="27432" rtlCol="0" anchor="ctr">
          <a:spAutoFit/>
        </a:bodyPr>
        <a:lstStyle/>
        <a:p>
          <a:pPr algn="ctr"/>
          <a:r>
            <a:rPr lang="en-US" sz="800"/>
            <a:t>No PEM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rown, Ashli Amari" id="{F41F8125-F82D-D54D-B035-C7372C1B9CE7}" userId="S::abrow120@tamu.edu::b575d439-7451-46d6-8555-76c4288f1cd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2-07-19T16:32:50.31" personId="{F41F8125-F82D-D54D-B035-C7372C1B9CE7}" id="{FF6F29EA-4936-734A-A90F-748D2AC0FD68}">
    <text xml:space="preserve">Columns F and G presents the average concentration and std dev of S for each county in mg/L </text>
  </threadedComment>
  <threadedComment ref="H2" dT="2022-07-19T16:34:29.99" personId="{F41F8125-F82D-D54D-B035-C7372C1B9CE7}" id="{882B13A8-D622-D247-829F-901F46FCDAEC}">
    <text>Columns H and L: averaged conc &amp; std for each district in mg/L</text>
  </threadedComment>
  <threadedComment ref="K2" dT="2022-07-19T16:33:29.80" personId="{F41F8125-F82D-D54D-B035-C7372C1B9CE7}" id="{66E5390C-D00D-A64E-811F-1D81F692A7B1}">
    <text>Columns K and L presents the average concentration and std dev of S for each county in %</text>
  </threadedComment>
  <threadedComment ref="M2" dT="2022-07-19T16:34:50.79" personId="{F41F8125-F82D-D54D-B035-C7372C1B9CE7}" id="{56ABD924-1964-7846-A4D8-0B82F4038D82}">
    <text>Columns M and N: averaged conc &amp; std for each district in %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C33FE-379F-9741-9075-94E62690E08A}">
  <dimension ref="A1:T333"/>
  <sheetViews>
    <sheetView tabSelected="1" topLeftCell="D5" zoomScale="87" workbookViewId="0">
      <selection activeCell="Y13" sqref="Y13"/>
    </sheetView>
  </sheetViews>
  <sheetFormatPr baseColWidth="10" defaultColWidth="8.83203125" defaultRowHeight="16" x14ac:dyDescent="0.2"/>
  <cols>
    <col min="1" max="1" width="13" customWidth="1"/>
    <col min="2" max="2" width="18.5" customWidth="1"/>
    <col min="3" max="3" width="31" style="23" customWidth="1"/>
    <col min="4" max="4" width="100.5" style="23" customWidth="1"/>
    <col min="5" max="5" width="16.5" customWidth="1"/>
    <col min="7" max="7" width="16" customWidth="1"/>
    <col min="8" max="8" width="14.1640625" customWidth="1"/>
  </cols>
  <sheetData>
    <row r="1" spans="1:20" ht="19" x14ac:dyDescent="0.25">
      <c r="A1" s="286" t="s">
        <v>534</v>
      </c>
      <c r="B1" s="286"/>
      <c r="C1" s="286"/>
      <c r="D1" s="286"/>
    </row>
    <row r="2" spans="1:20" s="10" customFormat="1" x14ac:dyDescent="0.2">
      <c r="A2" s="160" t="s">
        <v>173</v>
      </c>
      <c r="B2" s="160" t="s">
        <v>174</v>
      </c>
      <c r="C2" s="161" t="s">
        <v>175</v>
      </c>
      <c r="D2" s="161" t="s">
        <v>176</v>
      </c>
      <c r="E2" s="160" t="s">
        <v>177</v>
      </c>
      <c r="G2" s="162" t="s">
        <v>178</v>
      </c>
      <c r="H2" s="37">
        <f>COUNT(E3:E333)</f>
        <v>331</v>
      </c>
    </row>
    <row r="3" spans="1:20" ht="17" x14ac:dyDescent="0.2">
      <c r="A3" s="163">
        <v>2011</v>
      </c>
      <c r="B3" s="10">
        <v>88</v>
      </c>
      <c r="C3" s="23" t="s">
        <v>179</v>
      </c>
      <c r="D3" s="164" t="s">
        <v>180</v>
      </c>
      <c r="E3" s="10">
        <v>0.7</v>
      </c>
      <c r="G3" s="165" t="s">
        <v>181</v>
      </c>
      <c r="H3" s="166">
        <f>MIN(E3:E333)</f>
        <v>0.24</v>
      </c>
    </row>
    <row r="4" spans="1:20" ht="17" x14ac:dyDescent="0.2">
      <c r="A4" s="163">
        <v>2011</v>
      </c>
      <c r="B4" s="10">
        <v>88</v>
      </c>
      <c r="C4" s="23" t="s">
        <v>179</v>
      </c>
      <c r="D4" s="164" t="s">
        <v>182</v>
      </c>
      <c r="E4" s="10">
        <v>0.69</v>
      </c>
      <c r="G4" s="165" t="s">
        <v>183</v>
      </c>
      <c r="H4" s="166">
        <f>MAX(E3:E333)</f>
        <v>1.1100000000000001</v>
      </c>
    </row>
    <row r="5" spans="1:20" ht="17" x14ac:dyDescent="0.2">
      <c r="A5" s="167">
        <v>2012</v>
      </c>
      <c r="B5" s="10">
        <v>88</v>
      </c>
      <c r="C5" s="164" t="s">
        <v>179</v>
      </c>
      <c r="D5" s="164" t="s">
        <v>184</v>
      </c>
      <c r="E5" s="10">
        <v>0.82</v>
      </c>
      <c r="G5" s="165" t="s">
        <v>185</v>
      </c>
      <c r="H5" s="166">
        <f>AVERAGE(E3:E335)</f>
        <v>0.6874924471299092</v>
      </c>
    </row>
    <row r="6" spans="1:20" ht="17" x14ac:dyDescent="0.2">
      <c r="A6" s="167">
        <v>2012</v>
      </c>
      <c r="B6" s="10">
        <v>88</v>
      </c>
      <c r="C6" s="164" t="s">
        <v>179</v>
      </c>
      <c r="D6" s="164" t="s">
        <v>186</v>
      </c>
      <c r="E6" s="10">
        <v>0.72</v>
      </c>
      <c r="G6" s="165" t="s">
        <v>187</v>
      </c>
      <c r="H6" s="166">
        <f>_xlfn.STDEV.S(E3:E335)</f>
        <v>0.19276000725598541</v>
      </c>
    </row>
    <row r="7" spans="1:20" ht="17" x14ac:dyDescent="0.2">
      <c r="A7" s="167">
        <v>2012</v>
      </c>
      <c r="B7" s="10">
        <v>88</v>
      </c>
      <c r="C7" s="164" t="s">
        <v>179</v>
      </c>
      <c r="D7" s="164" t="s">
        <v>188</v>
      </c>
      <c r="E7" s="10">
        <v>0.87</v>
      </c>
      <c r="G7" s="165" t="s">
        <v>189</v>
      </c>
      <c r="H7" s="37">
        <f>COUNTIF(E3:E335,"&gt;0.3")</f>
        <v>329</v>
      </c>
      <c r="I7" s="168">
        <f>H7/H2</f>
        <v>0.9939577039274925</v>
      </c>
    </row>
    <row r="8" spans="1:20" ht="17" x14ac:dyDescent="0.2">
      <c r="A8" s="167">
        <v>2012</v>
      </c>
      <c r="B8" s="10">
        <v>88</v>
      </c>
      <c r="C8" s="164" t="s">
        <v>179</v>
      </c>
      <c r="D8" s="164" t="s">
        <v>184</v>
      </c>
      <c r="E8" s="10">
        <v>0.9</v>
      </c>
      <c r="G8" s="165" t="s">
        <v>190</v>
      </c>
      <c r="H8" s="37">
        <f>COUNTIF(E3:E335,"&gt;0.4")</f>
        <v>297</v>
      </c>
      <c r="I8" s="168">
        <f>H8/H2</f>
        <v>0.89728096676737157</v>
      </c>
    </row>
    <row r="9" spans="1:20" ht="17" thickBot="1" x14ac:dyDescent="0.25">
      <c r="A9" s="167">
        <v>2012</v>
      </c>
      <c r="B9" s="10">
        <v>88</v>
      </c>
      <c r="C9" s="164" t="s">
        <v>179</v>
      </c>
      <c r="D9" s="164" t="s">
        <v>188</v>
      </c>
      <c r="E9" s="10">
        <v>0.93</v>
      </c>
    </row>
    <row r="10" spans="1:20" x14ac:dyDescent="0.2">
      <c r="A10" s="167">
        <v>2012</v>
      </c>
      <c r="B10" s="10">
        <v>88</v>
      </c>
      <c r="C10" s="164" t="s">
        <v>179</v>
      </c>
      <c r="D10" s="164" t="s">
        <v>191</v>
      </c>
      <c r="E10" s="10">
        <v>0.81</v>
      </c>
      <c r="H10" s="169">
        <v>2011</v>
      </c>
      <c r="I10" s="170">
        <v>2012</v>
      </c>
      <c r="J10" s="171">
        <v>2013</v>
      </c>
      <c r="K10" s="172">
        <v>2014</v>
      </c>
      <c r="L10" s="173">
        <v>2015</v>
      </c>
      <c r="M10" s="174">
        <v>2016</v>
      </c>
      <c r="N10" s="175">
        <v>2017</v>
      </c>
      <c r="O10" s="176">
        <v>2018</v>
      </c>
      <c r="P10" s="177">
        <v>2019</v>
      </c>
      <c r="Q10" s="178">
        <v>2020</v>
      </c>
    </row>
    <row r="11" spans="1:20" x14ac:dyDescent="0.2">
      <c r="A11" s="167">
        <v>2012</v>
      </c>
      <c r="B11" s="10">
        <v>88</v>
      </c>
      <c r="C11" s="164" t="s">
        <v>179</v>
      </c>
      <c r="D11" s="164" t="s">
        <v>192</v>
      </c>
      <c r="E11" s="10">
        <v>0.83</v>
      </c>
      <c r="G11" s="179" t="s">
        <v>193</v>
      </c>
      <c r="H11" s="96">
        <f>COUNT(E3:E4)</f>
        <v>2</v>
      </c>
      <c r="I11" s="180">
        <f>COUNT(E5:E24)</f>
        <v>20</v>
      </c>
      <c r="J11" s="96">
        <f>COUNT(E25:E94)</f>
        <v>70</v>
      </c>
      <c r="K11" s="96">
        <f>COUNT(E95:E173)</f>
        <v>79</v>
      </c>
      <c r="L11" s="96">
        <f>COUNT(E174:E261)</f>
        <v>88</v>
      </c>
      <c r="M11" s="96">
        <f>COUNT(E262:E268)</f>
        <v>7</v>
      </c>
      <c r="N11" s="96">
        <f>COUNT(E269:E293)</f>
        <v>25</v>
      </c>
      <c r="O11" s="96">
        <f>COUNT(E294:E322)</f>
        <v>29</v>
      </c>
      <c r="P11" s="181">
        <f>COUNT(E323:E331)</f>
        <v>9</v>
      </c>
      <c r="Q11" s="182">
        <f>COUNT(E332:E333)</f>
        <v>2</v>
      </c>
    </row>
    <row r="12" spans="1:20" x14ac:dyDescent="0.2">
      <c r="A12" s="167">
        <v>2012</v>
      </c>
      <c r="B12" s="10">
        <v>88</v>
      </c>
      <c r="C12" s="164" t="s">
        <v>179</v>
      </c>
      <c r="D12" s="164" t="s">
        <v>194</v>
      </c>
      <c r="E12" s="10">
        <v>0.7</v>
      </c>
      <c r="G12" s="183" t="s">
        <v>195</v>
      </c>
      <c r="H12" s="184">
        <f>AVERAGE(E3:E4)</f>
        <v>0.69499999999999995</v>
      </c>
      <c r="I12" s="185">
        <f>AVERAGE(E5:E24)</f>
        <v>0.71950000000000025</v>
      </c>
      <c r="J12" s="184">
        <f>AVERAGE(E25:E94)</f>
        <v>0.69685714285714273</v>
      </c>
      <c r="K12" s="184">
        <f>AVERAGE(E95:E173)</f>
        <v>0.6874683544303799</v>
      </c>
      <c r="L12" s="184">
        <f>AVERAGE(E174:E261)</f>
        <v>0.68590909090909091</v>
      </c>
      <c r="M12" s="184">
        <f>AVERAGE(E262:E268)</f>
        <v>0.62428571428571433</v>
      </c>
      <c r="N12" s="184">
        <f>AVERAGE(E269:E293)</f>
        <v>0.71920000000000006</v>
      </c>
      <c r="O12" s="184">
        <f>AVERAGE(E294:E322)</f>
        <v>0.6499999999999998</v>
      </c>
      <c r="P12" s="186">
        <f>AVERAGE(E323:E331)</f>
        <v>0.66888888888888887</v>
      </c>
      <c r="Q12" s="187">
        <f>AVERAGE(E332:E333)</f>
        <v>0.55499999999999994</v>
      </c>
      <c r="S12" s="7"/>
      <c r="T12" s="7"/>
    </row>
    <row r="13" spans="1:20" ht="17" x14ac:dyDescent="0.2">
      <c r="A13" s="167">
        <v>2012</v>
      </c>
      <c r="B13" s="10">
        <v>88</v>
      </c>
      <c r="C13" s="164" t="s">
        <v>179</v>
      </c>
      <c r="D13" s="164" t="s">
        <v>196</v>
      </c>
      <c r="E13" s="10">
        <v>1.1100000000000001</v>
      </c>
      <c r="G13" s="188" t="s">
        <v>197</v>
      </c>
      <c r="H13" s="189">
        <f>COUNTIF(E3:E4,"&lt;0.15")</f>
        <v>0</v>
      </c>
      <c r="I13" s="190">
        <f>COUNTIF(E5:E24,"&lt;0.15")</f>
        <v>0</v>
      </c>
      <c r="J13" s="189">
        <f>COUNTIF(E25:E94,"&lt;0.15")</f>
        <v>0</v>
      </c>
      <c r="K13" s="189"/>
      <c r="L13" s="189">
        <f>COUNTIF(E174:E261,"&lt;0.15")</f>
        <v>0</v>
      </c>
      <c r="M13" s="189"/>
      <c r="N13" s="189"/>
      <c r="O13" s="189"/>
      <c r="P13" s="191"/>
      <c r="Q13" s="19">
        <v>0</v>
      </c>
    </row>
    <row r="14" spans="1:20" ht="17" x14ac:dyDescent="0.2">
      <c r="A14" s="167">
        <v>2012</v>
      </c>
      <c r="B14" s="10">
        <v>88</v>
      </c>
      <c r="C14" s="164" t="s">
        <v>179</v>
      </c>
      <c r="D14" s="164" t="s">
        <v>198</v>
      </c>
      <c r="E14" s="10">
        <v>0.41</v>
      </c>
      <c r="G14" s="192" t="s">
        <v>199</v>
      </c>
      <c r="H14">
        <v>0</v>
      </c>
      <c r="I14" s="107">
        <f>I11-I16</f>
        <v>0</v>
      </c>
      <c r="J14">
        <f>COUNTIF(E25:E94,"&lt;0.3")</f>
        <v>2</v>
      </c>
      <c r="P14" s="193"/>
      <c r="Q14" s="4">
        <v>0</v>
      </c>
    </row>
    <row r="15" spans="1:20" ht="17" x14ac:dyDescent="0.2">
      <c r="A15" s="167">
        <v>2012</v>
      </c>
      <c r="B15" s="10">
        <v>88</v>
      </c>
      <c r="C15" s="164" t="s">
        <v>179</v>
      </c>
      <c r="D15" s="164" t="s">
        <v>198</v>
      </c>
      <c r="E15" s="10">
        <v>0.41</v>
      </c>
      <c r="G15" s="192" t="s">
        <v>200</v>
      </c>
      <c r="H15">
        <v>0</v>
      </c>
      <c r="I15" s="107">
        <f>I11-I16</f>
        <v>0</v>
      </c>
      <c r="J15">
        <v>7</v>
      </c>
      <c r="L15">
        <v>12</v>
      </c>
      <c r="M15">
        <v>1</v>
      </c>
      <c r="P15" s="193"/>
      <c r="Q15" s="4">
        <v>1</v>
      </c>
    </row>
    <row r="16" spans="1:20" ht="17" x14ac:dyDescent="0.2">
      <c r="A16" s="167">
        <v>2012</v>
      </c>
      <c r="B16" s="10">
        <v>88</v>
      </c>
      <c r="C16" s="164" t="s">
        <v>179</v>
      </c>
      <c r="D16" s="164" t="s">
        <v>198</v>
      </c>
      <c r="E16" s="10">
        <v>0.41</v>
      </c>
      <c r="G16" s="194" t="s">
        <v>201</v>
      </c>
      <c r="H16" s="11">
        <f>COUNT(E3:E4)</f>
        <v>2</v>
      </c>
      <c r="I16" s="195">
        <f>COUNTIF(E5:E24,"&gt;0.4")</f>
        <v>20</v>
      </c>
      <c r="J16" s="11">
        <f>COUNTIF(E25:E94,"&gt;0.4")</f>
        <v>61</v>
      </c>
      <c r="K16" s="11">
        <f>COUNTIF(E95:E173,"&gt;0.4")</f>
        <v>70</v>
      </c>
      <c r="L16" s="11">
        <f>COUNTIF(E174:E261,"&gt;0.4")</f>
        <v>76</v>
      </c>
      <c r="M16" s="11">
        <f>COUNTIF(E262:E268,"&gt;0.4")</f>
        <v>6</v>
      </c>
      <c r="N16" s="11">
        <f>COUNTIF(E269:E293,"&gt;0.4")</f>
        <v>25</v>
      </c>
      <c r="O16" s="11">
        <f>COUNTIF(E294:E322,"&gt;0.41")</f>
        <v>27</v>
      </c>
      <c r="P16" s="196">
        <f>COUNTIF(E323:E331,"&gt;0.4")</f>
        <v>9</v>
      </c>
      <c r="Q16" s="5">
        <v>1</v>
      </c>
    </row>
    <row r="17" spans="1:17" ht="18" thickBot="1" x14ac:dyDescent="0.25">
      <c r="A17" s="167">
        <v>2012</v>
      </c>
      <c r="B17" s="10">
        <v>88</v>
      </c>
      <c r="C17" s="164" t="s">
        <v>179</v>
      </c>
      <c r="D17" s="164" t="s">
        <v>198</v>
      </c>
      <c r="E17" s="10">
        <v>0.46</v>
      </c>
      <c r="G17" s="197" t="s">
        <v>19</v>
      </c>
      <c r="H17" s="198">
        <f t="shared" ref="H17:Q17" si="0">SUM(H13:H16)</f>
        <v>2</v>
      </c>
      <c r="I17" s="199">
        <f t="shared" si="0"/>
        <v>20</v>
      </c>
      <c r="J17" s="200">
        <f t="shared" si="0"/>
        <v>70</v>
      </c>
      <c r="K17" s="200">
        <f t="shared" si="0"/>
        <v>70</v>
      </c>
      <c r="L17" s="200">
        <f>SUM(L13:L16)</f>
        <v>88</v>
      </c>
      <c r="M17" s="200">
        <f t="shared" si="0"/>
        <v>7</v>
      </c>
      <c r="N17" s="200">
        <f t="shared" si="0"/>
        <v>25</v>
      </c>
      <c r="O17" s="200">
        <f t="shared" si="0"/>
        <v>27</v>
      </c>
      <c r="P17" s="201">
        <f t="shared" si="0"/>
        <v>9</v>
      </c>
      <c r="Q17" s="182">
        <f t="shared" si="0"/>
        <v>2</v>
      </c>
    </row>
    <row r="18" spans="1:17" x14ac:dyDescent="0.2">
      <c r="A18" s="167">
        <v>2012</v>
      </c>
      <c r="B18" s="10">
        <v>88</v>
      </c>
      <c r="C18" s="164" t="s">
        <v>179</v>
      </c>
      <c r="D18" s="164" t="s">
        <v>186</v>
      </c>
      <c r="E18" s="10">
        <v>0.66</v>
      </c>
    </row>
    <row r="19" spans="1:17" x14ac:dyDescent="0.2">
      <c r="A19" s="167">
        <v>2012</v>
      </c>
      <c r="B19" s="10">
        <v>88</v>
      </c>
      <c r="C19" s="164" t="s">
        <v>179</v>
      </c>
      <c r="D19" s="164" t="s">
        <v>182</v>
      </c>
      <c r="E19" s="10">
        <v>0.67</v>
      </c>
    </row>
    <row r="20" spans="1:17" ht="17" x14ac:dyDescent="0.2">
      <c r="A20" s="167">
        <v>2012</v>
      </c>
      <c r="B20" s="202">
        <v>88</v>
      </c>
      <c r="C20" s="23" t="s">
        <v>179</v>
      </c>
      <c r="D20" s="164" t="s">
        <v>184</v>
      </c>
      <c r="E20" s="10">
        <v>0.88</v>
      </c>
      <c r="F20" s="203"/>
      <c r="G20" s="204"/>
      <c r="H20" s="188" t="s">
        <v>202</v>
      </c>
      <c r="I20" s="205">
        <v>2012</v>
      </c>
      <c r="J20" s="206">
        <v>2013</v>
      </c>
      <c r="K20" s="207">
        <v>2014</v>
      </c>
      <c r="L20" s="208">
        <v>2015</v>
      </c>
      <c r="M20" s="209">
        <v>2016</v>
      </c>
      <c r="N20" s="210">
        <v>2017</v>
      </c>
      <c r="O20" s="211">
        <v>2018</v>
      </c>
      <c r="P20" s="212">
        <v>2019</v>
      </c>
    </row>
    <row r="21" spans="1:17" ht="17" x14ac:dyDescent="0.2">
      <c r="A21" s="167">
        <v>2012</v>
      </c>
      <c r="B21" s="202">
        <v>88</v>
      </c>
      <c r="C21" s="23" t="s">
        <v>179</v>
      </c>
      <c r="D21" s="164" t="s">
        <v>182</v>
      </c>
      <c r="E21" s="10">
        <v>0.65</v>
      </c>
      <c r="F21" s="203"/>
      <c r="G21" s="204"/>
      <c r="H21" s="192" t="s">
        <v>203</v>
      </c>
      <c r="I21" s="99">
        <f t="shared" ref="I21:P21" si="1">I14/I17</f>
        <v>0</v>
      </c>
      <c r="J21" s="99">
        <f t="shared" si="1"/>
        <v>2.8571428571428571E-2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 t="shared" si="1"/>
        <v>0</v>
      </c>
      <c r="P21" s="213">
        <f t="shared" si="1"/>
        <v>0</v>
      </c>
    </row>
    <row r="22" spans="1:17" ht="17" x14ac:dyDescent="0.2">
      <c r="A22" s="167">
        <v>2012</v>
      </c>
      <c r="B22" s="202">
        <v>88</v>
      </c>
      <c r="C22" s="23" t="s">
        <v>179</v>
      </c>
      <c r="D22" s="164" t="s">
        <v>182</v>
      </c>
      <c r="E22" s="10">
        <v>0.61</v>
      </c>
      <c r="F22" s="203"/>
      <c r="G22" s="204"/>
      <c r="H22" s="192" t="s">
        <v>204</v>
      </c>
      <c r="I22" s="99">
        <f>I15/I17</f>
        <v>0</v>
      </c>
      <c r="J22" s="99">
        <f t="shared" ref="J22:P22" si="2">J15/J17</f>
        <v>0.1</v>
      </c>
      <c r="K22" s="99">
        <f t="shared" si="2"/>
        <v>0</v>
      </c>
      <c r="L22" s="99">
        <f t="shared" si="2"/>
        <v>0.13636363636363635</v>
      </c>
      <c r="M22" s="99">
        <f t="shared" si="2"/>
        <v>0.14285714285714285</v>
      </c>
      <c r="N22" s="99">
        <f t="shared" si="2"/>
        <v>0</v>
      </c>
      <c r="O22" s="99">
        <f t="shared" si="2"/>
        <v>0</v>
      </c>
      <c r="P22" s="213">
        <f t="shared" si="2"/>
        <v>0</v>
      </c>
    </row>
    <row r="23" spans="1:17" ht="17" x14ac:dyDescent="0.2">
      <c r="A23" s="167">
        <v>2012</v>
      </c>
      <c r="B23" s="202">
        <v>88</v>
      </c>
      <c r="C23" s="23" t="s">
        <v>179</v>
      </c>
      <c r="D23" s="164" t="s">
        <v>184</v>
      </c>
      <c r="E23" s="10">
        <v>0.9</v>
      </c>
      <c r="F23" s="203"/>
      <c r="G23" s="204"/>
      <c r="H23" s="194" t="s">
        <v>205</v>
      </c>
      <c r="I23" s="214">
        <f>I16/I17</f>
        <v>1</v>
      </c>
      <c r="J23" s="214">
        <f>J16/J17</f>
        <v>0.87142857142857144</v>
      </c>
      <c r="K23" s="214">
        <f t="shared" ref="K23:P23" si="3">K16/K17</f>
        <v>1</v>
      </c>
      <c r="L23" s="214">
        <f t="shared" si="3"/>
        <v>0.86363636363636365</v>
      </c>
      <c r="M23" s="214">
        <f t="shared" si="3"/>
        <v>0.8571428571428571</v>
      </c>
      <c r="N23" s="214">
        <f t="shared" si="3"/>
        <v>1</v>
      </c>
      <c r="O23" s="214">
        <f t="shared" si="3"/>
        <v>1</v>
      </c>
      <c r="P23" s="215">
        <f t="shared" si="3"/>
        <v>1</v>
      </c>
    </row>
    <row r="24" spans="1:17" x14ac:dyDescent="0.2">
      <c r="A24" s="167">
        <v>2012</v>
      </c>
      <c r="B24" s="202">
        <v>88</v>
      </c>
      <c r="C24" s="23" t="s">
        <v>179</v>
      </c>
      <c r="D24" s="164" t="s">
        <v>206</v>
      </c>
      <c r="E24" s="10">
        <v>0.64</v>
      </c>
      <c r="F24" s="203"/>
      <c r="G24" s="152"/>
    </row>
    <row r="25" spans="1:17" x14ac:dyDescent="0.2">
      <c r="A25" s="216">
        <v>2013</v>
      </c>
      <c r="B25" s="217">
        <v>88</v>
      </c>
      <c r="C25" s="218" t="s">
        <v>179</v>
      </c>
      <c r="D25" s="219" t="s">
        <v>207</v>
      </c>
      <c r="E25" s="10">
        <v>0.44</v>
      </c>
    </row>
    <row r="26" spans="1:17" ht="17" x14ac:dyDescent="0.2">
      <c r="A26" s="216">
        <v>2013</v>
      </c>
      <c r="B26" s="217">
        <v>88</v>
      </c>
      <c r="C26" s="218" t="s">
        <v>179</v>
      </c>
      <c r="D26" s="219" t="s">
        <v>208</v>
      </c>
      <c r="E26" s="10">
        <v>0.24</v>
      </c>
      <c r="G26" s="188" t="s">
        <v>202</v>
      </c>
      <c r="H26" s="169">
        <v>2011</v>
      </c>
      <c r="I26" s="205">
        <v>2012</v>
      </c>
      <c r="J26" s="206">
        <v>2013</v>
      </c>
      <c r="K26" s="207">
        <v>2014</v>
      </c>
      <c r="L26" s="208">
        <v>2015</v>
      </c>
      <c r="M26" s="209">
        <v>2016</v>
      </c>
      <c r="N26" s="210">
        <v>2017</v>
      </c>
      <c r="O26" s="220">
        <v>2018</v>
      </c>
      <c r="P26" s="221">
        <v>2019</v>
      </c>
      <c r="Q26" s="178">
        <v>2020</v>
      </c>
    </row>
    <row r="27" spans="1:17" ht="17" x14ac:dyDescent="0.2">
      <c r="A27" s="216">
        <v>2013</v>
      </c>
      <c r="B27" s="217">
        <v>88</v>
      </c>
      <c r="C27" s="218" t="s">
        <v>179</v>
      </c>
      <c r="D27" s="219" t="s">
        <v>206</v>
      </c>
      <c r="E27" s="10">
        <v>1.01</v>
      </c>
      <c r="G27" s="192" t="s">
        <v>209</v>
      </c>
      <c r="H27">
        <v>0</v>
      </c>
      <c r="I27" s="99">
        <v>0</v>
      </c>
      <c r="J27" s="99">
        <v>2.8571428571428571E-2</v>
      </c>
      <c r="K27" s="99">
        <v>0</v>
      </c>
      <c r="L27" s="99">
        <v>0</v>
      </c>
      <c r="M27" s="99">
        <v>0</v>
      </c>
      <c r="N27" s="99">
        <v>0</v>
      </c>
      <c r="O27" s="99">
        <v>0</v>
      </c>
      <c r="P27" s="99">
        <v>0</v>
      </c>
      <c r="Q27" s="213">
        <v>0</v>
      </c>
    </row>
    <row r="28" spans="1:17" ht="17" x14ac:dyDescent="0.2">
      <c r="A28" s="216">
        <v>2013</v>
      </c>
      <c r="B28" s="217">
        <v>88</v>
      </c>
      <c r="C28" s="218" t="s">
        <v>179</v>
      </c>
      <c r="D28" s="219" t="s">
        <v>206</v>
      </c>
      <c r="E28" s="10">
        <v>0.83</v>
      </c>
      <c r="G28" s="192" t="s">
        <v>210</v>
      </c>
      <c r="H28">
        <v>0</v>
      </c>
      <c r="I28" s="99">
        <v>0</v>
      </c>
      <c r="J28" s="99">
        <v>0.1</v>
      </c>
      <c r="K28" s="99">
        <v>0</v>
      </c>
      <c r="L28" s="99">
        <v>0.13636363636363635</v>
      </c>
      <c r="M28" s="99">
        <v>0.14285714285714285</v>
      </c>
      <c r="N28" s="99">
        <v>0</v>
      </c>
      <c r="O28" s="99">
        <v>0</v>
      </c>
      <c r="P28" s="99">
        <v>0</v>
      </c>
      <c r="Q28" s="213">
        <v>1</v>
      </c>
    </row>
    <row r="29" spans="1:17" ht="17" x14ac:dyDescent="0.2">
      <c r="A29" s="216">
        <v>2013</v>
      </c>
      <c r="B29" s="217">
        <v>88</v>
      </c>
      <c r="C29" s="218" t="s">
        <v>179</v>
      </c>
      <c r="D29" s="219" t="s">
        <v>206</v>
      </c>
      <c r="E29" s="10">
        <v>0.55000000000000004</v>
      </c>
      <c r="G29" s="194" t="s">
        <v>211</v>
      </c>
      <c r="H29" s="11">
        <v>1</v>
      </c>
      <c r="I29" s="214">
        <v>1</v>
      </c>
      <c r="J29" s="214">
        <v>0.87142857142857144</v>
      </c>
      <c r="K29" s="214">
        <v>1</v>
      </c>
      <c r="L29" s="214">
        <v>0.86363636363636365</v>
      </c>
      <c r="M29" s="214">
        <v>0.8571428571428571</v>
      </c>
      <c r="N29" s="214">
        <v>1</v>
      </c>
      <c r="O29" s="214">
        <v>1</v>
      </c>
      <c r="P29" s="214">
        <v>1</v>
      </c>
      <c r="Q29" s="215">
        <v>1</v>
      </c>
    </row>
    <row r="30" spans="1:17" x14ac:dyDescent="0.2">
      <c r="A30" s="216">
        <v>2013</v>
      </c>
      <c r="B30" s="217">
        <v>88</v>
      </c>
      <c r="C30" s="218" t="s">
        <v>179</v>
      </c>
      <c r="D30" s="219" t="s">
        <v>206</v>
      </c>
      <c r="E30" s="10">
        <v>1.0900000000000001</v>
      </c>
    </row>
    <row r="31" spans="1:17" x14ac:dyDescent="0.2">
      <c r="A31" s="216">
        <v>2013</v>
      </c>
      <c r="B31" s="217">
        <v>88</v>
      </c>
      <c r="C31" s="218" t="s">
        <v>179</v>
      </c>
      <c r="D31" s="219" t="s">
        <v>212</v>
      </c>
      <c r="E31" s="10">
        <v>0.56999999999999995</v>
      </c>
    </row>
    <row r="32" spans="1:17" x14ac:dyDescent="0.2">
      <c r="A32" s="216">
        <v>2013</v>
      </c>
      <c r="B32" s="217">
        <v>88</v>
      </c>
      <c r="C32" s="218" t="s">
        <v>179</v>
      </c>
      <c r="D32" s="219" t="s">
        <v>213</v>
      </c>
      <c r="E32" s="10">
        <v>0.65</v>
      </c>
    </row>
    <row r="33" spans="1:7" x14ac:dyDescent="0.2">
      <c r="A33" s="216">
        <v>2013</v>
      </c>
      <c r="B33" s="217">
        <v>88</v>
      </c>
      <c r="C33" s="218" t="s">
        <v>179</v>
      </c>
      <c r="D33" s="219" t="s">
        <v>213</v>
      </c>
      <c r="E33" s="10">
        <v>0.38</v>
      </c>
      <c r="G33" t="s">
        <v>214</v>
      </c>
    </row>
    <row r="34" spans="1:7" x14ac:dyDescent="0.2">
      <c r="A34" s="216">
        <v>2013</v>
      </c>
      <c r="B34" s="217">
        <v>88</v>
      </c>
      <c r="C34" s="218" t="s">
        <v>179</v>
      </c>
      <c r="D34" s="219" t="s">
        <v>213</v>
      </c>
      <c r="E34" s="10">
        <v>0.37</v>
      </c>
    </row>
    <row r="35" spans="1:7" x14ac:dyDescent="0.2">
      <c r="A35" s="216">
        <v>2013</v>
      </c>
      <c r="B35" s="217">
        <v>88</v>
      </c>
      <c r="C35" s="218" t="s">
        <v>179</v>
      </c>
      <c r="D35" s="219" t="s">
        <v>213</v>
      </c>
      <c r="E35" s="10">
        <v>0.41</v>
      </c>
    </row>
    <row r="36" spans="1:7" x14ac:dyDescent="0.2">
      <c r="A36" s="216">
        <v>2013</v>
      </c>
      <c r="B36" s="217">
        <v>88</v>
      </c>
      <c r="C36" s="218" t="s">
        <v>179</v>
      </c>
      <c r="D36" s="219" t="s">
        <v>215</v>
      </c>
      <c r="E36" s="10">
        <v>0.49</v>
      </c>
    </row>
    <row r="37" spans="1:7" x14ac:dyDescent="0.2">
      <c r="A37" s="216">
        <v>2013</v>
      </c>
      <c r="B37" s="217">
        <v>88</v>
      </c>
      <c r="C37" s="218" t="s">
        <v>179</v>
      </c>
      <c r="D37" s="219" t="s">
        <v>215</v>
      </c>
      <c r="E37" s="10">
        <v>0.41</v>
      </c>
    </row>
    <row r="38" spans="1:7" x14ac:dyDescent="0.2">
      <c r="A38" s="216">
        <v>2013</v>
      </c>
      <c r="B38" s="217">
        <v>88</v>
      </c>
      <c r="C38" s="218" t="s">
        <v>179</v>
      </c>
      <c r="D38" s="219" t="s">
        <v>215</v>
      </c>
      <c r="E38" s="10">
        <v>0.55000000000000004</v>
      </c>
    </row>
    <row r="39" spans="1:7" x14ac:dyDescent="0.2">
      <c r="A39" s="216">
        <v>2013</v>
      </c>
      <c r="B39" s="217">
        <v>88</v>
      </c>
      <c r="C39" s="218" t="s">
        <v>179</v>
      </c>
      <c r="D39" s="219" t="s">
        <v>216</v>
      </c>
      <c r="E39" s="10">
        <v>0.47</v>
      </c>
    </row>
    <row r="40" spans="1:7" x14ac:dyDescent="0.2">
      <c r="A40" s="216">
        <v>2013</v>
      </c>
      <c r="B40" s="217">
        <v>88</v>
      </c>
      <c r="C40" s="218" t="s">
        <v>179</v>
      </c>
      <c r="D40" s="219" t="s">
        <v>217</v>
      </c>
      <c r="E40" s="10">
        <v>1.01</v>
      </c>
    </row>
    <row r="41" spans="1:7" x14ac:dyDescent="0.2">
      <c r="A41" s="216">
        <v>2013</v>
      </c>
      <c r="B41" s="217">
        <v>88</v>
      </c>
      <c r="C41" s="218" t="s">
        <v>179</v>
      </c>
      <c r="D41" s="219" t="s">
        <v>186</v>
      </c>
      <c r="E41" s="10">
        <v>0.28000000000000003</v>
      </c>
    </row>
    <row r="42" spans="1:7" x14ac:dyDescent="0.2">
      <c r="A42" s="216">
        <v>2013</v>
      </c>
      <c r="B42" s="217">
        <v>88</v>
      </c>
      <c r="C42" s="218" t="s">
        <v>179</v>
      </c>
      <c r="D42" s="219" t="s">
        <v>186</v>
      </c>
      <c r="E42" s="10">
        <v>0.39</v>
      </c>
    </row>
    <row r="43" spans="1:7" x14ac:dyDescent="0.2">
      <c r="A43" s="216">
        <v>2013</v>
      </c>
      <c r="B43" s="217">
        <v>88</v>
      </c>
      <c r="C43" s="218" t="s">
        <v>179</v>
      </c>
      <c r="D43" s="219" t="s">
        <v>207</v>
      </c>
      <c r="E43" s="10">
        <v>0.36</v>
      </c>
    </row>
    <row r="44" spans="1:7" x14ac:dyDescent="0.2">
      <c r="A44" s="216">
        <v>2013</v>
      </c>
      <c r="B44" s="217">
        <v>88</v>
      </c>
      <c r="C44" s="218" t="s">
        <v>179</v>
      </c>
      <c r="D44" s="219" t="s">
        <v>180</v>
      </c>
      <c r="E44" s="10">
        <v>0.7</v>
      </c>
    </row>
    <row r="45" spans="1:7" x14ac:dyDescent="0.2">
      <c r="A45" s="216">
        <v>2013</v>
      </c>
      <c r="B45" s="217">
        <v>88</v>
      </c>
      <c r="C45" s="218" t="s">
        <v>179</v>
      </c>
      <c r="D45" s="219" t="s">
        <v>180</v>
      </c>
      <c r="E45" s="10">
        <v>1.05</v>
      </c>
    </row>
    <row r="46" spans="1:7" x14ac:dyDescent="0.2">
      <c r="A46" s="216">
        <v>2013</v>
      </c>
      <c r="B46" s="217">
        <v>88</v>
      </c>
      <c r="C46" s="218" t="s">
        <v>179</v>
      </c>
      <c r="D46" s="219" t="s">
        <v>180</v>
      </c>
      <c r="E46" s="10">
        <v>1.04</v>
      </c>
    </row>
    <row r="47" spans="1:7" x14ac:dyDescent="0.2">
      <c r="A47" s="216">
        <v>2013</v>
      </c>
      <c r="B47" s="217">
        <v>88</v>
      </c>
      <c r="C47" s="218" t="s">
        <v>179</v>
      </c>
      <c r="D47" s="219" t="s">
        <v>218</v>
      </c>
      <c r="E47" s="10">
        <v>1.01</v>
      </c>
    </row>
    <row r="48" spans="1:7" x14ac:dyDescent="0.2">
      <c r="A48" s="216">
        <v>2013</v>
      </c>
      <c r="B48" s="217">
        <v>88</v>
      </c>
      <c r="C48" s="218" t="s">
        <v>179</v>
      </c>
      <c r="D48" s="219" t="s">
        <v>218</v>
      </c>
      <c r="E48" s="10">
        <v>1.02</v>
      </c>
    </row>
    <row r="49" spans="1:5" x14ac:dyDescent="0.2">
      <c r="A49" s="216">
        <v>2013</v>
      </c>
      <c r="B49" s="217">
        <v>88</v>
      </c>
      <c r="C49" s="218" t="s">
        <v>179</v>
      </c>
      <c r="D49" s="219" t="s">
        <v>206</v>
      </c>
      <c r="E49" s="10">
        <v>0.61</v>
      </c>
    </row>
    <row r="50" spans="1:5" x14ac:dyDescent="0.2">
      <c r="A50" s="216">
        <v>2013</v>
      </c>
      <c r="B50" s="217">
        <v>88</v>
      </c>
      <c r="C50" s="218" t="s">
        <v>179</v>
      </c>
      <c r="D50" s="219" t="s">
        <v>206</v>
      </c>
      <c r="E50" s="10">
        <v>0.67</v>
      </c>
    </row>
    <row r="51" spans="1:5" x14ac:dyDescent="0.2">
      <c r="A51" s="216">
        <v>2013</v>
      </c>
      <c r="B51" s="217">
        <v>88</v>
      </c>
      <c r="C51" s="218" t="s">
        <v>179</v>
      </c>
      <c r="D51" s="219" t="s">
        <v>186</v>
      </c>
      <c r="E51" s="10">
        <v>0.61</v>
      </c>
    </row>
    <row r="52" spans="1:5" x14ac:dyDescent="0.2">
      <c r="A52" s="216">
        <v>2013</v>
      </c>
      <c r="B52" s="217">
        <v>88</v>
      </c>
      <c r="C52" s="218" t="s">
        <v>179</v>
      </c>
      <c r="D52" s="219" t="s">
        <v>186</v>
      </c>
      <c r="E52" s="10">
        <v>0.61</v>
      </c>
    </row>
    <row r="53" spans="1:5" x14ac:dyDescent="0.2">
      <c r="A53" s="216">
        <v>2013</v>
      </c>
      <c r="B53" s="217">
        <v>88</v>
      </c>
      <c r="C53" s="218" t="s">
        <v>179</v>
      </c>
      <c r="D53" s="219" t="s">
        <v>192</v>
      </c>
      <c r="E53" s="10">
        <v>0.78</v>
      </c>
    </row>
    <row r="54" spans="1:5" x14ac:dyDescent="0.2">
      <c r="A54" s="216">
        <v>2013</v>
      </c>
      <c r="B54" s="217">
        <v>88</v>
      </c>
      <c r="C54" s="218" t="s">
        <v>179</v>
      </c>
      <c r="D54" s="219" t="s">
        <v>192</v>
      </c>
      <c r="E54" s="10">
        <v>0.82</v>
      </c>
    </row>
    <row r="55" spans="1:5" x14ac:dyDescent="0.2">
      <c r="A55" s="216">
        <v>2013</v>
      </c>
      <c r="B55" s="217">
        <v>88</v>
      </c>
      <c r="C55" s="218" t="s">
        <v>179</v>
      </c>
      <c r="D55" s="219" t="s">
        <v>192</v>
      </c>
      <c r="E55" s="10">
        <v>0.83</v>
      </c>
    </row>
    <row r="56" spans="1:5" x14ac:dyDescent="0.2">
      <c r="A56" s="216">
        <v>2013</v>
      </c>
      <c r="B56" s="217">
        <v>88</v>
      </c>
      <c r="C56" s="218" t="s">
        <v>179</v>
      </c>
      <c r="D56" s="219" t="s">
        <v>219</v>
      </c>
      <c r="E56" s="10">
        <v>0.83</v>
      </c>
    </row>
    <row r="57" spans="1:5" x14ac:dyDescent="0.2">
      <c r="A57" s="216">
        <v>2013</v>
      </c>
      <c r="B57" s="217">
        <v>88</v>
      </c>
      <c r="C57" s="218" t="s">
        <v>179</v>
      </c>
      <c r="D57" s="219" t="s">
        <v>219</v>
      </c>
      <c r="E57" s="10">
        <v>0.79</v>
      </c>
    </row>
    <row r="58" spans="1:5" x14ac:dyDescent="0.2">
      <c r="A58" s="216">
        <v>2013</v>
      </c>
      <c r="B58" s="217">
        <v>88</v>
      </c>
      <c r="C58" s="218" t="s">
        <v>179</v>
      </c>
      <c r="D58" s="219" t="s">
        <v>219</v>
      </c>
      <c r="E58" s="10">
        <v>0.78</v>
      </c>
    </row>
    <row r="59" spans="1:5" x14ac:dyDescent="0.2">
      <c r="A59" s="216">
        <v>2013</v>
      </c>
      <c r="B59" s="217">
        <v>88</v>
      </c>
      <c r="C59" s="218" t="s">
        <v>179</v>
      </c>
      <c r="D59" s="219" t="s">
        <v>184</v>
      </c>
      <c r="E59" s="10">
        <v>1</v>
      </c>
    </row>
    <row r="60" spans="1:5" x14ac:dyDescent="0.2">
      <c r="A60" s="216">
        <v>2013</v>
      </c>
      <c r="B60" s="217">
        <v>88</v>
      </c>
      <c r="C60" s="218" t="s">
        <v>179</v>
      </c>
      <c r="D60" s="219" t="s">
        <v>184</v>
      </c>
      <c r="E60" s="10">
        <v>1</v>
      </c>
    </row>
    <row r="61" spans="1:5" x14ac:dyDescent="0.2">
      <c r="A61" s="216">
        <v>2013</v>
      </c>
      <c r="B61" s="217">
        <v>88</v>
      </c>
      <c r="C61" s="218" t="s">
        <v>179</v>
      </c>
      <c r="D61" s="219" t="s">
        <v>184</v>
      </c>
      <c r="E61" s="10">
        <v>0.99</v>
      </c>
    </row>
    <row r="62" spans="1:5" x14ac:dyDescent="0.2">
      <c r="A62" s="216">
        <v>2013</v>
      </c>
      <c r="B62" s="217">
        <v>88</v>
      </c>
      <c r="C62" s="218" t="s">
        <v>179</v>
      </c>
      <c r="D62" s="219" t="s">
        <v>220</v>
      </c>
      <c r="E62" s="10">
        <v>0.9</v>
      </c>
    </row>
    <row r="63" spans="1:5" x14ac:dyDescent="0.2">
      <c r="A63" s="216">
        <v>2013</v>
      </c>
      <c r="B63" s="217">
        <v>88</v>
      </c>
      <c r="C63" s="218" t="s">
        <v>179</v>
      </c>
      <c r="D63" s="219" t="s">
        <v>220</v>
      </c>
      <c r="E63" s="10">
        <v>0.93</v>
      </c>
    </row>
    <row r="64" spans="1:5" x14ac:dyDescent="0.2">
      <c r="A64" s="216">
        <v>2013</v>
      </c>
      <c r="B64" s="217">
        <v>88</v>
      </c>
      <c r="C64" s="218" t="s">
        <v>179</v>
      </c>
      <c r="D64" s="219" t="s">
        <v>220</v>
      </c>
      <c r="E64" s="10">
        <v>0.8</v>
      </c>
    </row>
    <row r="65" spans="1:5" x14ac:dyDescent="0.2">
      <c r="A65" s="216">
        <v>2013</v>
      </c>
      <c r="B65" s="217">
        <v>88</v>
      </c>
      <c r="C65" s="218" t="s">
        <v>179</v>
      </c>
      <c r="D65" s="219" t="s">
        <v>220</v>
      </c>
      <c r="E65" s="10">
        <v>0.78</v>
      </c>
    </row>
    <row r="66" spans="1:5" x14ac:dyDescent="0.2">
      <c r="A66" s="216">
        <v>2013</v>
      </c>
      <c r="B66" s="217">
        <v>88</v>
      </c>
      <c r="C66" s="218" t="s">
        <v>179</v>
      </c>
      <c r="D66" s="219" t="s">
        <v>217</v>
      </c>
      <c r="E66" s="10">
        <v>0.53</v>
      </c>
    </row>
    <row r="67" spans="1:5" x14ac:dyDescent="0.2">
      <c r="A67" s="216">
        <v>2013</v>
      </c>
      <c r="B67" s="217">
        <v>88</v>
      </c>
      <c r="C67" s="218" t="s">
        <v>179</v>
      </c>
      <c r="D67" s="219" t="s">
        <v>213</v>
      </c>
      <c r="E67" s="10">
        <v>1.05</v>
      </c>
    </row>
    <row r="68" spans="1:5" x14ac:dyDescent="0.2">
      <c r="A68" s="216">
        <v>2013</v>
      </c>
      <c r="B68" s="217">
        <v>88</v>
      </c>
      <c r="C68" s="218" t="s">
        <v>179</v>
      </c>
      <c r="D68" s="219" t="s">
        <v>215</v>
      </c>
      <c r="E68" s="10">
        <v>1.02</v>
      </c>
    </row>
    <row r="69" spans="1:5" x14ac:dyDescent="0.2">
      <c r="A69" s="216">
        <v>2013</v>
      </c>
      <c r="B69" s="217">
        <v>88</v>
      </c>
      <c r="C69" s="218" t="s">
        <v>179</v>
      </c>
      <c r="D69" s="219" t="s">
        <v>220</v>
      </c>
      <c r="E69" s="10">
        <v>0.96</v>
      </c>
    </row>
    <row r="70" spans="1:5" x14ac:dyDescent="0.2">
      <c r="A70" s="216">
        <v>2013</v>
      </c>
      <c r="B70" s="217">
        <v>88</v>
      </c>
      <c r="C70" s="218" t="s">
        <v>179</v>
      </c>
      <c r="D70" s="219" t="s">
        <v>221</v>
      </c>
      <c r="E70" s="10">
        <v>0.51</v>
      </c>
    </row>
    <row r="71" spans="1:5" x14ac:dyDescent="0.2">
      <c r="A71" s="216">
        <v>2013</v>
      </c>
      <c r="B71" s="217">
        <v>88</v>
      </c>
      <c r="C71" s="218" t="s">
        <v>179</v>
      </c>
      <c r="D71" s="219" t="s">
        <v>186</v>
      </c>
      <c r="E71" s="10">
        <v>0.45</v>
      </c>
    </row>
    <row r="72" spans="1:5" x14ac:dyDescent="0.2">
      <c r="A72" s="216">
        <v>2013</v>
      </c>
      <c r="B72" s="217">
        <v>88</v>
      </c>
      <c r="C72" s="218" t="s">
        <v>179</v>
      </c>
      <c r="D72" s="219" t="s">
        <v>222</v>
      </c>
      <c r="E72" s="10">
        <v>0.63</v>
      </c>
    </row>
    <row r="73" spans="1:5" x14ac:dyDescent="0.2">
      <c r="A73" s="216">
        <v>2013</v>
      </c>
      <c r="B73" s="217">
        <v>88</v>
      </c>
      <c r="C73" s="218" t="s">
        <v>179</v>
      </c>
      <c r="D73" s="219" t="s">
        <v>222</v>
      </c>
      <c r="E73" s="10">
        <v>0.44</v>
      </c>
    </row>
    <row r="74" spans="1:5" x14ac:dyDescent="0.2">
      <c r="A74" s="216">
        <v>2013</v>
      </c>
      <c r="B74" s="217">
        <v>88</v>
      </c>
      <c r="C74" s="218" t="s">
        <v>179</v>
      </c>
      <c r="D74" s="219" t="s">
        <v>223</v>
      </c>
      <c r="E74" s="10">
        <v>0.79</v>
      </c>
    </row>
    <row r="75" spans="1:5" x14ac:dyDescent="0.2">
      <c r="A75" s="216">
        <v>2013</v>
      </c>
      <c r="B75" s="217">
        <v>88</v>
      </c>
      <c r="C75" s="218" t="s">
        <v>179</v>
      </c>
      <c r="D75" s="219" t="s">
        <v>186</v>
      </c>
      <c r="E75" s="10">
        <v>0.92</v>
      </c>
    </row>
    <row r="76" spans="1:5" x14ac:dyDescent="0.2">
      <c r="A76" s="216">
        <v>2013</v>
      </c>
      <c r="B76" s="217">
        <v>88</v>
      </c>
      <c r="C76" s="218" t="s">
        <v>179</v>
      </c>
      <c r="D76" s="219" t="s">
        <v>194</v>
      </c>
      <c r="E76" s="10">
        <v>0.84</v>
      </c>
    </row>
    <row r="77" spans="1:5" x14ac:dyDescent="0.2">
      <c r="A77" s="216">
        <v>2013</v>
      </c>
      <c r="B77" s="217">
        <v>88</v>
      </c>
      <c r="C77" s="218" t="s">
        <v>179</v>
      </c>
      <c r="D77" s="219" t="s">
        <v>223</v>
      </c>
      <c r="E77" s="10">
        <v>0.47</v>
      </c>
    </row>
    <row r="78" spans="1:5" x14ac:dyDescent="0.2">
      <c r="A78" s="216">
        <v>2013</v>
      </c>
      <c r="B78" s="217">
        <v>88</v>
      </c>
      <c r="C78" s="218" t="s">
        <v>179</v>
      </c>
      <c r="D78" s="219" t="s">
        <v>180</v>
      </c>
      <c r="E78" s="10">
        <v>0.82</v>
      </c>
    </row>
    <row r="79" spans="1:5" x14ac:dyDescent="0.2">
      <c r="A79" s="216">
        <v>2013</v>
      </c>
      <c r="B79" s="217">
        <v>88</v>
      </c>
      <c r="C79" s="218" t="s">
        <v>179</v>
      </c>
      <c r="D79" s="219" t="s">
        <v>196</v>
      </c>
      <c r="E79" s="10">
        <v>0.89</v>
      </c>
    </row>
    <row r="80" spans="1:5" x14ac:dyDescent="0.2">
      <c r="A80" s="216">
        <v>2013</v>
      </c>
      <c r="B80" s="217">
        <v>88</v>
      </c>
      <c r="C80" s="218" t="s">
        <v>179</v>
      </c>
      <c r="D80" s="219" t="s">
        <v>224</v>
      </c>
      <c r="E80" s="10">
        <v>0.32</v>
      </c>
    </row>
    <row r="81" spans="1:5" x14ac:dyDescent="0.2">
      <c r="A81" s="216">
        <v>2013</v>
      </c>
      <c r="B81" s="217">
        <v>88</v>
      </c>
      <c r="C81" s="218" t="s">
        <v>179</v>
      </c>
      <c r="D81" s="219" t="s">
        <v>225</v>
      </c>
      <c r="E81" s="10">
        <v>0.87</v>
      </c>
    </row>
    <row r="82" spans="1:5" x14ac:dyDescent="0.2">
      <c r="A82" s="216">
        <v>2013</v>
      </c>
      <c r="B82" s="217">
        <v>88</v>
      </c>
      <c r="C82" s="218" t="s">
        <v>179</v>
      </c>
      <c r="D82" s="219" t="s">
        <v>186</v>
      </c>
      <c r="E82" s="10">
        <v>0.54</v>
      </c>
    </row>
    <row r="83" spans="1:5" x14ac:dyDescent="0.2">
      <c r="A83" s="216">
        <v>2013</v>
      </c>
      <c r="B83" s="217">
        <v>88</v>
      </c>
      <c r="C83" s="218" t="s">
        <v>179</v>
      </c>
      <c r="D83" s="219" t="s">
        <v>186</v>
      </c>
      <c r="E83" s="10">
        <v>0.52</v>
      </c>
    </row>
    <row r="84" spans="1:5" x14ac:dyDescent="0.2">
      <c r="A84" s="216">
        <v>2013</v>
      </c>
      <c r="B84" s="217">
        <v>88</v>
      </c>
      <c r="C84" s="218" t="s">
        <v>179</v>
      </c>
      <c r="D84" s="219" t="s">
        <v>186</v>
      </c>
      <c r="E84" s="10">
        <v>0.68</v>
      </c>
    </row>
    <row r="85" spans="1:5" x14ac:dyDescent="0.2">
      <c r="A85" s="216">
        <v>2013</v>
      </c>
      <c r="B85" s="217">
        <v>88</v>
      </c>
      <c r="C85" s="218" t="s">
        <v>179</v>
      </c>
      <c r="D85" s="219" t="s">
        <v>186</v>
      </c>
      <c r="E85" s="10">
        <v>0.67</v>
      </c>
    </row>
    <row r="86" spans="1:5" x14ac:dyDescent="0.2">
      <c r="A86" s="216">
        <v>2013</v>
      </c>
      <c r="B86" s="217">
        <v>88</v>
      </c>
      <c r="C86" s="218" t="s">
        <v>179</v>
      </c>
      <c r="D86" s="219" t="s">
        <v>186</v>
      </c>
      <c r="E86" s="10">
        <v>0.45</v>
      </c>
    </row>
    <row r="87" spans="1:5" x14ac:dyDescent="0.2">
      <c r="A87" s="216">
        <v>2013</v>
      </c>
      <c r="B87" s="217">
        <v>88</v>
      </c>
      <c r="C87" s="218" t="s">
        <v>179</v>
      </c>
      <c r="D87" s="219" t="s">
        <v>226</v>
      </c>
      <c r="E87" s="10">
        <v>0.6</v>
      </c>
    </row>
    <row r="88" spans="1:5" x14ac:dyDescent="0.2">
      <c r="A88" s="216">
        <v>2013</v>
      </c>
      <c r="B88" s="217">
        <v>88</v>
      </c>
      <c r="C88" s="218" t="s">
        <v>179</v>
      </c>
      <c r="D88" s="219" t="s">
        <v>220</v>
      </c>
      <c r="E88" s="10">
        <v>0.91</v>
      </c>
    </row>
    <row r="89" spans="1:5" x14ac:dyDescent="0.2">
      <c r="A89" s="216">
        <v>2013</v>
      </c>
      <c r="B89" s="217">
        <v>88</v>
      </c>
      <c r="C89" s="218" t="s">
        <v>179</v>
      </c>
      <c r="D89" s="219" t="s">
        <v>220</v>
      </c>
      <c r="E89" s="10">
        <v>0.94</v>
      </c>
    </row>
    <row r="90" spans="1:5" x14ac:dyDescent="0.2">
      <c r="A90" s="216">
        <v>2013</v>
      </c>
      <c r="B90" s="217">
        <v>88</v>
      </c>
      <c r="C90" s="218" t="s">
        <v>179</v>
      </c>
      <c r="D90" s="219" t="s">
        <v>180</v>
      </c>
      <c r="E90" s="10">
        <v>0.86</v>
      </c>
    </row>
    <row r="91" spans="1:5" x14ac:dyDescent="0.2">
      <c r="A91" s="216">
        <v>2013</v>
      </c>
      <c r="B91" s="217">
        <v>88</v>
      </c>
      <c r="C91" s="218" t="s">
        <v>179</v>
      </c>
      <c r="D91" s="219" t="s">
        <v>227</v>
      </c>
      <c r="E91" s="10">
        <v>0.37</v>
      </c>
    </row>
    <row r="92" spans="1:5" x14ac:dyDescent="0.2">
      <c r="A92" s="216">
        <v>2013</v>
      </c>
      <c r="B92" s="217">
        <v>88</v>
      </c>
      <c r="C92" s="218" t="s">
        <v>179</v>
      </c>
      <c r="D92" s="219" t="s">
        <v>227</v>
      </c>
      <c r="E92" s="10">
        <v>0.37</v>
      </c>
    </row>
    <row r="93" spans="1:5" x14ac:dyDescent="0.2">
      <c r="A93" s="216">
        <v>2013</v>
      </c>
      <c r="B93" s="217">
        <v>88</v>
      </c>
      <c r="C93" s="218" t="s">
        <v>179</v>
      </c>
      <c r="D93" s="219" t="s">
        <v>228</v>
      </c>
      <c r="E93" s="10">
        <v>0.53</v>
      </c>
    </row>
    <row r="94" spans="1:5" x14ac:dyDescent="0.2">
      <c r="A94" s="216">
        <v>2013</v>
      </c>
      <c r="B94" s="217">
        <v>88</v>
      </c>
      <c r="C94" s="218" t="s">
        <v>179</v>
      </c>
      <c r="D94" s="219" t="s">
        <v>217</v>
      </c>
      <c r="E94" s="10">
        <v>0.78</v>
      </c>
    </row>
    <row r="95" spans="1:5" x14ac:dyDescent="0.2">
      <c r="A95" s="222">
        <v>2014</v>
      </c>
      <c r="B95" s="217">
        <v>88</v>
      </c>
      <c r="C95" s="218" t="s">
        <v>179</v>
      </c>
      <c r="D95" s="218" t="s">
        <v>220</v>
      </c>
      <c r="E95" s="10">
        <v>1</v>
      </c>
    </row>
    <row r="96" spans="1:5" x14ac:dyDescent="0.2">
      <c r="A96" s="222">
        <v>2014</v>
      </c>
      <c r="B96" s="217">
        <v>88</v>
      </c>
      <c r="C96" s="218" t="s">
        <v>179</v>
      </c>
      <c r="D96" s="218" t="s">
        <v>206</v>
      </c>
      <c r="E96" s="10">
        <v>0.81</v>
      </c>
    </row>
    <row r="97" spans="1:5" x14ac:dyDescent="0.2">
      <c r="A97" s="222">
        <v>2014</v>
      </c>
      <c r="B97" s="217">
        <v>88</v>
      </c>
      <c r="C97" s="218" t="s">
        <v>179</v>
      </c>
      <c r="D97" s="218" t="s">
        <v>206</v>
      </c>
      <c r="E97" s="10">
        <v>0.47</v>
      </c>
    </row>
    <row r="98" spans="1:5" x14ac:dyDescent="0.2">
      <c r="A98" s="222">
        <v>2014</v>
      </c>
      <c r="B98" s="217">
        <v>88</v>
      </c>
      <c r="C98" s="218" t="s">
        <v>179</v>
      </c>
      <c r="D98" s="218" t="s">
        <v>206</v>
      </c>
      <c r="E98" s="10">
        <v>0.43</v>
      </c>
    </row>
    <row r="99" spans="1:5" x14ac:dyDescent="0.2">
      <c r="A99" s="222">
        <v>2014</v>
      </c>
      <c r="B99" s="217">
        <v>88</v>
      </c>
      <c r="C99" s="218" t="s">
        <v>179</v>
      </c>
      <c r="D99" s="218" t="s">
        <v>213</v>
      </c>
      <c r="E99" s="10">
        <v>0.65</v>
      </c>
    </row>
    <row r="100" spans="1:5" x14ac:dyDescent="0.2">
      <c r="A100" s="222">
        <v>2014</v>
      </c>
      <c r="B100" s="217">
        <v>88</v>
      </c>
      <c r="C100" s="218" t="s">
        <v>179</v>
      </c>
      <c r="D100" s="218" t="s">
        <v>213</v>
      </c>
      <c r="E100" s="10">
        <v>0.34</v>
      </c>
    </row>
    <row r="101" spans="1:5" x14ac:dyDescent="0.2">
      <c r="A101" s="222">
        <v>2014</v>
      </c>
      <c r="B101" s="217">
        <v>88</v>
      </c>
      <c r="C101" s="218" t="s">
        <v>179</v>
      </c>
      <c r="D101" s="218" t="s">
        <v>213</v>
      </c>
      <c r="E101" s="10">
        <v>0.53</v>
      </c>
    </row>
    <row r="102" spans="1:5" x14ac:dyDescent="0.2">
      <c r="A102" s="222">
        <v>2014</v>
      </c>
      <c r="B102" s="217">
        <v>88</v>
      </c>
      <c r="C102" s="218" t="s">
        <v>179</v>
      </c>
      <c r="D102" s="218" t="s">
        <v>186</v>
      </c>
      <c r="E102" s="10">
        <v>0.63</v>
      </c>
    </row>
    <row r="103" spans="1:5" x14ac:dyDescent="0.2">
      <c r="A103" s="222">
        <v>2014</v>
      </c>
      <c r="B103" s="217">
        <v>88</v>
      </c>
      <c r="C103" s="218" t="s">
        <v>179</v>
      </c>
      <c r="D103" s="218" t="s">
        <v>215</v>
      </c>
      <c r="E103" s="10">
        <v>0.38</v>
      </c>
    </row>
    <row r="104" spans="1:5" x14ac:dyDescent="0.2">
      <c r="A104" s="222">
        <v>2014</v>
      </c>
      <c r="B104" s="217">
        <v>88</v>
      </c>
      <c r="C104" s="218" t="s">
        <v>179</v>
      </c>
      <c r="D104" s="218" t="s">
        <v>206</v>
      </c>
      <c r="E104" s="10">
        <v>0.55000000000000004</v>
      </c>
    </row>
    <row r="105" spans="1:5" x14ac:dyDescent="0.2">
      <c r="A105" s="222">
        <v>2014</v>
      </c>
      <c r="B105" s="217">
        <v>88</v>
      </c>
      <c r="C105" s="218" t="s">
        <v>179</v>
      </c>
      <c r="D105" s="218" t="s">
        <v>215</v>
      </c>
      <c r="E105" s="10">
        <v>0.77</v>
      </c>
    </row>
    <row r="106" spans="1:5" x14ac:dyDescent="0.2">
      <c r="A106" s="222">
        <v>2014</v>
      </c>
      <c r="B106" s="217">
        <v>88</v>
      </c>
      <c r="C106" s="218" t="s">
        <v>179</v>
      </c>
      <c r="D106" s="218" t="s">
        <v>229</v>
      </c>
      <c r="E106" s="10">
        <v>0.62</v>
      </c>
    </row>
    <row r="107" spans="1:5" x14ac:dyDescent="0.2">
      <c r="A107" s="222">
        <v>2014</v>
      </c>
      <c r="B107" s="217">
        <v>88</v>
      </c>
      <c r="C107" s="218" t="s">
        <v>179</v>
      </c>
      <c r="D107" s="218" t="s">
        <v>229</v>
      </c>
      <c r="E107" s="10">
        <v>0.62</v>
      </c>
    </row>
    <row r="108" spans="1:5" x14ac:dyDescent="0.2">
      <c r="A108" s="222">
        <v>2014</v>
      </c>
      <c r="B108" s="217">
        <v>88</v>
      </c>
      <c r="C108" s="218" t="s">
        <v>179</v>
      </c>
      <c r="D108" s="218" t="s">
        <v>229</v>
      </c>
      <c r="E108" s="10">
        <v>0.63</v>
      </c>
    </row>
    <row r="109" spans="1:5" x14ac:dyDescent="0.2">
      <c r="A109" s="222">
        <v>2014</v>
      </c>
      <c r="B109" s="217">
        <v>88</v>
      </c>
      <c r="C109" s="218" t="s">
        <v>179</v>
      </c>
      <c r="D109" s="218" t="s">
        <v>230</v>
      </c>
      <c r="E109" s="10">
        <v>0.66</v>
      </c>
    </row>
    <row r="110" spans="1:5" x14ac:dyDescent="0.2">
      <c r="A110" s="222">
        <v>2014</v>
      </c>
      <c r="B110" s="217">
        <v>88</v>
      </c>
      <c r="C110" s="218" t="s">
        <v>179</v>
      </c>
      <c r="D110" s="218" t="s">
        <v>230</v>
      </c>
      <c r="E110" s="10">
        <v>0.67</v>
      </c>
    </row>
    <row r="111" spans="1:5" x14ac:dyDescent="0.2">
      <c r="A111" s="222">
        <v>2014</v>
      </c>
      <c r="B111" s="217">
        <v>88</v>
      </c>
      <c r="C111" s="218" t="s">
        <v>179</v>
      </c>
      <c r="D111" s="218" t="s">
        <v>186</v>
      </c>
      <c r="E111" s="10">
        <v>0.91</v>
      </c>
    </row>
    <row r="112" spans="1:5" x14ac:dyDescent="0.2">
      <c r="A112" s="222">
        <v>2014</v>
      </c>
      <c r="B112" s="217">
        <v>88</v>
      </c>
      <c r="C112" s="218" t="s">
        <v>179</v>
      </c>
      <c r="D112" s="218" t="s">
        <v>186</v>
      </c>
      <c r="E112" s="10">
        <v>0.92</v>
      </c>
    </row>
    <row r="113" spans="1:5" x14ac:dyDescent="0.2">
      <c r="A113" s="222">
        <v>2014</v>
      </c>
      <c r="B113" s="217">
        <v>88</v>
      </c>
      <c r="C113" s="218" t="s">
        <v>179</v>
      </c>
      <c r="D113" s="218" t="s">
        <v>227</v>
      </c>
      <c r="E113" s="10">
        <v>0.43</v>
      </c>
    </row>
    <row r="114" spans="1:5" x14ac:dyDescent="0.2">
      <c r="A114" s="222">
        <v>2014</v>
      </c>
      <c r="B114" s="217">
        <v>88</v>
      </c>
      <c r="C114" s="218" t="s">
        <v>179</v>
      </c>
      <c r="D114" s="218" t="s">
        <v>180</v>
      </c>
      <c r="E114" s="10">
        <v>0.76</v>
      </c>
    </row>
    <row r="115" spans="1:5" x14ac:dyDescent="0.2">
      <c r="A115" s="222">
        <v>2014</v>
      </c>
      <c r="B115" s="217">
        <v>88</v>
      </c>
      <c r="C115" s="218" t="s">
        <v>179</v>
      </c>
      <c r="D115" s="218" t="s">
        <v>231</v>
      </c>
      <c r="E115" s="10">
        <v>0.69</v>
      </c>
    </row>
    <row r="116" spans="1:5" x14ac:dyDescent="0.2">
      <c r="A116" s="222">
        <v>2014</v>
      </c>
      <c r="B116" s="217">
        <v>88</v>
      </c>
      <c r="C116" s="218" t="s">
        <v>179</v>
      </c>
      <c r="D116" s="218" t="s">
        <v>232</v>
      </c>
      <c r="E116" s="10">
        <v>0.51</v>
      </c>
    </row>
    <row r="117" spans="1:5" x14ac:dyDescent="0.2">
      <c r="A117" s="222">
        <v>2014</v>
      </c>
      <c r="B117" s="217">
        <v>88</v>
      </c>
      <c r="C117" s="218" t="s">
        <v>179</v>
      </c>
      <c r="D117" s="218" t="s">
        <v>233</v>
      </c>
      <c r="E117" s="10">
        <v>0.69</v>
      </c>
    </row>
    <row r="118" spans="1:5" x14ac:dyDescent="0.2">
      <c r="A118" s="222">
        <v>2014</v>
      </c>
      <c r="B118" s="217">
        <v>88</v>
      </c>
      <c r="C118" s="218" t="s">
        <v>179</v>
      </c>
      <c r="D118" s="218" t="s">
        <v>186</v>
      </c>
      <c r="E118" s="10">
        <v>0.74</v>
      </c>
    </row>
    <row r="119" spans="1:5" x14ac:dyDescent="0.2">
      <c r="A119" s="222">
        <v>2014</v>
      </c>
      <c r="B119" s="217">
        <v>88</v>
      </c>
      <c r="C119" s="218" t="s">
        <v>179</v>
      </c>
      <c r="D119" s="218" t="s">
        <v>186</v>
      </c>
      <c r="E119" s="10">
        <v>0.66</v>
      </c>
    </row>
    <row r="120" spans="1:5" x14ac:dyDescent="0.2">
      <c r="A120" s="222">
        <v>2014</v>
      </c>
      <c r="B120" s="217">
        <v>88</v>
      </c>
      <c r="C120" s="218" t="s">
        <v>179</v>
      </c>
      <c r="D120" s="218" t="s">
        <v>186</v>
      </c>
      <c r="E120" s="10">
        <v>0.74</v>
      </c>
    </row>
    <row r="121" spans="1:5" x14ac:dyDescent="0.2">
      <c r="A121" s="222">
        <v>2014</v>
      </c>
      <c r="B121" s="217">
        <v>88</v>
      </c>
      <c r="C121" s="218" t="s">
        <v>179</v>
      </c>
      <c r="D121" s="218" t="s">
        <v>230</v>
      </c>
      <c r="E121" s="10">
        <v>0.63</v>
      </c>
    </row>
    <row r="122" spans="1:5" x14ac:dyDescent="0.2">
      <c r="A122" s="222">
        <v>2014</v>
      </c>
      <c r="B122" s="217">
        <v>88</v>
      </c>
      <c r="C122" s="218" t="s">
        <v>179</v>
      </c>
      <c r="D122" s="218" t="s">
        <v>234</v>
      </c>
      <c r="E122" s="10">
        <v>0.96</v>
      </c>
    </row>
    <row r="123" spans="1:5" x14ac:dyDescent="0.2">
      <c r="A123" s="222">
        <v>2014</v>
      </c>
      <c r="B123" s="217">
        <v>88</v>
      </c>
      <c r="C123" s="218" t="s">
        <v>179</v>
      </c>
      <c r="D123" s="218" t="s">
        <v>235</v>
      </c>
      <c r="E123" s="10">
        <v>0.43</v>
      </c>
    </row>
    <row r="124" spans="1:5" x14ac:dyDescent="0.2">
      <c r="A124" s="222">
        <v>2014</v>
      </c>
      <c r="B124" s="217">
        <v>88</v>
      </c>
      <c r="C124" s="218" t="s">
        <v>179</v>
      </c>
      <c r="D124" s="218" t="s">
        <v>235</v>
      </c>
      <c r="E124" s="10">
        <v>0.44</v>
      </c>
    </row>
    <row r="125" spans="1:5" x14ac:dyDescent="0.2">
      <c r="A125" s="222">
        <v>2014</v>
      </c>
      <c r="B125" s="217">
        <v>88</v>
      </c>
      <c r="C125" s="218" t="s">
        <v>179</v>
      </c>
      <c r="D125" s="218" t="s">
        <v>184</v>
      </c>
      <c r="E125" s="10">
        <v>1.01</v>
      </c>
    </row>
    <row r="126" spans="1:5" x14ac:dyDescent="0.2">
      <c r="A126" s="222">
        <v>2014</v>
      </c>
      <c r="B126" s="217">
        <v>88</v>
      </c>
      <c r="C126" s="218" t="s">
        <v>179</v>
      </c>
      <c r="D126" s="218" t="s">
        <v>220</v>
      </c>
      <c r="E126" s="10">
        <v>0.88</v>
      </c>
    </row>
    <row r="127" spans="1:5" x14ac:dyDescent="0.2">
      <c r="A127" s="222">
        <v>2014</v>
      </c>
      <c r="B127" s="217">
        <v>88</v>
      </c>
      <c r="C127" s="218" t="s">
        <v>179</v>
      </c>
      <c r="D127" s="218" t="s">
        <v>220</v>
      </c>
      <c r="E127" s="10">
        <v>0.87</v>
      </c>
    </row>
    <row r="128" spans="1:5" x14ac:dyDescent="0.2">
      <c r="A128" s="222">
        <v>2014</v>
      </c>
      <c r="B128" s="217">
        <v>88</v>
      </c>
      <c r="C128" s="218" t="s">
        <v>179</v>
      </c>
      <c r="D128" s="218" t="s">
        <v>220</v>
      </c>
      <c r="E128" s="10">
        <v>0.82</v>
      </c>
    </row>
    <row r="129" spans="1:5" x14ac:dyDescent="0.2">
      <c r="A129" s="222">
        <v>2014</v>
      </c>
      <c r="B129" s="217">
        <v>88</v>
      </c>
      <c r="C129" s="218" t="s">
        <v>179</v>
      </c>
      <c r="D129" s="218" t="s">
        <v>220</v>
      </c>
      <c r="E129" s="10">
        <v>0.96</v>
      </c>
    </row>
    <row r="130" spans="1:5" x14ac:dyDescent="0.2">
      <c r="A130" s="222">
        <v>2014</v>
      </c>
      <c r="B130" s="217">
        <v>88</v>
      </c>
      <c r="C130" s="218" t="s">
        <v>179</v>
      </c>
      <c r="D130" s="218" t="s">
        <v>220</v>
      </c>
      <c r="E130" s="10">
        <v>0.9</v>
      </c>
    </row>
    <row r="131" spans="1:5" x14ac:dyDescent="0.2">
      <c r="A131" s="222">
        <v>2014</v>
      </c>
      <c r="B131" s="217">
        <v>88</v>
      </c>
      <c r="C131" s="218" t="s">
        <v>179</v>
      </c>
      <c r="D131" s="218" t="s">
        <v>220</v>
      </c>
      <c r="E131" s="10">
        <v>0.96</v>
      </c>
    </row>
    <row r="132" spans="1:5" x14ac:dyDescent="0.2">
      <c r="A132" s="222">
        <v>2014</v>
      </c>
      <c r="B132" s="217">
        <v>88</v>
      </c>
      <c r="C132" s="218" t="s">
        <v>179</v>
      </c>
      <c r="D132" s="218" t="s">
        <v>220</v>
      </c>
      <c r="E132" s="10">
        <v>0.97</v>
      </c>
    </row>
    <row r="133" spans="1:5" x14ac:dyDescent="0.2">
      <c r="A133" s="222">
        <v>2014</v>
      </c>
      <c r="B133" s="217">
        <v>88</v>
      </c>
      <c r="C133" s="218" t="s">
        <v>179</v>
      </c>
      <c r="D133" s="218" t="s">
        <v>220</v>
      </c>
      <c r="E133" s="10">
        <v>0.82</v>
      </c>
    </row>
    <row r="134" spans="1:5" x14ac:dyDescent="0.2">
      <c r="A134" s="222">
        <v>2014</v>
      </c>
      <c r="B134" s="217">
        <v>88</v>
      </c>
      <c r="C134" s="218" t="s">
        <v>179</v>
      </c>
      <c r="D134" s="218" t="s">
        <v>236</v>
      </c>
      <c r="E134" s="10">
        <v>0.67</v>
      </c>
    </row>
    <row r="135" spans="1:5" x14ac:dyDescent="0.2">
      <c r="A135" s="222">
        <v>2014</v>
      </c>
      <c r="B135" s="217">
        <v>88</v>
      </c>
      <c r="C135" s="218" t="s">
        <v>179</v>
      </c>
      <c r="D135" s="218" t="s">
        <v>236</v>
      </c>
      <c r="E135" s="10">
        <v>0.69</v>
      </c>
    </row>
    <row r="136" spans="1:5" x14ac:dyDescent="0.2">
      <c r="A136" s="222">
        <v>2014</v>
      </c>
      <c r="B136" s="217">
        <v>88</v>
      </c>
      <c r="C136" s="218" t="s">
        <v>179</v>
      </c>
      <c r="D136" s="218" t="s">
        <v>180</v>
      </c>
      <c r="E136" s="10">
        <v>0.4</v>
      </c>
    </row>
    <row r="137" spans="1:5" x14ac:dyDescent="0.2">
      <c r="A137" s="222">
        <v>2014</v>
      </c>
      <c r="B137" s="217">
        <v>88</v>
      </c>
      <c r="C137" s="218" t="s">
        <v>179</v>
      </c>
      <c r="D137" s="218" t="s">
        <v>186</v>
      </c>
      <c r="E137" s="10">
        <v>0.52</v>
      </c>
    </row>
    <row r="138" spans="1:5" x14ac:dyDescent="0.2">
      <c r="A138" s="222">
        <v>2014</v>
      </c>
      <c r="B138" s="217">
        <v>88</v>
      </c>
      <c r="C138" s="218" t="s">
        <v>179</v>
      </c>
      <c r="D138" s="218" t="s">
        <v>232</v>
      </c>
      <c r="E138" s="10">
        <v>0.51</v>
      </c>
    </row>
    <row r="139" spans="1:5" x14ac:dyDescent="0.2">
      <c r="A139" s="222">
        <v>2014</v>
      </c>
      <c r="B139" s="217">
        <v>88</v>
      </c>
      <c r="C139" s="218" t="s">
        <v>179</v>
      </c>
      <c r="D139" s="218" t="s">
        <v>207</v>
      </c>
      <c r="E139" s="10">
        <v>0.39</v>
      </c>
    </row>
    <row r="140" spans="1:5" x14ac:dyDescent="0.2">
      <c r="A140" s="222">
        <v>2014</v>
      </c>
      <c r="B140" s="217">
        <v>88</v>
      </c>
      <c r="C140" s="218" t="s">
        <v>179</v>
      </c>
      <c r="D140" s="218" t="s">
        <v>222</v>
      </c>
      <c r="E140" s="10">
        <v>0.51</v>
      </c>
    </row>
    <row r="141" spans="1:5" x14ac:dyDescent="0.2">
      <c r="A141" s="222">
        <v>2014</v>
      </c>
      <c r="B141" s="217">
        <v>88</v>
      </c>
      <c r="C141" s="218" t="s">
        <v>179</v>
      </c>
      <c r="D141" s="218" t="s">
        <v>237</v>
      </c>
      <c r="E141" s="10">
        <v>0.82</v>
      </c>
    </row>
    <row r="142" spans="1:5" x14ac:dyDescent="0.2">
      <c r="A142" s="222">
        <v>2014</v>
      </c>
      <c r="B142" s="217">
        <v>88</v>
      </c>
      <c r="C142" s="218" t="s">
        <v>179</v>
      </c>
      <c r="D142" s="218" t="s">
        <v>180</v>
      </c>
      <c r="E142" s="10">
        <v>0.54</v>
      </c>
    </row>
    <row r="143" spans="1:5" x14ac:dyDescent="0.2">
      <c r="A143" s="222">
        <v>2014</v>
      </c>
      <c r="B143" s="217">
        <v>88</v>
      </c>
      <c r="C143" s="218" t="s">
        <v>179</v>
      </c>
      <c r="D143" s="218" t="s">
        <v>184</v>
      </c>
      <c r="E143" s="10">
        <v>1.02</v>
      </c>
    </row>
    <row r="144" spans="1:5" x14ac:dyDescent="0.2">
      <c r="A144" s="222">
        <v>2014</v>
      </c>
      <c r="B144" s="217">
        <v>88</v>
      </c>
      <c r="C144" s="218" t="s">
        <v>179</v>
      </c>
      <c r="D144" s="218" t="s">
        <v>191</v>
      </c>
      <c r="E144" s="10">
        <v>0.84</v>
      </c>
    </row>
    <row r="145" spans="1:5" x14ac:dyDescent="0.2">
      <c r="A145" s="222">
        <v>2014</v>
      </c>
      <c r="B145" s="217">
        <v>88</v>
      </c>
      <c r="C145" s="218" t="s">
        <v>179</v>
      </c>
      <c r="D145" s="218" t="s">
        <v>238</v>
      </c>
      <c r="E145" s="10">
        <v>0.82</v>
      </c>
    </row>
    <row r="146" spans="1:5" x14ac:dyDescent="0.2">
      <c r="A146" s="222">
        <v>2014</v>
      </c>
      <c r="B146" s="217">
        <v>88</v>
      </c>
      <c r="C146" s="218" t="s">
        <v>179</v>
      </c>
      <c r="D146" s="218" t="s">
        <v>226</v>
      </c>
      <c r="E146" s="10">
        <v>0.74</v>
      </c>
    </row>
    <row r="147" spans="1:5" x14ac:dyDescent="0.2">
      <c r="A147" s="222">
        <v>2014</v>
      </c>
      <c r="B147" s="217">
        <v>88</v>
      </c>
      <c r="C147" s="218" t="s">
        <v>179</v>
      </c>
      <c r="D147" s="218" t="s">
        <v>235</v>
      </c>
      <c r="E147" s="10">
        <v>0.42</v>
      </c>
    </row>
    <row r="148" spans="1:5" x14ac:dyDescent="0.2">
      <c r="A148" s="222">
        <v>2014</v>
      </c>
      <c r="B148" s="217">
        <v>88</v>
      </c>
      <c r="C148" s="218" t="s">
        <v>179</v>
      </c>
      <c r="D148" s="218" t="s">
        <v>180</v>
      </c>
      <c r="E148" s="10">
        <v>0.66</v>
      </c>
    </row>
    <row r="149" spans="1:5" x14ac:dyDescent="0.2">
      <c r="A149" s="222">
        <v>2014</v>
      </c>
      <c r="B149" s="217">
        <v>88</v>
      </c>
      <c r="C149" s="218" t="s">
        <v>179</v>
      </c>
      <c r="D149" s="218" t="s">
        <v>239</v>
      </c>
      <c r="E149" s="10">
        <v>0.54</v>
      </c>
    </row>
    <row r="150" spans="1:5" x14ac:dyDescent="0.2">
      <c r="A150" s="222">
        <v>2014</v>
      </c>
      <c r="B150" s="217">
        <v>88</v>
      </c>
      <c r="C150" s="218" t="s">
        <v>179</v>
      </c>
      <c r="D150" s="218" t="s">
        <v>198</v>
      </c>
      <c r="E150" s="10">
        <v>0.4</v>
      </c>
    </row>
    <row r="151" spans="1:5" x14ac:dyDescent="0.2">
      <c r="A151" s="222">
        <v>2014</v>
      </c>
      <c r="B151" s="217">
        <v>88</v>
      </c>
      <c r="C151" s="218" t="s">
        <v>179</v>
      </c>
      <c r="D151" s="218" t="s">
        <v>198</v>
      </c>
      <c r="E151" s="10">
        <v>0.37</v>
      </c>
    </row>
    <row r="152" spans="1:5" x14ac:dyDescent="0.2">
      <c r="A152" s="222">
        <v>2014</v>
      </c>
      <c r="B152" s="217">
        <v>88</v>
      </c>
      <c r="C152" s="218" t="s">
        <v>179</v>
      </c>
      <c r="D152" s="218" t="s">
        <v>238</v>
      </c>
      <c r="E152" s="10">
        <v>0.81</v>
      </c>
    </row>
    <row r="153" spans="1:5" x14ac:dyDescent="0.2">
      <c r="A153" s="222">
        <v>2014</v>
      </c>
      <c r="B153" s="217">
        <v>88</v>
      </c>
      <c r="C153" s="218" t="s">
        <v>179</v>
      </c>
      <c r="D153" s="218" t="s">
        <v>220</v>
      </c>
      <c r="E153" s="10">
        <v>0.92</v>
      </c>
    </row>
    <row r="154" spans="1:5" x14ac:dyDescent="0.2">
      <c r="A154" s="222">
        <v>2014</v>
      </c>
      <c r="B154" s="217">
        <v>88</v>
      </c>
      <c r="C154" s="218" t="s">
        <v>179</v>
      </c>
      <c r="D154" s="218" t="s">
        <v>220</v>
      </c>
      <c r="E154" s="10">
        <v>0.85</v>
      </c>
    </row>
    <row r="155" spans="1:5" x14ac:dyDescent="0.2">
      <c r="A155" s="222">
        <v>2014</v>
      </c>
      <c r="B155" s="217">
        <v>88</v>
      </c>
      <c r="C155" s="218" t="s">
        <v>179</v>
      </c>
      <c r="D155" s="218" t="s">
        <v>220</v>
      </c>
      <c r="E155" s="10">
        <v>0.75</v>
      </c>
    </row>
    <row r="156" spans="1:5" x14ac:dyDescent="0.2">
      <c r="A156" s="222">
        <v>2014</v>
      </c>
      <c r="B156" s="217">
        <v>88</v>
      </c>
      <c r="C156" s="218" t="s">
        <v>179</v>
      </c>
      <c r="D156" s="218" t="s">
        <v>220</v>
      </c>
      <c r="E156" s="10">
        <v>0.75</v>
      </c>
    </row>
    <row r="157" spans="1:5" x14ac:dyDescent="0.2">
      <c r="A157" s="222">
        <v>2014</v>
      </c>
      <c r="B157" s="217">
        <v>88</v>
      </c>
      <c r="C157" s="218" t="s">
        <v>179</v>
      </c>
      <c r="D157" s="218" t="s">
        <v>186</v>
      </c>
      <c r="E157" s="10">
        <v>0.74</v>
      </c>
    </row>
    <row r="158" spans="1:5" x14ac:dyDescent="0.2">
      <c r="A158" s="222">
        <v>2014</v>
      </c>
      <c r="B158" s="217">
        <v>88</v>
      </c>
      <c r="C158" s="218" t="s">
        <v>179</v>
      </c>
      <c r="D158" s="218" t="s">
        <v>207</v>
      </c>
      <c r="E158" s="10">
        <v>0.56999999999999995</v>
      </c>
    </row>
    <row r="159" spans="1:5" x14ac:dyDescent="0.2">
      <c r="A159" s="222">
        <v>2014</v>
      </c>
      <c r="B159" s="217">
        <v>88</v>
      </c>
      <c r="C159" s="218" t="s">
        <v>179</v>
      </c>
      <c r="D159" s="218" t="s">
        <v>234</v>
      </c>
      <c r="E159" s="10">
        <v>0.74</v>
      </c>
    </row>
    <row r="160" spans="1:5" x14ac:dyDescent="0.2">
      <c r="A160" s="222">
        <v>2014</v>
      </c>
      <c r="B160" s="217">
        <v>88</v>
      </c>
      <c r="C160" s="218" t="s">
        <v>179</v>
      </c>
      <c r="D160" s="218" t="s">
        <v>233</v>
      </c>
      <c r="E160" s="10">
        <v>0.94</v>
      </c>
    </row>
    <row r="161" spans="1:5" x14ac:dyDescent="0.2">
      <c r="A161" s="222">
        <v>2014</v>
      </c>
      <c r="B161" s="217">
        <v>88</v>
      </c>
      <c r="C161" s="218" t="s">
        <v>179</v>
      </c>
      <c r="D161" s="218" t="s">
        <v>233</v>
      </c>
      <c r="E161" s="10">
        <v>0.73</v>
      </c>
    </row>
    <row r="162" spans="1:5" x14ac:dyDescent="0.2">
      <c r="A162" s="222">
        <v>2014</v>
      </c>
      <c r="B162" s="217">
        <v>88</v>
      </c>
      <c r="C162" s="218" t="s">
        <v>179</v>
      </c>
      <c r="D162" s="218" t="s">
        <v>215</v>
      </c>
      <c r="E162" s="10">
        <v>0.72</v>
      </c>
    </row>
    <row r="163" spans="1:5" x14ac:dyDescent="0.2">
      <c r="A163" s="222">
        <v>2014</v>
      </c>
      <c r="B163" s="217">
        <v>88</v>
      </c>
      <c r="C163" s="218" t="s">
        <v>179</v>
      </c>
      <c r="D163" s="218" t="s">
        <v>180</v>
      </c>
      <c r="E163" s="10">
        <v>0.39</v>
      </c>
    </row>
    <row r="164" spans="1:5" x14ac:dyDescent="0.2">
      <c r="A164" s="222">
        <v>2014</v>
      </c>
      <c r="B164" s="217">
        <v>88</v>
      </c>
      <c r="C164" s="218" t="s">
        <v>179</v>
      </c>
      <c r="D164" s="218" t="s">
        <v>240</v>
      </c>
      <c r="E164" s="10">
        <v>0.83</v>
      </c>
    </row>
    <row r="165" spans="1:5" x14ac:dyDescent="0.2">
      <c r="A165" s="222">
        <v>2014</v>
      </c>
      <c r="B165" s="217">
        <v>88</v>
      </c>
      <c r="C165" s="218" t="s">
        <v>179</v>
      </c>
      <c r="D165" s="218" t="s">
        <v>240</v>
      </c>
      <c r="E165" s="10">
        <v>0.74</v>
      </c>
    </row>
    <row r="166" spans="1:5" x14ac:dyDescent="0.2">
      <c r="A166" s="222">
        <v>2014</v>
      </c>
      <c r="B166" s="217">
        <v>88</v>
      </c>
      <c r="C166" s="218" t="s">
        <v>179</v>
      </c>
      <c r="D166" s="218" t="s">
        <v>240</v>
      </c>
      <c r="E166" s="10">
        <v>0.69</v>
      </c>
    </row>
    <row r="167" spans="1:5" x14ac:dyDescent="0.2">
      <c r="A167" s="222">
        <v>2014</v>
      </c>
      <c r="B167" s="217">
        <v>88</v>
      </c>
      <c r="C167" s="218" t="s">
        <v>179</v>
      </c>
      <c r="D167" s="218" t="s">
        <v>240</v>
      </c>
      <c r="E167" s="10">
        <v>0.67</v>
      </c>
    </row>
    <row r="168" spans="1:5" x14ac:dyDescent="0.2">
      <c r="A168" s="222">
        <v>2014</v>
      </c>
      <c r="B168" s="217">
        <v>88</v>
      </c>
      <c r="C168" s="218" t="s">
        <v>179</v>
      </c>
      <c r="D168" s="218" t="s">
        <v>241</v>
      </c>
      <c r="E168" s="10">
        <v>0.34</v>
      </c>
    </row>
    <row r="169" spans="1:5" x14ac:dyDescent="0.2">
      <c r="A169" s="222">
        <v>2014</v>
      </c>
      <c r="B169" s="217">
        <v>88</v>
      </c>
      <c r="C169" s="218" t="s">
        <v>179</v>
      </c>
      <c r="D169" s="218" t="s">
        <v>242</v>
      </c>
      <c r="E169" s="10">
        <v>0.35</v>
      </c>
    </row>
    <row r="170" spans="1:5" x14ac:dyDescent="0.2">
      <c r="A170" s="222">
        <v>2014</v>
      </c>
      <c r="B170" s="217">
        <v>88</v>
      </c>
      <c r="C170" s="218" t="s">
        <v>179</v>
      </c>
      <c r="D170" s="218" t="s">
        <v>220</v>
      </c>
      <c r="E170" s="10">
        <v>0.87</v>
      </c>
    </row>
    <row r="171" spans="1:5" x14ac:dyDescent="0.2">
      <c r="A171" s="222">
        <v>2014</v>
      </c>
      <c r="B171" s="217">
        <v>88</v>
      </c>
      <c r="C171" s="218" t="s">
        <v>179</v>
      </c>
      <c r="D171" s="218" t="s">
        <v>220</v>
      </c>
      <c r="E171" s="10">
        <v>0.82</v>
      </c>
    </row>
    <row r="172" spans="1:5" x14ac:dyDescent="0.2">
      <c r="A172" s="222">
        <v>2014</v>
      </c>
      <c r="B172" s="217">
        <v>88</v>
      </c>
      <c r="C172" s="218" t="s">
        <v>179</v>
      </c>
      <c r="D172" s="218" t="s">
        <v>184</v>
      </c>
      <c r="E172" s="10">
        <v>0.86</v>
      </c>
    </row>
    <row r="173" spans="1:5" x14ac:dyDescent="0.2">
      <c r="A173" s="222">
        <v>2014</v>
      </c>
      <c r="B173" s="217">
        <v>88</v>
      </c>
      <c r="C173" s="218" t="s">
        <v>179</v>
      </c>
      <c r="D173" s="218" t="s">
        <v>220</v>
      </c>
      <c r="E173" s="10">
        <v>0.91</v>
      </c>
    </row>
    <row r="174" spans="1:5" x14ac:dyDescent="0.2">
      <c r="A174" s="223">
        <v>2015</v>
      </c>
      <c r="B174" s="10">
        <v>88</v>
      </c>
      <c r="C174" s="23" t="s">
        <v>179</v>
      </c>
      <c r="D174" s="218" t="s">
        <v>220</v>
      </c>
      <c r="E174" s="10">
        <v>0.71</v>
      </c>
    </row>
    <row r="175" spans="1:5" x14ac:dyDescent="0.2">
      <c r="A175" s="223">
        <v>2015</v>
      </c>
      <c r="B175" s="10">
        <v>88</v>
      </c>
      <c r="C175" s="23" t="s">
        <v>179</v>
      </c>
      <c r="D175" s="218" t="s">
        <v>206</v>
      </c>
      <c r="E175" s="10">
        <v>0.78</v>
      </c>
    </row>
    <row r="176" spans="1:5" x14ac:dyDescent="0.2">
      <c r="A176" s="223">
        <v>2015</v>
      </c>
      <c r="B176" s="10">
        <v>88</v>
      </c>
      <c r="C176" s="23" t="s">
        <v>179</v>
      </c>
      <c r="D176" s="218" t="s">
        <v>206</v>
      </c>
      <c r="E176" s="10">
        <v>0.65</v>
      </c>
    </row>
    <row r="177" spans="1:5" x14ac:dyDescent="0.2">
      <c r="A177" s="223">
        <v>2015</v>
      </c>
      <c r="B177" s="10">
        <v>88</v>
      </c>
      <c r="C177" s="23" t="s">
        <v>179</v>
      </c>
      <c r="D177" s="218" t="s">
        <v>206</v>
      </c>
      <c r="E177" s="10">
        <v>0.7</v>
      </c>
    </row>
    <row r="178" spans="1:5" x14ac:dyDescent="0.2">
      <c r="A178" s="223">
        <v>2015</v>
      </c>
      <c r="B178" s="10">
        <v>88</v>
      </c>
      <c r="C178" s="23" t="s">
        <v>179</v>
      </c>
      <c r="D178" s="218" t="s">
        <v>213</v>
      </c>
      <c r="E178" s="10">
        <v>0.48</v>
      </c>
    </row>
    <row r="179" spans="1:5" x14ac:dyDescent="0.2">
      <c r="A179" s="223">
        <v>2015</v>
      </c>
      <c r="B179" s="10">
        <v>88</v>
      </c>
      <c r="C179" s="23" t="s">
        <v>179</v>
      </c>
      <c r="D179" s="218" t="s">
        <v>213</v>
      </c>
      <c r="E179" s="10">
        <v>0.63</v>
      </c>
    </row>
    <row r="180" spans="1:5" x14ac:dyDescent="0.2">
      <c r="A180" s="223">
        <v>2015</v>
      </c>
      <c r="B180" s="10">
        <v>88</v>
      </c>
      <c r="C180" s="23" t="s">
        <v>179</v>
      </c>
      <c r="D180" s="218" t="s">
        <v>186</v>
      </c>
      <c r="E180" s="10">
        <v>0.62</v>
      </c>
    </row>
    <row r="181" spans="1:5" x14ac:dyDescent="0.2">
      <c r="A181" s="223">
        <v>2015</v>
      </c>
      <c r="B181" s="10">
        <v>88</v>
      </c>
      <c r="C181" s="23" t="s">
        <v>179</v>
      </c>
      <c r="D181" s="218" t="s">
        <v>186</v>
      </c>
      <c r="E181" s="10">
        <v>0.66</v>
      </c>
    </row>
    <row r="182" spans="1:5" x14ac:dyDescent="0.2">
      <c r="A182" s="223">
        <v>2015</v>
      </c>
      <c r="B182" s="10">
        <v>88</v>
      </c>
      <c r="C182" s="23" t="s">
        <v>179</v>
      </c>
      <c r="D182" s="218" t="s">
        <v>215</v>
      </c>
      <c r="E182" s="10">
        <v>0.44</v>
      </c>
    </row>
    <row r="183" spans="1:5" x14ac:dyDescent="0.2">
      <c r="A183" s="223">
        <v>2015</v>
      </c>
      <c r="B183" s="10">
        <v>88</v>
      </c>
      <c r="C183" s="23" t="s">
        <v>179</v>
      </c>
      <c r="D183" s="218" t="s">
        <v>215</v>
      </c>
      <c r="E183" s="10">
        <v>0.43</v>
      </c>
    </row>
    <row r="184" spans="1:5" x14ac:dyDescent="0.2">
      <c r="A184" s="223">
        <v>2015</v>
      </c>
      <c r="B184" s="10">
        <v>88</v>
      </c>
      <c r="C184" s="23" t="s">
        <v>179</v>
      </c>
      <c r="D184" s="218" t="s">
        <v>215</v>
      </c>
      <c r="E184" s="10">
        <v>0.33</v>
      </c>
    </row>
    <row r="185" spans="1:5" x14ac:dyDescent="0.2">
      <c r="A185" s="223">
        <v>2015</v>
      </c>
      <c r="B185" s="10">
        <v>88</v>
      </c>
      <c r="C185" s="23" t="s">
        <v>179</v>
      </c>
      <c r="D185" s="218" t="s">
        <v>186</v>
      </c>
      <c r="E185" s="10">
        <v>0.47</v>
      </c>
    </row>
    <row r="186" spans="1:5" x14ac:dyDescent="0.2">
      <c r="A186" s="223">
        <v>2015</v>
      </c>
      <c r="B186" s="10">
        <v>88</v>
      </c>
      <c r="C186" s="23" t="s">
        <v>179</v>
      </c>
      <c r="D186" s="218" t="s">
        <v>186</v>
      </c>
      <c r="E186" s="10">
        <v>0.95</v>
      </c>
    </row>
    <row r="187" spans="1:5" x14ac:dyDescent="0.2">
      <c r="A187" s="223">
        <v>2015</v>
      </c>
      <c r="B187" s="10">
        <v>88</v>
      </c>
      <c r="C187" s="23" t="s">
        <v>179</v>
      </c>
      <c r="D187" s="218" t="s">
        <v>227</v>
      </c>
      <c r="E187" s="10">
        <v>0.79</v>
      </c>
    </row>
    <row r="188" spans="1:5" x14ac:dyDescent="0.2">
      <c r="A188" s="223">
        <v>2015</v>
      </c>
      <c r="B188" s="10">
        <v>88</v>
      </c>
      <c r="C188" s="23" t="s">
        <v>179</v>
      </c>
      <c r="D188" s="218" t="s">
        <v>227</v>
      </c>
      <c r="E188" s="10">
        <v>0.43</v>
      </c>
    </row>
    <row r="189" spans="1:5" x14ac:dyDescent="0.2">
      <c r="A189" s="223">
        <v>2015</v>
      </c>
      <c r="B189" s="10">
        <v>88</v>
      </c>
      <c r="C189" s="23" t="s">
        <v>179</v>
      </c>
      <c r="D189" s="218" t="s">
        <v>227</v>
      </c>
      <c r="E189" s="10">
        <v>0.42</v>
      </c>
    </row>
    <row r="190" spans="1:5" x14ac:dyDescent="0.2">
      <c r="A190" s="223">
        <v>2015</v>
      </c>
      <c r="B190" s="10">
        <v>88</v>
      </c>
      <c r="C190" s="23" t="s">
        <v>179</v>
      </c>
      <c r="D190" s="218" t="s">
        <v>180</v>
      </c>
      <c r="E190" s="10">
        <v>0.95</v>
      </c>
    </row>
    <row r="191" spans="1:5" x14ac:dyDescent="0.2">
      <c r="A191" s="223">
        <v>2015</v>
      </c>
      <c r="B191" s="10">
        <v>88</v>
      </c>
      <c r="C191" s="23" t="s">
        <v>179</v>
      </c>
      <c r="D191" s="218" t="s">
        <v>180</v>
      </c>
      <c r="E191" s="10">
        <v>0.38</v>
      </c>
    </row>
    <row r="192" spans="1:5" x14ac:dyDescent="0.2">
      <c r="A192" s="223">
        <v>2015</v>
      </c>
      <c r="B192" s="10">
        <v>88</v>
      </c>
      <c r="C192" s="23" t="s">
        <v>179</v>
      </c>
      <c r="D192" s="218" t="s">
        <v>186</v>
      </c>
      <c r="E192" s="10">
        <v>0.75</v>
      </c>
    </row>
    <row r="193" spans="1:5" x14ac:dyDescent="0.2">
      <c r="A193" s="223">
        <v>2015</v>
      </c>
      <c r="B193" s="10">
        <v>88</v>
      </c>
      <c r="C193" s="23" t="s">
        <v>179</v>
      </c>
      <c r="D193" s="218" t="s">
        <v>186</v>
      </c>
      <c r="E193" s="10">
        <v>0.7</v>
      </c>
    </row>
    <row r="194" spans="1:5" x14ac:dyDescent="0.2">
      <c r="A194" s="223">
        <v>2015</v>
      </c>
      <c r="B194" s="10">
        <v>88</v>
      </c>
      <c r="C194" s="23" t="s">
        <v>179</v>
      </c>
      <c r="D194" s="218" t="s">
        <v>243</v>
      </c>
      <c r="E194" s="10">
        <v>0.49</v>
      </c>
    </row>
    <row r="195" spans="1:5" x14ac:dyDescent="0.2">
      <c r="A195" s="223">
        <v>2015</v>
      </c>
      <c r="B195" s="10">
        <v>88</v>
      </c>
      <c r="C195" s="23" t="s">
        <v>179</v>
      </c>
      <c r="D195" s="218" t="s">
        <v>243</v>
      </c>
      <c r="E195" s="10">
        <v>0.55000000000000004</v>
      </c>
    </row>
    <row r="196" spans="1:5" x14ac:dyDescent="0.2">
      <c r="A196" s="223">
        <v>2015</v>
      </c>
      <c r="B196" s="10">
        <v>88</v>
      </c>
      <c r="C196" s="23" t="s">
        <v>179</v>
      </c>
      <c r="D196" s="218" t="s">
        <v>243</v>
      </c>
      <c r="E196" s="10">
        <v>0.56000000000000005</v>
      </c>
    </row>
    <row r="197" spans="1:5" x14ac:dyDescent="0.2">
      <c r="A197" s="223">
        <v>2015</v>
      </c>
      <c r="B197" s="10">
        <v>88</v>
      </c>
      <c r="C197" s="23" t="s">
        <v>179</v>
      </c>
      <c r="D197" s="218" t="s">
        <v>213</v>
      </c>
      <c r="E197" s="10">
        <v>0.61</v>
      </c>
    </row>
    <row r="198" spans="1:5" x14ac:dyDescent="0.2">
      <c r="A198" s="223">
        <v>2015</v>
      </c>
      <c r="B198" s="10">
        <v>88</v>
      </c>
      <c r="C198" s="23" t="s">
        <v>179</v>
      </c>
      <c r="D198" s="218" t="s">
        <v>206</v>
      </c>
      <c r="E198" s="10">
        <v>0.84</v>
      </c>
    </row>
    <row r="199" spans="1:5" x14ac:dyDescent="0.2">
      <c r="A199" s="223">
        <v>2015</v>
      </c>
      <c r="B199" s="10">
        <v>88</v>
      </c>
      <c r="C199" s="23" t="s">
        <v>179</v>
      </c>
      <c r="D199" s="218" t="s">
        <v>217</v>
      </c>
      <c r="E199" s="10">
        <v>0.68</v>
      </c>
    </row>
    <row r="200" spans="1:5" x14ac:dyDescent="0.2">
      <c r="A200" s="223">
        <v>2015</v>
      </c>
      <c r="B200" s="10">
        <v>88</v>
      </c>
      <c r="C200" s="23" t="s">
        <v>179</v>
      </c>
      <c r="D200" s="218" t="s">
        <v>236</v>
      </c>
      <c r="E200" s="10">
        <v>0.78</v>
      </c>
    </row>
    <row r="201" spans="1:5" x14ac:dyDescent="0.2">
      <c r="A201" s="223">
        <v>2015</v>
      </c>
      <c r="B201" s="10">
        <v>88</v>
      </c>
      <c r="C201" s="23" t="s">
        <v>179</v>
      </c>
      <c r="D201" s="218" t="s">
        <v>222</v>
      </c>
      <c r="E201" s="10">
        <v>0.91</v>
      </c>
    </row>
    <row r="202" spans="1:5" x14ac:dyDescent="0.2">
      <c r="A202" s="223">
        <v>2015</v>
      </c>
      <c r="B202" s="10">
        <v>88</v>
      </c>
      <c r="C202" s="23" t="s">
        <v>179</v>
      </c>
      <c r="D202" s="218" t="s">
        <v>222</v>
      </c>
      <c r="E202" s="10">
        <v>0.92</v>
      </c>
    </row>
    <row r="203" spans="1:5" x14ac:dyDescent="0.2">
      <c r="A203" s="223">
        <v>2015</v>
      </c>
      <c r="B203" s="10">
        <v>88</v>
      </c>
      <c r="C203" s="23" t="s">
        <v>179</v>
      </c>
      <c r="D203" s="218" t="s">
        <v>186</v>
      </c>
      <c r="E203" s="10">
        <v>0.68</v>
      </c>
    </row>
    <row r="204" spans="1:5" x14ac:dyDescent="0.2">
      <c r="A204" s="223">
        <v>2015</v>
      </c>
      <c r="B204" s="10">
        <v>88</v>
      </c>
      <c r="C204" s="23" t="s">
        <v>179</v>
      </c>
      <c r="D204" s="218" t="s">
        <v>244</v>
      </c>
      <c r="E204" s="10">
        <v>0.65</v>
      </c>
    </row>
    <row r="205" spans="1:5" x14ac:dyDescent="0.2">
      <c r="A205" s="223">
        <v>2015</v>
      </c>
      <c r="B205" s="10">
        <v>88</v>
      </c>
      <c r="C205" s="23" t="s">
        <v>179</v>
      </c>
      <c r="D205" s="218" t="s">
        <v>186</v>
      </c>
      <c r="E205" s="10">
        <v>0.8</v>
      </c>
    </row>
    <row r="206" spans="1:5" x14ac:dyDescent="0.2">
      <c r="A206" s="223">
        <v>2015</v>
      </c>
      <c r="B206" s="10">
        <v>88</v>
      </c>
      <c r="C206" s="23" t="s">
        <v>179</v>
      </c>
      <c r="D206" s="218" t="s">
        <v>235</v>
      </c>
      <c r="E206" s="10">
        <v>0.38</v>
      </c>
    </row>
    <row r="207" spans="1:5" x14ac:dyDescent="0.2">
      <c r="A207" s="223">
        <v>2015</v>
      </c>
      <c r="B207" s="10">
        <v>88</v>
      </c>
      <c r="C207" s="23" t="s">
        <v>179</v>
      </c>
      <c r="D207" s="218" t="s">
        <v>235</v>
      </c>
      <c r="E207" s="10">
        <v>0.38</v>
      </c>
    </row>
    <row r="208" spans="1:5" x14ac:dyDescent="0.2">
      <c r="A208" s="223">
        <v>2015</v>
      </c>
      <c r="B208" s="10">
        <v>88</v>
      </c>
      <c r="C208" s="23" t="s">
        <v>179</v>
      </c>
      <c r="D208" s="218" t="s">
        <v>235</v>
      </c>
      <c r="E208" s="10">
        <v>0.39</v>
      </c>
    </row>
    <row r="209" spans="1:5" x14ac:dyDescent="0.2">
      <c r="A209" s="223">
        <v>2015</v>
      </c>
      <c r="B209" s="10">
        <v>88</v>
      </c>
      <c r="C209" s="23" t="s">
        <v>179</v>
      </c>
      <c r="D209" s="218" t="s">
        <v>235</v>
      </c>
      <c r="E209" s="10">
        <v>0.79</v>
      </c>
    </row>
    <row r="210" spans="1:5" x14ac:dyDescent="0.2">
      <c r="A210" s="223">
        <v>2015</v>
      </c>
      <c r="B210" s="10">
        <v>88</v>
      </c>
      <c r="C210" s="23" t="s">
        <v>179</v>
      </c>
      <c r="D210" s="218" t="s">
        <v>235</v>
      </c>
      <c r="E210" s="10">
        <v>0.8</v>
      </c>
    </row>
    <row r="211" spans="1:5" x14ac:dyDescent="0.2">
      <c r="A211" s="223">
        <v>2015</v>
      </c>
      <c r="B211" s="10">
        <v>88</v>
      </c>
      <c r="C211" s="23" t="s">
        <v>179</v>
      </c>
      <c r="D211" s="218" t="s">
        <v>235</v>
      </c>
      <c r="E211" s="10">
        <v>0.39</v>
      </c>
    </row>
    <row r="212" spans="1:5" x14ac:dyDescent="0.2">
      <c r="A212" s="223">
        <v>2015</v>
      </c>
      <c r="B212" s="10">
        <v>88</v>
      </c>
      <c r="C212" s="23" t="s">
        <v>179</v>
      </c>
      <c r="D212" s="218" t="s">
        <v>184</v>
      </c>
      <c r="E212" s="10">
        <v>0.69</v>
      </c>
    </row>
    <row r="213" spans="1:5" x14ac:dyDescent="0.2">
      <c r="A213" s="223">
        <v>2015</v>
      </c>
      <c r="B213" s="10">
        <v>88</v>
      </c>
      <c r="C213" s="23" t="s">
        <v>179</v>
      </c>
      <c r="D213" s="218" t="s">
        <v>220</v>
      </c>
      <c r="E213" s="10">
        <v>0.74</v>
      </c>
    </row>
    <row r="214" spans="1:5" x14ac:dyDescent="0.2">
      <c r="A214" s="223">
        <v>2015</v>
      </c>
      <c r="B214" s="10">
        <v>88</v>
      </c>
      <c r="C214" s="23" t="s">
        <v>179</v>
      </c>
      <c r="D214" s="218" t="s">
        <v>220</v>
      </c>
      <c r="E214" s="10">
        <v>0.85</v>
      </c>
    </row>
    <row r="215" spans="1:5" x14ac:dyDescent="0.2">
      <c r="A215" s="223">
        <v>2015</v>
      </c>
      <c r="B215" s="10">
        <v>88</v>
      </c>
      <c r="C215" s="23" t="s">
        <v>179</v>
      </c>
      <c r="D215" s="218" t="s">
        <v>220</v>
      </c>
      <c r="E215" s="10">
        <v>0.95</v>
      </c>
    </row>
    <row r="216" spans="1:5" x14ac:dyDescent="0.2">
      <c r="A216" s="223">
        <v>2015</v>
      </c>
      <c r="B216" s="10">
        <v>88</v>
      </c>
      <c r="C216" s="23" t="s">
        <v>179</v>
      </c>
      <c r="D216" s="218" t="s">
        <v>220</v>
      </c>
      <c r="E216" s="10">
        <v>0.93</v>
      </c>
    </row>
    <row r="217" spans="1:5" x14ac:dyDescent="0.2">
      <c r="A217" s="223">
        <v>2015</v>
      </c>
      <c r="B217" s="10">
        <v>88</v>
      </c>
      <c r="C217" s="23" t="s">
        <v>179</v>
      </c>
      <c r="D217" s="218" t="s">
        <v>220</v>
      </c>
      <c r="E217" s="10">
        <v>0.8</v>
      </c>
    </row>
    <row r="218" spans="1:5" x14ac:dyDescent="0.2">
      <c r="A218" s="223">
        <v>2015</v>
      </c>
      <c r="B218" s="10">
        <v>88</v>
      </c>
      <c r="C218" s="23" t="s">
        <v>179</v>
      </c>
      <c r="D218" s="218" t="s">
        <v>180</v>
      </c>
      <c r="E218" s="10">
        <v>0.79</v>
      </c>
    </row>
    <row r="219" spans="1:5" x14ac:dyDescent="0.2">
      <c r="A219" s="223">
        <v>2015</v>
      </c>
      <c r="B219" s="10">
        <v>88</v>
      </c>
      <c r="C219" s="23" t="s">
        <v>179</v>
      </c>
      <c r="D219" s="218" t="s">
        <v>184</v>
      </c>
      <c r="E219" s="10">
        <v>0.9</v>
      </c>
    </row>
    <row r="220" spans="1:5" x14ac:dyDescent="0.2">
      <c r="A220" s="223">
        <v>2015</v>
      </c>
      <c r="B220" s="10">
        <v>88</v>
      </c>
      <c r="C220" s="23" t="s">
        <v>179</v>
      </c>
      <c r="D220" s="218" t="s">
        <v>220</v>
      </c>
      <c r="E220" s="10">
        <v>0.86</v>
      </c>
    </row>
    <row r="221" spans="1:5" x14ac:dyDescent="0.2">
      <c r="A221" s="223">
        <v>2015</v>
      </c>
      <c r="B221" s="10">
        <v>88</v>
      </c>
      <c r="C221" s="23" t="s">
        <v>179</v>
      </c>
      <c r="D221" s="218" t="s">
        <v>220</v>
      </c>
      <c r="E221" s="10">
        <v>0.9</v>
      </c>
    </row>
    <row r="222" spans="1:5" x14ac:dyDescent="0.2">
      <c r="A222" s="223">
        <v>2015</v>
      </c>
      <c r="B222" s="10">
        <v>88</v>
      </c>
      <c r="C222" s="23" t="s">
        <v>179</v>
      </c>
      <c r="D222" s="218" t="s">
        <v>235</v>
      </c>
      <c r="E222" s="10">
        <v>0.43</v>
      </c>
    </row>
    <row r="223" spans="1:5" x14ac:dyDescent="0.2">
      <c r="A223" s="223">
        <v>2015</v>
      </c>
      <c r="B223" s="10">
        <v>88</v>
      </c>
      <c r="C223" s="23" t="s">
        <v>179</v>
      </c>
      <c r="D223" s="218" t="s">
        <v>222</v>
      </c>
      <c r="E223" s="10">
        <v>0.86</v>
      </c>
    </row>
    <row r="224" spans="1:5" x14ac:dyDescent="0.2">
      <c r="A224" s="223">
        <v>2015</v>
      </c>
      <c r="B224" s="10">
        <v>88</v>
      </c>
      <c r="C224" s="23" t="s">
        <v>179</v>
      </c>
      <c r="D224" s="218" t="s">
        <v>222</v>
      </c>
      <c r="E224" s="10">
        <v>0.92</v>
      </c>
    </row>
    <row r="225" spans="1:5" x14ac:dyDescent="0.2">
      <c r="A225" s="223">
        <v>2015</v>
      </c>
      <c r="B225" s="10">
        <v>88</v>
      </c>
      <c r="C225" s="23" t="s">
        <v>179</v>
      </c>
      <c r="D225" s="218" t="s">
        <v>227</v>
      </c>
      <c r="E225" s="10">
        <v>0.53</v>
      </c>
    </row>
    <row r="226" spans="1:5" x14ac:dyDescent="0.2">
      <c r="A226" s="223">
        <v>2015</v>
      </c>
      <c r="B226" s="10">
        <v>88</v>
      </c>
      <c r="C226" s="23" t="s">
        <v>179</v>
      </c>
      <c r="D226" s="218" t="s">
        <v>237</v>
      </c>
      <c r="E226" s="10">
        <v>0.64</v>
      </c>
    </row>
    <row r="227" spans="1:5" x14ac:dyDescent="0.2">
      <c r="A227" s="223">
        <v>2015</v>
      </c>
      <c r="B227" s="10">
        <v>88</v>
      </c>
      <c r="C227" s="23" t="s">
        <v>179</v>
      </c>
      <c r="D227" s="218" t="s">
        <v>237</v>
      </c>
      <c r="E227" s="10">
        <v>0.9</v>
      </c>
    </row>
    <row r="228" spans="1:5" x14ac:dyDescent="0.2">
      <c r="A228" s="223">
        <v>2015</v>
      </c>
      <c r="B228" s="10">
        <v>88</v>
      </c>
      <c r="C228" s="23" t="s">
        <v>179</v>
      </c>
      <c r="D228" s="218" t="s">
        <v>223</v>
      </c>
      <c r="E228" s="10">
        <v>0.55000000000000004</v>
      </c>
    </row>
    <row r="229" spans="1:5" x14ac:dyDescent="0.2">
      <c r="A229" s="223">
        <v>2015</v>
      </c>
      <c r="B229" s="10">
        <v>88</v>
      </c>
      <c r="C229" s="23" t="s">
        <v>179</v>
      </c>
      <c r="D229" s="218" t="s">
        <v>239</v>
      </c>
      <c r="E229" s="10">
        <v>0.56000000000000005</v>
      </c>
    </row>
    <row r="230" spans="1:5" x14ac:dyDescent="0.2">
      <c r="A230" s="223">
        <v>2015</v>
      </c>
      <c r="B230" s="10">
        <v>88</v>
      </c>
      <c r="C230" s="23" t="s">
        <v>179</v>
      </c>
      <c r="D230" s="218" t="s">
        <v>184</v>
      </c>
      <c r="E230" s="10">
        <v>0.68</v>
      </c>
    </row>
    <row r="231" spans="1:5" x14ac:dyDescent="0.2">
      <c r="A231" s="223">
        <v>2015</v>
      </c>
      <c r="B231" s="10">
        <v>88</v>
      </c>
      <c r="C231" s="23" t="s">
        <v>179</v>
      </c>
      <c r="D231" s="218" t="s">
        <v>198</v>
      </c>
      <c r="E231" s="10">
        <v>0.4</v>
      </c>
    </row>
    <row r="232" spans="1:5" x14ac:dyDescent="0.2">
      <c r="A232" s="223">
        <v>2015</v>
      </c>
      <c r="B232" s="10">
        <v>88</v>
      </c>
      <c r="C232" s="23" t="s">
        <v>179</v>
      </c>
      <c r="D232" s="218" t="s">
        <v>198</v>
      </c>
      <c r="E232" s="10">
        <v>0.42</v>
      </c>
    </row>
    <row r="233" spans="1:5" x14ac:dyDescent="0.2">
      <c r="A233" s="223">
        <v>2015</v>
      </c>
      <c r="B233" s="10">
        <v>88</v>
      </c>
      <c r="C233" s="23" t="s">
        <v>179</v>
      </c>
      <c r="D233" s="218" t="s">
        <v>198</v>
      </c>
      <c r="E233" s="10">
        <v>0.43</v>
      </c>
    </row>
    <row r="234" spans="1:5" x14ac:dyDescent="0.2">
      <c r="A234" s="223">
        <v>2015</v>
      </c>
      <c r="B234" s="10">
        <v>88</v>
      </c>
      <c r="C234" s="23" t="s">
        <v>179</v>
      </c>
      <c r="D234" s="218" t="s">
        <v>198</v>
      </c>
      <c r="E234" s="10">
        <v>0.37</v>
      </c>
    </row>
    <row r="235" spans="1:5" x14ac:dyDescent="0.2">
      <c r="A235" s="223">
        <v>2015</v>
      </c>
      <c r="B235" s="10">
        <v>88</v>
      </c>
      <c r="C235" s="23" t="s">
        <v>179</v>
      </c>
      <c r="D235" s="218" t="s">
        <v>198</v>
      </c>
      <c r="E235" s="10">
        <v>0.44</v>
      </c>
    </row>
    <row r="236" spans="1:5" x14ac:dyDescent="0.2">
      <c r="A236" s="223">
        <v>2015</v>
      </c>
      <c r="B236" s="10">
        <v>88</v>
      </c>
      <c r="C236" s="23" t="s">
        <v>179</v>
      </c>
      <c r="D236" s="218" t="s">
        <v>233</v>
      </c>
      <c r="E236" s="10">
        <v>0.33</v>
      </c>
    </row>
    <row r="237" spans="1:5" x14ac:dyDescent="0.2">
      <c r="A237" s="223">
        <v>2015</v>
      </c>
      <c r="B237" s="10">
        <v>88</v>
      </c>
      <c r="C237" s="23" t="s">
        <v>179</v>
      </c>
      <c r="D237" s="218" t="s">
        <v>238</v>
      </c>
      <c r="E237" s="10">
        <v>0.83</v>
      </c>
    </row>
    <row r="238" spans="1:5" x14ac:dyDescent="0.2">
      <c r="A238" s="223">
        <v>2015</v>
      </c>
      <c r="B238" s="10">
        <v>88</v>
      </c>
      <c r="C238" s="23" t="s">
        <v>179</v>
      </c>
      <c r="D238" s="218" t="s">
        <v>233</v>
      </c>
      <c r="E238" s="10">
        <v>0.95</v>
      </c>
    </row>
    <row r="239" spans="1:5" x14ac:dyDescent="0.2">
      <c r="A239" s="223">
        <v>2015</v>
      </c>
      <c r="B239" s="10">
        <v>88</v>
      </c>
      <c r="C239" s="23" t="s">
        <v>179</v>
      </c>
      <c r="D239" s="218" t="s">
        <v>245</v>
      </c>
      <c r="E239" s="10">
        <v>0.85</v>
      </c>
    </row>
    <row r="240" spans="1:5" x14ac:dyDescent="0.2">
      <c r="A240" s="223">
        <v>2015</v>
      </c>
      <c r="B240" s="10">
        <v>88</v>
      </c>
      <c r="C240" s="23" t="s">
        <v>179</v>
      </c>
      <c r="D240" s="218" t="s">
        <v>245</v>
      </c>
      <c r="E240" s="10">
        <v>0.84</v>
      </c>
    </row>
    <row r="241" spans="1:5" x14ac:dyDescent="0.2">
      <c r="A241" s="223">
        <v>2015</v>
      </c>
      <c r="B241" s="10">
        <v>88</v>
      </c>
      <c r="C241" s="23" t="s">
        <v>179</v>
      </c>
      <c r="D241" s="218" t="s">
        <v>245</v>
      </c>
      <c r="E241" s="10">
        <v>0.97</v>
      </c>
    </row>
    <row r="242" spans="1:5" x14ac:dyDescent="0.2">
      <c r="A242" s="223">
        <v>2015</v>
      </c>
      <c r="B242" s="10">
        <v>88</v>
      </c>
      <c r="C242" s="23" t="s">
        <v>179</v>
      </c>
      <c r="D242" s="218" t="s">
        <v>220</v>
      </c>
      <c r="E242" s="10">
        <v>0.83</v>
      </c>
    </row>
    <row r="243" spans="1:5" x14ac:dyDescent="0.2">
      <c r="A243" s="223">
        <v>2015</v>
      </c>
      <c r="B243" s="10">
        <v>88</v>
      </c>
      <c r="C243" s="23" t="s">
        <v>179</v>
      </c>
      <c r="D243" s="218" t="s">
        <v>186</v>
      </c>
      <c r="E243" s="10">
        <v>0.37</v>
      </c>
    </row>
    <row r="244" spans="1:5" x14ac:dyDescent="0.2">
      <c r="A244" s="223">
        <v>2015</v>
      </c>
      <c r="B244" s="10">
        <v>88</v>
      </c>
      <c r="C244" s="23" t="s">
        <v>179</v>
      </c>
      <c r="D244" s="218" t="s">
        <v>186</v>
      </c>
      <c r="E244" s="10">
        <v>0.39</v>
      </c>
    </row>
    <row r="245" spans="1:5" x14ac:dyDescent="0.2">
      <c r="A245" s="223">
        <v>2015</v>
      </c>
      <c r="B245" s="10">
        <v>88</v>
      </c>
      <c r="C245" s="23" t="s">
        <v>179</v>
      </c>
      <c r="D245" s="218" t="s">
        <v>186</v>
      </c>
      <c r="E245" s="10">
        <v>0.39</v>
      </c>
    </row>
    <row r="246" spans="1:5" x14ac:dyDescent="0.2">
      <c r="A246" s="223">
        <v>2015</v>
      </c>
      <c r="B246" s="10">
        <v>88</v>
      </c>
      <c r="C246" s="23" t="s">
        <v>179</v>
      </c>
      <c r="D246" s="218" t="s">
        <v>186</v>
      </c>
      <c r="E246" s="10">
        <v>0.92</v>
      </c>
    </row>
    <row r="247" spans="1:5" x14ac:dyDescent="0.2">
      <c r="A247" s="223">
        <v>2015</v>
      </c>
      <c r="B247" s="10">
        <v>88</v>
      </c>
      <c r="C247" s="23" t="s">
        <v>179</v>
      </c>
      <c r="D247" s="218" t="s">
        <v>186</v>
      </c>
      <c r="E247" s="10">
        <v>0.98</v>
      </c>
    </row>
    <row r="248" spans="1:5" x14ac:dyDescent="0.2">
      <c r="A248" s="223">
        <v>2015</v>
      </c>
      <c r="B248" s="10">
        <v>88</v>
      </c>
      <c r="C248" s="23" t="s">
        <v>179</v>
      </c>
      <c r="D248" s="218" t="s">
        <v>186</v>
      </c>
      <c r="E248" s="10">
        <v>1</v>
      </c>
    </row>
    <row r="249" spans="1:5" x14ac:dyDescent="0.2">
      <c r="A249" s="223">
        <v>2015</v>
      </c>
      <c r="B249" s="10">
        <v>88</v>
      </c>
      <c r="C249" s="23" t="s">
        <v>179</v>
      </c>
      <c r="D249" s="218" t="s">
        <v>184</v>
      </c>
      <c r="E249" s="10">
        <v>0.84</v>
      </c>
    </row>
    <row r="250" spans="1:5" x14ac:dyDescent="0.2">
      <c r="A250" s="223">
        <v>2015</v>
      </c>
      <c r="B250" s="10">
        <v>88</v>
      </c>
      <c r="C250" s="23" t="s">
        <v>179</v>
      </c>
      <c r="D250" s="218" t="s">
        <v>182</v>
      </c>
      <c r="E250" s="10">
        <v>0.77</v>
      </c>
    </row>
    <row r="251" spans="1:5" x14ac:dyDescent="0.2">
      <c r="A251" s="223">
        <v>2015</v>
      </c>
      <c r="B251" s="10">
        <v>88</v>
      </c>
      <c r="C251" s="23" t="s">
        <v>179</v>
      </c>
      <c r="D251" s="218" t="s">
        <v>220</v>
      </c>
      <c r="E251" s="10">
        <v>0.85</v>
      </c>
    </row>
    <row r="252" spans="1:5" x14ac:dyDescent="0.2">
      <c r="A252" s="223">
        <v>2015</v>
      </c>
      <c r="B252" s="10">
        <v>88</v>
      </c>
      <c r="C252" s="23" t="s">
        <v>179</v>
      </c>
      <c r="D252" s="218" t="s">
        <v>240</v>
      </c>
      <c r="E252" s="10">
        <v>0.82</v>
      </c>
    </row>
    <row r="253" spans="1:5" x14ac:dyDescent="0.2">
      <c r="A253" s="223">
        <v>2015</v>
      </c>
      <c r="B253" s="10">
        <v>88</v>
      </c>
      <c r="C253" s="23" t="s">
        <v>179</v>
      </c>
      <c r="D253" s="218" t="s">
        <v>182</v>
      </c>
      <c r="E253" s="10">
        <v>0.8</v>
      </c>
    </row>
    <row r="254" spans="1:5" x14ac:dyDescent="0.2">
      <c r="A254" s="223">
        <v>2015</v>
      </c>
      <c r="B254" s="10">
        <v>88</v>
      </c>
      <c r="C254" s="23" t="s">
        <v>179</v>
      </c>
      <c r="D254" s="218" t="s">
        <v>182</v>
      </c>
      <c r="E254" s="10">
        <v>0.7</v>
      </c>
    </row>
    <row r="255" spans="1:5" x14ac:dyDescent="0.2">
      <c r="A255" s="223">
        <v>2015</v>
      </c>
      <c r="B255" s="10">
        <v>88</v>
      </c>
      <c r="C255" s="23" t="s">
        <v>179</v>
      </c>
      <c r="D255" s="218" t="s">
        <v>220</v>
      </c>
      <c r="E255" s="10">
        <v>0.79</v>
      </c>
    </row>
    <row r="256" spans="1:5" x14ac:dyDescent="0.2">
      <c r="A256" s="223">
        <v>2015</v>
      </c>
      <c r="B256" s="10">
        <v>88</v>
      </c>
      <c r="C256" s="23" t="s">
        <v>179</v>
      </c>
      <c r="D256" s="218" t="s">
        <v>220</v>
      </c>
      <c r="E256" s="10">
        <v>0.8</v>
      </c>
    </row>
    <row r="257" spans="1:5" x14ac:dyDescent="0.2">
      <c r="A257" s="223">
        <v>2015</v>
      </c>
      <c r="B257" s="10">
        <v>88</v>
      </c>
      <c r="C257" s="23" t="s">
        <v>179</v>
      </c>
      <c r="D257" s="218" t="s">
        <v>220</v>
      </c>
      <c r="E257" s="10">
        <v>0.82</v>
      </c>
    </row>
    <row r="258" spans="1:5" x14ac:dyDescent="0.2">
      <c r="A258" s="223">
        <v>2015</v>
      </c>
      <c r="B258" s="10">
        <v>88</v>
      </c>
      <c r="C258" s="23" t="s">
        <v>179</v>
      </c>
      <c r="D258" s="218" t="s">
        <v>220</v>
      </c>
      <c r="E258" s="10">
        <v>0.86</v>
      </c>
    </row>
    <row r="259" spans="1:5" x14ac:dyDescent="0.2">
      <c r="A259" s="223">
        <v>2015</v>
      </c>
      <c r="B259" s="10">
        <v>88</v>
      </c>
      <c r="C259" s="23" t="s">
        <v>179</v>
      </c>
      <c r="D259" s="218" t="s">
        <v>220</v>
      </c>
      <c r="E259" s="10">
        <v>0.71</v>
      </c>
    </row>
    <row r="260" spans="1:5" x14ac:dyDescent="0.2">
      <c r="A260" s="223">
        <v>2015</v>
      </c>
      <c r="B260" s="10">
        <v>88</v>
      </c>
      <c r="C260" s="23" t="s">
        <v>179</v>
      </c>
      <c r="D260" s="218" t="s">
        <v>220</v>
      </c>
      <c r="E260" s="10">
        <v>0.72</v>
      </c>
    </row>
    <row r="261" spans="1:5" x14ac:dyDescent="0.2">
      <c r="A261" s="223">
        <v>2015</v>
      </c>
      <c r="B261" s="10">
        <v>88</v>
      </c>
      <c r="C261" s="23" t="s">
        <v>179</v>
      </c>
      <c r="D261" s="218" t="s">
        <v>217</v>
      </c>
      <c r="E261" s="10">
        <v>0.82</v>
      </c>
    </row>
    <row r="262" spans="1:5" x14ac:dyDescent="0.2">
      <c r="A262" s="224">
        <v>2016</v>
      </c>
      <c r="B262" s="10">
        <v>88</v>
      </c>
      <c r="C262" s="23" t="s">
        <v>179</v>
      </c>
      <c r="D262" s="23" t="s">
        <v>215</v>
      </c>
      <c r="E262" s="10">
        <v>0.32</v>
      </c>
    </row>
    <row r="263" spans="1:5" x14ac:dyDescent="0.2">
      <c r="A263" s="224">
        <v>2016</v>
      </c>
      <c r="B263" s="10">
        <v>88</v>
      </c>
      <c r="C263" s="23" t="s">
        <v>179</v>
      </c>
      <c r="D263" s="23" t="s">
        <v>229</v>
      </c>
      <c r="E263" s="10">
        <v>0.66</v>
      </c>
    </row>
    <row r="264" spans="1:5" x14ac:dyDescent="0.2">
      <c r="A264" s="224">
        <v>2016</v>
      </c>
      <c r="B264" s="10">
        <v>88</v>
      </c>
      <c r="C264" s="23" t="s">
        <v>179</v>
      </c>
      <c r="D264" s="23" t="s">
        <v>227</v>
      </c>
      <c r="E264" s="10">
        <v>0.52</v>
      </c>
    </row>
    <row r="265" spans="1:5" x14ac:dyDescent="0.2">
      <c r="A265" s="224">
        <v>2016</v>
      </c>
      <c r="B265" s="10">
        <v>88</v>
      </c>
      <c r="C265" s="23" t="s">
        <v>179</v>
      </c>
      <c r="D265" s="23" t="s">
        <v>186</v>
      </c>
      <c r="E265" s="10">
        <v>0.77</v>
      </c>
    </row>
    <row r="266" spans="1:5" x14ac:dyDescent="0.2">
      <c r="A266" s="224">
        <v>2016</v>
      </c>
      <c r="B266" s="10">
        <v>88</v>
      </c>
      <c r="C266" s="23" t="s">
        <v>179</v>
      </c>
      <c r="D266" s="23" t="s">
        <v>227</v>
      </c>
      <c r="E266" s="10">
        <v>0.5</v>
      </c>
    </row>
    <row r="267" spans="1:5" x14ac:dyDescent="0.2">
      <c r="A267" s="224">
        <v>2016</v>
      </c>
      <c r="B267" s="10">
        <v>88</v>
      </c>
      <c r="C267" s="23" t="s">
        <v>179</v>
      </c>
      <c r="D267" s="23" t="s">
        <v>184</v>
      </c>
      <c r="E267" s="10">
        <v>0.79</v>
      </c>
    </row>
    <row r="268" spans="1:5" x14ac:dyDescent="0.2">
      <c r="A268" s="224">
        <v>2016</v>
      </c>
      <c r="B268" s="10">
        <v>88</v>
      </c>
      <c r="C268" s="23" t="s">
        <v>179</v>
      </c>
      <c r="D268" s="23" t="s">
        <v>206</v>
      </c>
      <c r="E268" s="10">
        <v>0.81</v>
      </c>
    </row>
    <row r="269" spans="1:5" x14ac:dyDescent="0.2">
      <c r="A269" s="225">
        <v>2017</v>
      </c>
      <c r="B269" s="10">
        <v>88</v>
      </c>
      <c r="C269" s="23" t="s">
        <v>179</v>
      </c>
      <c r="D269" s="23" t="s">
        <v>229</v>
      </c>
      <c r="E269" s="10">
        <v>0.54</v>
      </c>
    </row>
    <row r="270" spans="1:5" x14ac:dyDescent="0.2">
      <c r="A270" s="225">
        <v>2017</v>
      </c>
      <c r="B270" s="10">
        <v>88</v>
      </c>
      <c r="C270" s="23" t="s">
        <v>179</v>
      </c>
      <c r="D270" s="23" t="s">
        <v>229</v>
      </c>
      <c r="E270" s="10">
        <v>0.64</v>
      </c>
    </row>
    <row r="271" spans="1:5" x14ac:dyDescent="0.2">
      <c r="A271" s="225">
        <v>2017</v>
      </c>
      <c r="B271" s="10">
        <v>88</v>
      </c>
      <c r="C271" s="23" t="s">
        <v>179</v>
      </c>
      <c r="D271" s="23" t="s">
        <v>229</v>
      </c>
      <c r="E271" s="10">
        <v>0.62</v>
      </c>
    </row>
    <row r="272" spans="1:5" x14ac:dyDescent="0.2">
      <c r="A272" s="225">
        <v>2017</v>
      </c>
      <c r="B272" s="10">
        <v>88</v>
      </c>
      <c r="C272" s="23" t="s">
        <v>179</v>
      </c>
      <c r="D272" s="23" t="s">
        <v>229</v>
      </c>
      <c r="E272" s="10">
        <v>0.65</v>
      </c>
    </row>
    <row r="273" spans="1:5" x14ac:dyDescent="0.2">
      <c r="A273" s="225">
        <v>2017</v>
      </c>
      <c r="B273" s="10">
        <v>88</v>
      </c>
      <c r="C273" s="23" t="s">
        <v>179</v>
      </c>
      <c r="D273" s="23" t="s">
        <v>246</v>
      </c>
      <c r="E273" s="10">
        <v>0.56999999999999995</v>
      </c>
    </row>
    <row r="274" spans="1:5" x14ac:dyDescent="0.2">
      <c r="A274" s="225">
        <v>2017</v>
      </c>
      <c r="B274" s="10">
        <v>88</v>
      </c>
      <c r="C274" s="23" t="s">
        <v>179</v>
      </c>
      <c r="D274" s="23" t="s">
        <v>180</v>
      </c>
      <c r="E274" s="10">
        <v>0.42</v>
      </c>
    </row>
    <row r="275" spans="1:5" x14ac:dyDescent="0.2">
      <c r="A275" s="225">
        <v>2017</v>
      </c>
      <c r="B275" s="10">
        <v>88</v>
      </c>
      <c r="C275" s="23" t="s">
        <v>179</v>
      </c>
      <c r="D275" s="23" t="s">
        <v>229</v>
      </c>
      <c r="E275" s="10">
        <v>0.65</v>
      </c>
    </row>
    <row r="276" spans="1:5" x14ac:dyDescent="0.2">
      <c r="A276" s="225">
        <v>2017</v>
      </c>
      <c r="B276" s="10">
        <v>88</v>
      </c>
      <c r="C276" s="23" t="s">
        <v>179</v>
      </c>
      <c r="D276" s="23" t="s">
        <v>229</v>
      </c>
      <c r="E276" s="10">
        <v>0.67</v>
      </c>
    </row>
    <row r="277" spans="1:5" x14ac:dyDescent="0.2">
      <c r="A277" s="225">
        <v>2017</v>
      </c>
      <c r="B277" s="10">
        <v>88</v>
      </c>
      <c r="C277" s="23" t="s">
        <v>179</v>
      </c>
      <c r="D277" s="23" t="s">
        <v>229</v>
      </c>
      <c r="E277" s="10">
        <v>0.63</v>
      </c>
    </row>
    <row r="278" spans="1:5" x14ac:dyDescent="0.2">
      <c r="A278" s="225">
        <v>2017</v>
      </c>
      <c r="B278" s="10">
        <v>88</v>
      </c>
      <c r="C278" s="23" t="s">
        <v>179</v>
      </c>
      <c r="D278" s="23" t="s">
        <v>229</v>
      </c>
      <c r="E278" s="10">
        <v>0.66</v>
      </c>
    </row>
    <row r="279" spans="1:5" x14ac:dyDescent="0.2">
      <c r="A279" s="225">
        <v>2017</v>
      </c>
      <c r="B279" s="10">
        <v>88</v>
      </c>
      <c r="C279" s="23" t="s">
        <v>179</v>
      </c>
      <c r="D279" s="23" t="s">
        <v>220</v>
      </c>
      <c r="E279" s="10">
        <v>0.88</v>
      </c>
    </row>
    <row r="280" spans="1:5" x14ac:dyDescent="0.2">
      <c r="A280" s="225">
        <v>2017</v>
      </c>
      <c r="B280" s="10">
        <v>88</v>
      </c>
      <c r="C280" s="23" t="s">
        <v>179</v>
      </c>
      <c r="D280" s="23" t="s">
        <v>220</v>
      </c>
      <c r="E280" s="10">
        <v>0.87</v>
      </c>
    </row>
    <row r="281" spans="1:5" x14ac:dyDescent="0.2">
      <c r="A281" s="225">
        <v>2017</v>
      </c>
      <c r="B281" s="10">
        <v>88</v>
      </c>
      <c r="C281" s="23" t="s">
        <v>179</v>
      </c>
      <c r="D281" s="23" t="s">
        <v>220</v>
      </c>
      <c r="E281" s="10">
        <v>0.89</v>
      </c>
    </row>
    <row r="282" spans="1:5" x14ac:dyDescent="0.2">
      <c r="A282" s="225">
        <v>2017</v>
      </c>
      <c r="B282" s="10">
        <v>88</v>
      </c>
      <c r="C282" s="23" t="s">
        <v>179</v>
      </c>
      <c r="D282" s="23" t="s">
        <v>220</v>
      </c>
      <c r="E282" s="10">
        <v>0.82</v>
      </c>
    </row>
    <row r="283" spans="1:5" x14ac:dyDescent="0.2">
      <c r="A283" s="225">
        <v>2017</v>
      </c>
      <c r="B283" s="10">
        <v>88</v>
      </c>
      <c r="C283" s="23" t="s">
        <v>179</v>
      </c>
      <c r="D283" s="23" t="s">
        <v>220</v>
      </c>
      <c r="E283" s="10">
        <v>0.83</v>
      </c>
    </row>
    <row r="284" spans="1:5" x14ac:dyDescent="0.2">
      <c r="A284" s="225">
        <v>2017</v>
      </c>
      <c r="B284" s="10">
        <v>88</v>
      </c>
      <c r="C284" s="23" t="s">
        <v>179</v>
      </c>
      <c r="D284" s="23" t="s">
        <v>220</v>
      </c>
      <c r="E284" s="10">
        <v>0.83</v>
      </c>
    </row>
    <row r="285" spans="1:5" x14ac:dyDescent="0.2">
      <c r="A285" s="225">
        <v>2017</v>
      </c>
      <c r="B285" s="10">
        <v>88</v>
      </c>
      <c r="C285" s="23" t="s">
        <v>179</v>
      </c>
      <c r="D285" s="23" t="s">
        <v>184</v>
      </c>
      <c r="E285" s="10">
        <v>0.82</v>
      </c>
    </row>
    <row r="286" spans="1:5" x14ac:dyDescent="0.2">
      <c r="A286" s="225">
        <v>2017</v>
      </c>
      <c r="B286" s="10">
        <v>88</v>
      </c>
      <c r="C286" s="23" t="s">
        <v>179</v>
      </c>
      <c r="D286" s="23" t="s">
        <v>247</v>
      </c>
      <c r="E286" s="10">
        <v>0.69</v>
      </c>
    </row>
    <row r="287" spans="1:5" x14ac:dyDescent="0.2">
      <c r="A287" s="225">
        <v>2017</v>
      </c>
      <c r="B287" s="10">
        <v>88</v>
      </c>
      <c r="C287" s="23" t="s">
        <v>179</v>
      </c>
      <c r="D287" s="23" t="s">
        <v>220</v>
      </c>
      <c r="E287" s="10">
        <v>0.85</v>
      </c>
    </row>
    <row r="288" spans="1:5" x14ac:dyDescent="0.2">
      <c r="A288" s="225">
        <v>2017</v>
      </c>
      <c r="B288" s="10">
        <v>88</v>
      </c>
      <c r="C288" s="23" t="s">
        <v>179</v>
      </c>
      <c r="D288" s="23" t="s">
        <v>248</v>
      </c>
      <c r="E288" s="10">
        <v>0.56000000000000005</v>
      </c>
    </row>
    <row r="289" spans="1:5" x14ac:dyDescent="0.2">
      <c r="A289" s="225">
        <v>2017</v>
      </c>
      <c r="B289" s="10">
        <v>88</v>
      </c>
      <c r="C289" s="23" t="s">
        <v>179</v>
      </c>
      <c r="D289" s="23" t="s">
        <v>220</v>
      </c>
      <c r="E289" s="10">
        <v>1.05</v>
      </c>
    </row>
    <row r="290" spans="1:5" x14ac:dyDescent="0.2">
      <c r="A290" s="225">
        <v>2017</v>
      </c>
      <c r="B290" s="10">
        <v>88</v>
      </c>
      <c r="C290" s="23" t="s">
        <v>179</v>
      </c>
      <c r="D290" s="23" t="s">
        <v>180</v>
      </c>
      <c r="E290" s="10">
        <v>0.73</v>
      </c>
    </row>
    <row r="291" spans="1:5" x14ac:dyDescent="0.2">
      <c r="A291" s="225">
        <v>2017</v>
      </c>
      <c r="B291" s="10">
        <v>88</v>
      </c>
      <c r="C291" s="23" t="s">
        <v>179</v>
      </c>
      <c r="D291" s="23" t="s">
        <v>180</v>
      </c>
      <c r="E291" s="10">
        <v>0.75</v>
      </c>
    </row>
    <row r="292" spans="1:5" x14ac:dyDescent="0.2">
      <c r="A292" s="225">
        <v>2017</v>
      </c>
      <c r="B292" s="10">
        <v>88</v>
      </c>
      <c r="C292" s="23" t="s">
        <v>179</v>
      </c>
      <c r="D292" s="23" t="s">
        <v>206</v>
      </c>
      <c r="E292" s="10">
        <v>0.72</v>
      </c>
    </row>
    <row r="293" spans="1:5" x14ac:dyDescent="0.2">
      <c r="A293" s="225">
        <v>2017</v>
      </c>
      <c r="B293" s="10">
        <v>88</v>
      </c>
      <c r="C293" s="23" t="s">
        <v>179</v>
      </c>
      <c r="D293" s="23" t="s">
        <v>206</v>
      </c>
      <c r="E293" s="10">
        <v>0.64</v>
      </c>
    </row>
    <row r="294" spans="1:5" x14ac:dyDescent="0.2">
      <c r="A294" s="226">
        <v>2018</v>
      </c>
      <c r="B294" s="10">
        <v>88</v>
      </c>
      <c r="C294" s="23" t="s">
        <v>179</v>
      </c>
      <c r="D294" s="23" t="s">
        <v>229</v>
      </c>
      <c r="E294" s="10">
        <v>0.56000000000000005</v>
      </c>
    </row>
    <row r="295" spans="1:5" x14ac:dyDescent="0.2">
      <c r="A295" s="226">
        <v>2018</v>
      </c>
      <c r="B295" s="10">
        <v>88</v>
      </c>
      <c r="C295" s="23" t="s">
        <v>179</v>
      </c>
      <c r="D295" s="23" t="s">
        <v>229</v>
      </c>
      <c r="E295" s="10">
        <v>0.56000000000000005</v>
      </c>
    </row>
    <row r="296" spans="1:5" x14ac:dyDescent="0.2">
      <c r="A296" s="226">
        <v>2018</v>
      </c>
      <c r="B296" s="10">
        <v>88</v>
      </c>
      <c r="C296" s="23" t="s">
        <v>179</v>
      </c>
      <c r="D296" s="23" t="s">
        <v>229</v>
      </c>
      <c r="E296" s="10">
        <v>0.56999999999999995</v>
      </c>
    </row>
    <row r="297" spans="1:5" x14ac:dyDescent="0.2">
      <c r="A297" s="226">
        <v>2018</v>
      </c>
      <c r="B297" s="10">
        <v>88</v>
      </c>
      <c r="C297" s="23" t="s">
        <v>179</v>
      </c>
      <c r="D297" s="23" t="s">
        <v>248</v>
      </c>
      <c r="E297" s="10">
        <v>0.7</v>
      </c>
    </row>
    <row r="298" spans="1:5" x14ac:dyDescent="0.2">
      <c r="A298" s="226">
        <v>2018</v>
      </c>
      <c r="B298" s="10">
        <v>88</v>
      </c>
      <c r="C298" s="23" t="s">
        <v>179</v>
      </c>
      <c r="D298" s="23" t="s">
        <v>180</v>
      </c>
      <c r="E298" s="10">
        <v>0.61</v>
      </c>
    </row>
    <row r="299" spans="1:5" x14ac:dyDescent="0.2">
      <c r="A299" s="226">
        <v>2018</v>
      </c>
      <c r="B299" s="10">
        <v>88</v>
      </c>
      <c r="C299" s="23" t="s">
        <v>179</v>
      </c>
      <c r="D299" s="23" t="s">
        <v>180</v>
      </c>
      <c r="E299" s="10">
        <v>0.56999999999999995</v>
      </c>
    </row>
    <row r="300" spans="1:5" x14ac:dyDescent="0.2">
      <c r="A300" s="226">
        <v>2018</v>
      </c>
      <c r="B300" s="10">
        <v>88</v>
      </c>
      <c r="C300" s="23" t="s">
        <v>179</v>
      </c>
      <c r="D300" s="23" t="s">
        <v>180</v>
      </c>
      <c r="E300" s="10">
        <v>0.56999999999999995</v>
      </c>
    </row>
    <row r="301" spans="1:5" x14ac:dyDescent="0.2">
      <c r="A301" s="226">
        <v>2018</v>
      </c>
      <c r="B301" s="10">
        <v>88</v>
      </c>
      <c r="C301" s="23" t="s">
        <v>179</v>
      </c>
      <c r="D301" s="23" t="s">
        <v>180</v>
      </c>
      <c r="E301" s="10">
        <v>0.56000000000000005</v>
      </c>
    </row>
    <row r="302" spans="1:5" x14ac:dyDescent="0.2">
      <c r="A302" s="226">
        <v>2018</v>
      </c>
      <c r="B302" s="10">
        <v>88</v>
      </c>
      <c r="C302" s="23" t="s">
        <v>179</v>
      </c>
      <c r="D302" s="23" t="s">
        <v>184</v>
      </c>
      <c r="E302" s="10">
        <v>0.94</v>
      </c>
    </row>
    <row r="303" spans="1:5" x14ac:dyDescent="0.2">
      <c r="A303" s="226">
        <v>2018</v>
      </c>
      <c r="B303" s="10">
        <v>88</v>
      </c>
      <c r="C303" s="23" t="s">
        <v>179</v>
      </c>
      <c r="D303" s="23" t="s">
        <v>220</v>
      </c>
      <c r="E303" s="10">
        <v>0.71</v>
      </c>
    </row>
    <row r="304" spans="1:5" x14ac:dyDescent="0.2">
      <c r="A304" s="226">
        <v>2018</v>
      </c>
      <c r="B304" s="10">
        <v>88</v>
      </c>
      <c r="C304" s="23" t="s">
        <v>179</v>
      </c>
      <c r="D304" s="23" t="s">
        <v>220</v>
      </c>
      <c r="E304" s="10">
        <v>0.77</v>
      </c>
    </row>
    <row r="305" spans="1:10" x14ac:dyDescent="0.2">
      <c r="A305" s="226">
        <v>2018</v>
      </c>
      <c r="B305" s="10">
        <v>88</v>
      </c>
      <c r="C305" s="23" t="s">
        <v>179</v>
      </c>
      <c r="D305" s="23" t="s">
        <v>220</v>
      </c>
      <c r="E305" s="10">
        <v>0.78</v>
      </c>
    </row>
    <row r="306" spans="1:10" x14ac:dyDescent="0.2">
      <c r="A306" s="226">
        <v>2018</v>
      </c>
      <c r="B306" s="10">
        <v>88</v>
      </c>
      <c r="C306" s="23" t="s">
        <v>179</v>
      </c>
      <c r="D306" s="23" t="s">
        <v>220</v>
      </c>
      <c r="E306" s="10">
        <v>0.72</v>
      </c>
    </row>
    <row r="307" spans="1:10" x14ac:dyDescent="0.2">
      <c r="A307" s="226">
        <v>2018</v>
      </c>
      <c r="B307" s="10">
        <v>88</v>
      </c>
      <c r="C307" s="23" t="s">
        <v>179</v>
      </c>
      <c r="D307" s="23" t="s">
        <v>220</v>
      </c>
      <c r="E307" s="10">
        <v>0.7</v>
      </c>
    </row>
    <row r="308" spans="1:10" x14ac:dyDescent="0.2">
      <c r="A308" s="226">
        <v>2018</v>
      </c>
      <c r="B308" s="10">
        <v>88</v>
      </c>
      <c r="C308" s="23" t="s">
        <v>179</v>
      </c>
      <c r="D308" s="23" t="s">
        <v>220</v>
      </c>
      <c r="E308" s="10">
        <v>0.7</v>
      </c>
    </row>
    <row r="309" spans="1:10" x14ac:dyDescent="0.2">
      <c r="A309" s="226">
        <v>2018</v>
      </c>
      <c r="B309" s="10">
        <v>88</v>
      </c>
      <c r="C309" s="23" t="s">
        <v>179</v>
      </c>
      <c r="D309" s="23" t="s">
        <v>220</v>
      </c>
      <c r="E309" s="10">
        <v>0.79</v>
      </c>
    </row>
    <row r="310" spans="1:10" x14ac:dyDescent="0.2">
      <c r="A310" s="226">
        <v>2018</v>
      </c>
      <c r="B310" s="10">
        <v>88</v>
      </c>
      <c r="C310" s="23" t="s">
        <v>179</v>
      </c>
      <c r="D310" s="23" t="s">
        <v>222</v>
      </c>
      <c r="E310" s="10">
        <v>0.38</v>
      </c>
    </row>
    <row r="311" spans="1:10" x14ac:dyDescent="0.2">
      <c r="A311" s="226">
        <v>2018</v>
      </c>
      <c r="B311" s="10">
        <v>88</v>
      </c>
      <c r="C311" s="23" t="s">
        <v>179</v>
      </c>
      <c r="D311" s="23" t="s">
        <v>180</v>
      </c>
      <c r="E311" s="10">
        <v>0.37</v>
      </c>
    </row>
    <row r="312" spans="1:10" x14ac:dyDescent="0.2">
      <c r="A312" s="226">
        <v>2018</v>
      </c>
      <c r="B312" s="10">
        <v>88</v>
      </c>
      <c r="C312" s="23" t="s">
        <v>179</v>
      </c>
      <c r="D312" s="23" t="s">
        <v>233</v>
      </c>
      <c r="E312" s="10">
        <v>0.62</v>
      </c>
    </row>
    <row r="313" spans="1:10" x14ac:dyDescent="0.2">
      <c r="A313" s="226">
        <v>2018</v>
      </c>
      <c r="B313" s="10">
        <v>88</v>
      </c>
      <c r="C313" s="23" t="s">
        <v>179</v>
      </c>
      <c r="D313" s="23" t="s">
        <v>233</v>
      </c>
      <c r="E313" s="10">
        <v>0.65</v>
      </c>
    </row>
    <row r="314" spans="1:10" x14ac:dyDescent="0.2">
      <c r="A314" s="226">
        <v>2018</v>
      </c>
      <c r="B314" s="10">
        <v>88</v>
      </c>
      <c r="C314" s="23" t="s">
        <v>179</v>
      </c>
      <c r="D314" s="23" t="s">
        <v>233</v>
      </c>
      <c r="E314" s="10">
        <v>0.61</v>
      </c>
    </row>
    <row r="315" spans="1:10" x14ac:dyDescent="0.2">
      <c r="A315" s="226">
        <v>2018</v>
      </c>
      <c r="B315" s="10">
        <v>88</v>
      </c>
      <c r="C315" s="23" t="s">
        <v>179</v>
      </c>
      <c r="D315" s="23" t="s">
        <v>233</v>
      </c>
      <c r="E315" s="10">
        <v>0.62</v>
      </c>
    </row>
    <row r="316" spans="1:10" x14ac:dyDescent="0.2">
      <c r="A316" s="226">
        <v>2018</v>
      </c>
      <c r="B316" s="10">
        <v>88</v>
      </c>
      <c r="C316" s="23" t="s">
        <v>179</v>
      </c>
      <c r="D316" s="23" t="s">
        <v>233</v>
      </c>
      <c r="E316" s="10">
        <v>0.65</v>
      </c>
    </row>
    <row r="317" spans="1:10" x14ac:dyDescent="0.2">
      <c r="A317" s="226">
        <v>2018</v>
      </c>
      <c r="B317" s="10">
        <v>88</v>
      </c>
      <c r="C317" s="23" t="s">
        <v>179</v>
      </c>
      <c r="D317" s="23" t="s">
        <v>233</v>
      </c>
      <c r="E317" s="10">
        <v>0.66</v>
      </c>
    </row>
    <row r="318" spans="1:10" x14ac:dyDescent="0.2">
      <c r="A318" s="226">
        <v>2018</v>
      </c>
      <c r="B318" s="10">
        <v>88</v>
      </c>
      <c r="C318" s="23" t="s">
        <v>179</v>
      </c>
      <c r="D318" s="23" t="s">
        <v>233</v>
      </c>
      <c r="E318" s="10">
        <v>0.64</v>
      </c>
      <c r="I318">
        <v>2500</v>
      </c>
      <c r="J318">
        <v>150</v>
      </c>
    </row>
    <row r="319" spans="1:10" x14ac:dyDescent="0.2">
      <c r="A319" s="226">
        <v>2018</v>
      </c>
      <c r="B319" s="10">
        <v>88</v>
      </c>
      <c r="C319" s="23" t="s">
        <v>179</v>
      </c>
      <c r="D319" s="23" t="s">
        <v>220</v>
      </c>
      <c r="E319" s="10">
        <v>0.83</v>
      </c>
      <c r="I319">
        <f>I318/10000</f>
        <v>0.25</v>
      </c>
      <c r="J319">
        <f>J318/10000</f>
        <v>1.4999999999999999E-2</v>
      </c>
    </row>
    <row r="320" spans="1:10" x14ac:dyDescent="0.2">
      <c r="A320" s="226">
        <v>2018</v>
      </c>
      <c r="B320" s="10">
        <v>88</v>
      </c>
      <c r="C320" s="23" t="s">
        <v>179</v>
      </c>
      <c r="D320" s="23" t="s">
        <v>180</v>
      </c>
      <c r="E320" s="10">
        <v>0.74</v>
      </c>
    </row>
    <row r="321" spans="1:5" x14ac:dyDescent="0.2">
      <c r="A321" s="226">
        <v>2018</v>
      </c>
      <c r="B321" s="10">
        <v>88</v>
      </c>
      <c r="C321" s="23" t="s">
        <v>179</v>
      </c>
      <c r="D321" s="23" t="s">
        <v>180</v>
      </c>
      <c r="E321" s="10">
        <v>0.74</v>
      </c>
    </row>
    <row r="322" spans="1:5" x14ac:dyDescent="0.2">
      <c r="A322" s="226">
        <v>2018</v>
      </c>
      <c r="B322" s="10">
        <v>88</v>
      </c>
      <c r="C322" s="23" t="s">
        <v>179</v>
      </c>
      <c r="D322" s="23" t="s">
        <v>180</v>
      </c>
      <c r="E322" s="10">
        <v>0.53</v>
      </c>
    </row>
    <row r="323" spans="1:5" x14ac:dyDescent="0.2">
      <c r="A323" s="227">
        <v>2019</v>
      </c>
      <c r="B323" s="10">
        <v>88</v>
      </c>
      <c r="C323" s="23" t="s">
        <v>179</v>
      </c>
      <c r="D323" s="23" t="s">
        <v>229</v>
      </c>
      <c r="E323" s="10">
        <v>0.51</v>
      </c>
    </row>
    <row r="324" spans="1:5" x14ac:dyDescent="0.2">
      <c r="A324" s="227">
        <v>2019</v>
      </c>
      <c r="B324" s="10">
        <v>88</v>
      </c>
      <c r="C324" s="23" t="s">
        <v>179</v>
      </c>
      <c r="D324" s="23" t="s">
        <v>229</v>
      </c>
      <c r="E324" s="10">
        <v>0.43</v>
      </c>
    </row>
    <row r="325" spans="1:5" x14ac:dyDescent="0.2">
      <c r="A325" s="227">
        <v>2019</v>
      </c>
      <c r="B325" s="10">
        <v>88</v>
      </c>
      <c r="C325" s="23" t="s">
        <v>179</v>
      </c>
      <c r="D325" s="23" t="s">
        <v>229</v>
      </c>
      <c r="E325" s="10">
        <v>0.43</v>
      </c>
    </row>
    <row r="326" spans="1:5" x14ac:dyDescent="0.2">
      <c r="A326" s="227">
        <v>2019</v>
      </c>
      <c r="B326" s="10">
        <v>88</v>
      </c>
      <c r="C326" s="23" t="s">
        <v>179</v>
      </c>
      <c r="D326" s="23" t="s">
        <v>229</v>
      </c>
      <c r="E326" s="10">
        <v>0.72</v>
      </c>
    </row>
    <row r="327" spans="1:5" x14ac:dyDescent="0.2">
      <c r="A327" s="227">
        <v>2019</v>
      </c>
      <c r="B327" s="10">
        <v>88</v>
      </c>
      <c r="C327" s="23" t="s">
        <v>179</v>
      </c>
      <c r="D327" s="23" t="s">
        <v>186</v>
      </c>
      <c r="E327" s="10">
        <v>0.75</v>
      </c>
    </row>
    <row r="328" spans="1:5" x14ac:dyDescent="0.2">
      <c r="A328" s="227">
        <v>2019</v>
      </c>
      <c r="B328" s="10">
        <v>88</v>
      </c>
      <c r="C328" s="23" t="s">
        <v>179</v>
      </c>
      <c r="D328" s="23" t="s">
        <v>186</v>
      </c>
      <c r="E328" s="10">
        <v>0.78</v>
      </c>
    </row>
    <row r="329" spans="1:5" x14ac:dyDescent="0.2">
      <c r="A329" s="227">
        <v>2019</v>
      </c>
      <c r="B329" s="10">
        <v>88</v>
      </c>
      <c r="C329" s="23" t="s">
        <v>179</v>
      </c>
      <c r="D329" s="23" t="s">
        <v>186</v>
      </c>
      <c r="E329" s="10">
        <v>0.76</v>
      </c>
    </row>
    <row r="330" spans="1:5" x14ac:dyDescent="0.2">
      <c r="A330" s="227">
        <v>2019</v>
      </c>
      <c r="B330" s="10">
        <v>88</v>
      </c>
      <c r="C330" s="23" t="s">
        <v>179</v>
      </c>
      <c r="D330" s="23" t="s">
        <v>186</v>
      </c>
      <c r="E330" s="10">
        <v>0.73</v>
      </c>
    </row>
    <row r="331" spans="1:5" x14ac:dyDescent="0.2">
      <c r="A331" s="227">
        <v>2019</v>
      </c>
      <c r="B331" s="10">
        <v>88</v>
      </c>
      <c r="C331" s="23" t="s">
        <v>179</v>
      </c>
      <c r="D331" s="23" t="s">
        <v>220</v>
      </c>
      <c r="E331" s="10">
        <v>0.91</v>
      </c>
    </row>
    <row r="332" spans="1:5" x14ac:dyDescent="0.2">
      <c r="A332" s="228">
        <v>2020</v>
      </c>
      <c r="B332" s="10">
        <v>88</v>
      </c>
      <c r="C332" s="23" t="s">
        <v>179</v>
      </c>
      <c r="D332" s="23" t="s">
        <v>229</v>
      </c>
      <c r="E332" s="10">
        <v>0.72</v>
      </c>
    </row>
    <row r="333" spans="1:5" x14ac:dyDescent="0.2">
      <c r="A333" s="228">
        <v>2020</v>
      </c>
      <c r="B333" s="10">
        <v>88</v>
      </c>
      <c r="C333" s="23" t="s">
        <v>179</v>
      </c>
      <c r="D333" s="23" t="s">
        <v>229</v>
      </c>
      <c r="E333" s="10">
        <v>0.39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6F5CC-22E4-3C43-B641-8586D109E2E5}">
  <dimension ref="A1:S743"/>
  <sheetViews>
    <sheetView zoomScale="63" workbookViewId="0">
      <selection sqref="A1:N1"/>
    </sheetView>
  </sheetViews>
  <sheetFormatPr baseColWidth="10" defaultColWidth="8.83203125" defaultRowHeight="16" x14ac:dyDescent="0.2"/>
  <cols>
    <col min="1" max="1" width="12.5" style="280" customWidth="1"/>
    <col min="2" max="2" width="14.5" style="270" customWidth="1"/>
    <col min="3" max="3" width="10.6640625" style="4" customWidth="1"/>
    <col min="4" max="4" width="12.33203125" style="281" customWidth="1"/>
    <col min="5" max="5" width="10" style="281" customWidth="1"/>
    <col min="6" max="6" width="11.1640625" style="281" customWidth="1"/>
    <col min="7" max="7" width="10.33203125" style="281" customWidth="1"/>
    <col min="9" max="9" width="9.6640625" customWidth="1"/>
    <col min="10" max="10" width="1.6640625" style="255" customWidth="1"/>
    <col min="11" max="11" width="14.5" style="282" customWidth="1"/>
    <col min="12" max="12" width="9.83203125" style="283" customWidth="1"/>
    <col min="13" max="15" width="9.1640625" style="239" customWidth="1"/>
    <col min="16" max="16" width="14.6640625" bestFit="1" customWidth="1"/>
  </cols>
  <sheetData>
    <row r="1" spans="1:19" ht="20" thickBot="1" x14ac:dyDescent="0.25">
      <c r="A1" s="300" t="s">
        <v>533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</row>
    <row r="2" spans="1:19" s="239" customFormat="1" ht="33" thickBot="1" x14ac:dyDescent="0.25">
      <c r="A2" s="229" t="s">
        <v>157</v>
      </c>
      <c r="B2" s="230" t="s">
        <v>249</v>
      </c>
      <c r="C2" s="231" t="s">
        <v>250</v>
      </c>
      <c r="D2" s="232" t="s">
        <v>251</v>
      </c>
      <c r="E2" s="232" t="s">
        <v>252</v>
      </c>
      <c r="F2" s="232" t="s">
        <v>158</v>
      </c>
      <c r="G2" s="233" t="s">
        <v>253</v>
      </c>
      <c r="H2" s="234" t="s">
        <v>254</v>
      </c>
      <c r="I2" s="235" t="s">
        <v>255</v>
      </c>
      <c r="J2" s="236"/>
      <c r="K2" s="234" t="s">
        <v>256</v>
      </c>
      <c r="L2" s="232" t="s">
        <v>257</v>
      </c>
      <c r="M2" s="237" t="s">
        <v>258</v>
      </c>
      <c r="N2" s="235" t="s">
        <v>259</v>
      </c>
      <c r="O2" s="238"/>
      <c r="P2" s="312" t="s">
        <v>260</v>
      </c>
      <c r="Q2" s="313"/>
    </row>
    <row r="3" spans="1:19" x14ac:dyDescent="0.2">
      <c r="A3" s="309" t="s">
        <v>261</v>
      </c>
      <c r="B3" s="240" t="s">
        <v>262</v>
      </c>
      <c r="C3" s="241">
        <v>317</v>
      </c>
      <c r="D3" s="242">
        <v>66.888643533123016</v>
      </c>
      <c r="E3" s="242">
        <v>311.22407013701212</v>
      </c>
      <c r="F3" s="243">
        <f>D3*Q6</f>
        <v>22.327316547710197</v>
      </c>
      <c r="G3" s="244">
        <f>E3*Q6</f>
        <v>103.88607040259099</v>
      </c>
      <c r="H3" s="306">
        <f>AVERAGE(F3:F24)</f>
        <v>67.59033396107148</v>
      </c>
      <c r="I3" s="293">
        <f>AVERAGE(G3:G24)</f>
        <v>89.579933516075798</v>
      </c>
      <c r="J3" s="245"/>
      <c r="K3" s="246">
        <f>F3/10000</f>
        <v>2.2327316547710199E-3</v>
      </c>
      <c r="L3" s="247">
        <f t="shared" ref="L3:L66" si="0">G3/10000</f>
        <v>1.0388607040259099E-2</v>
      </c>
      <c r="M3" s="296">
        <f>AVERAGE(K3:K24)</f>
        <v>6.7590333961071482E-3</v>
      </c>
      <c r="N3" s="299">
        <f>AVERAGE(L3:L24)</f>
        <v>8.9579933516075808E-3</v>
      </c>
      <c r="O3" s="248"/>
      <c r="P3" s="249" t="s">
        <v>263</v>
      </c>
      <c r="Q3" s="250">
        <v>15.999000000000001</v>
      </c>
    </row>
    <row r="4" spans="1:19" x14ac:dyDescent="0.2">
      <c r="A4" s="310"/>
      <c r="B4" s="251" t="s">
        <v>264</v>
      </c>
      <c r="C4" s="19">
        <v>250</v>
      </c>
      <c r="D4" s="252">
        <v>471.12560000000002</v>
      </c>
      <c r="E4" s="252">
        <v>940.77841250230722</v>
      </c>
      <c r="F4" s="253">
        <f>D4*Q6</f>
        <v>157.26093174128937</v>
      </c>
      <c r="G4" s="254">
        <f>F4*Q6</f>
        <v>52.493434133357376</v>
      </c>
      <c r="H4" s="307"/>
      <c r="I4" s="294"/>
      <c r="K4" s="256">
        <f t="shared" ref="K4:L67" si="1">F4/10000</f>
        <v>1.5726093174128937E-2</v>
      </c>
      <c r="L4" s="257">
        <f t="shared" si="0"/>
        <v>5.2493434133357372E-3</v>
      </c>
      <c r="M4" s="301"/>
      <c r="N4" s="294"/>
      <c r="O4" s="8"/>
      <c r="P4" s="249" t="s">
        <v>265</v>
      </c>
      <c r="Q4" s="250">
        <v>32.064999999999998</v>
      </c>
    </row>
    <row r="5" spans="1:19" x14ac:dyDescent="0.2">
      <c r="A5" s="310"/>
      <c r="B5" s="251" t="s">
        <v>266</v>
      </c>
      <c r="C5" s="19">
        <v>1986</v>
      </c>
      <c r="D5" s="252">
        <v>30.158820745216524</v>
      </c>
      <c r="E5" s="252">
        <v>60.368044731024234</v>
      </c>
      <c r="F5" s="253">
        <f>D5*Q6</f>
        <v>10.066963566851976</v>
      </c>
      <c r="G5" s="254">
        <f>E5*Q6</f>
        <v>20.150751650516774</v>
      </c>
      <c r="H5" s="307"/>
      <c r="I5" s="294"/>
      <c r="K5" s="256">
        <f t="shared" si="1"/>
        <v>1.0066963566851977E-3</v>
      </c>
      <c r="L5" s="257">
        <f t="shared" si="0"/>
        <v>2.0150751650516775E-3</v>
      </c>
      <c r="M5" s="301"/>
      <c r="N5" s="294"/>
      <c r="O5" s="8"/>
      <c r="P5" s="258" t="s">
        <v>267</v>
      </c>
      <c r="Q5" s="259">
        <f>(Q3*4)+Q4</f>
        <v>96.061000000000007</v>
      </c>
    </row>
    <row r="6" spans="1:19" ht="17" thickBot="1" x14ac:dyDescent="0.25">
      <c r="A6" s="310"/>
      <c r="B6" s="251" t="s">
        <v>268</v>
      </c>
      <c r="C6" s="19">
        <v>574</v>
      </c>
      <c r="D6" s="252">
        <v>890.73066202090581</v>
      </c>
      <c r="E6" s="252">
        <v>837.72240438398853</v>
      </c>
      <c r="F6" s="253">
        <f>D6*Q6</f>
        <v>297.32439468359001</v>
      </c>
      <c r="G6" s="254">
        <f>E6*Q6</f>
        <v>279.63032756865522</v>
      </c>
      <c r="H6" s="307"/>
      <c r="I6" s="294"/>
      <c r="K6" s="256">
        <f t="shared" si="1"/>
        <v>2.9732439468359E-2</v>
      </c>
      <c r="L6" s="257">
        <f t="shared" si="0"/>
        <v>2.796303275686552E-2</v>
      </c>
      <c r="M6" s="301"/>
      <c r="N6" s="294"/>
      <c r="O6" s="8"/>
      <c r="P6" s="260" t="s">
        <v>269</v>
      </c>
      <c r="Q6" s="261">
        <f>Q4/Q5</f>
        <v>0.33379831565359508</v>
      </c>
    </row>
    <row r="7" spans="1:19" x14ac:dyDescent="0.2">
      <c r="A7" s="310"/>
      <c r="B7" s="251" t="s">
        <v>270</v>
      </c>
      <c r="C7" s="19">
        <v>475</v>
      </c>
      <c r="D7" s="252">
        <v>61.019157894736814</v>
      </c>
      <c r="E7" s="252">
        <v>94.490683974343014</v>
      </c>
      <c r="F7" s="253">
        <f>D7*Q6</f>
        <v>20.368092127863918</v>
      </c>
      <c r="G7" s="254">
        <f>E7*Q6</f>
        <v>31.540831155591846</v>
      </c>
      <c r="H7" s="307"/>
      <c r="I7" s="294"/>
      <c r="K7" s="256">
        <f t="shared" si="1"/>
        <v>2.0368092127863919E-3</v>
      </c>
      <c r="L7" s="257">
        <f t="shared" si="0"/>
        <v>3.1540831155591844E-3</v>
      </c>
      <c r="M7" s="301"/>
      <c r="N7" s="294"/>
      <c r="O7" s="8"/>
      <c r="P7" s="37"/>
    </row>
    <row r="8" spans="1:19" x14ac:dyDescent="0.2">
      <c r="A8" s="310"/>
      <c r="B8" s="251" t="s">
        <v>271</v>
      </c>
      <c r="C8" s="19">
        <v>655</v>
      </c>
      <c r="D8" s="252">
        <v>63.932390839694634</v>
      </c>
      <c r="E8" s="252">
        <v>80.270195031857995</v>
      </c>
      <c r="F8" s="253">
        <f>D8*Q6</f>
        <v>21.340524377997401</v>
      </c>
      <c r="G8" s="254">
        <f>E8*Q6</f>
        <v>26.794055898819774</v>
      </c>
      <c r="H8" s="307"/>
      <c r="I8" s="294"/>
      <c r="K8" s="256">
        <f t="shared" si="1"/>
        <v>2.13405243779974E-3</v>
      </c>
      <c r="L8" s="257">
        <f t="shared" si="0"/>
        <v>2.6794055898819776E-3</v>
      </c>
      <c r="M8" s="301"/>
      <c r="N8" s="294"/>
      <c r="O8" s="8"/>
      <c r="P8" s="37"/>
    </row>
    <row r="9" spans="1:19" x14ac:dyDescent="0.2">
      <c r="A9" s="310"/>
      <c r="B9" s="251" t="s">
        <v>272</v>
      </c>
      <c r="C9" s="19">
        <v>609</v>
      </c>
      <c r="D9" s="252">
        <v>251.05665024630537</v>
      </c>
      <c r="E9" s="252">
        <v>566.87260469343425</v>
      </c>
      <c r="F9" s="253">
        <f>D9*Q6</f>
        <v>83.802286985850458</v>
      </c>
      <c r="G9" s="254">
        <f>E9*Q6</f>
        <v>189.2211206368346</v>
      </c>
      <c r="H9" s="307"/>
      <c r="I9" s="294"/>
      <c r="K9" s="256">
        <f t="shared" si="1"/>
        <v>8.3802286985850457E-3</v>
      </c>
      <c r="L9" s="257">
        <f t="shared" si="0"/>
        <v>1.8922112063683459E-2</v>
      </c>
      <c r="M9" s="301"/>
      <c r="N9" s="294"/>
      <c r="O9" s="8"/>
    </row>
    <row r="10" spans="1:19" ht="51" x14ac:dyDescent="0.2">
      <c r="A10" s="310"/>
      <c r="B10" s="251" t="s">
        <v>273</v>
      </c>
      <c r="C10" s="19">
        <v>720</v>
      </c>
      <c r="D10" s="252">
        <v>57.500000000000007</v>
      </c>
      <c r="E10" s="252">
        <v>100.77684440529626</v>
      </c>
      <c r="F10" s="253">
        <f>D10*Q6</f>
        <v>19.193403150081718</v>
      </c>
      <c r="G10" s="254">
        <f>E10*Q6</f>
        <v>33.639140919372316</v>
      </c>
      <c r="H10" s="307"/>
      <c r="I10" s="294"/>
      <c r="K10" s="256">
        <f t="shared" si="1"/>
        <v>1.9193403150081717E-3</v>
      </c>
      <c r="L10" s="257">
        <f t="shared" si="0"/>
        <v>3.3639140919372317E-3</v>
      </c>
      <c r="M10" s="301"/>
      <c r="N10" s="294"/>
      <c r="O10" s="8"/>
      <c r="P10" s="285" t="s">
        <v>157</v>
      </c>
      <c r="Q10" s="284" t="s">
        <v>274</v>
      </c>
      <c r="R10" s="284" t="s">
        <v>275</v>
      </c>
      <c r="S10" s="152"/>
    </row>
    <row r="11" spans="1:19" x14ac:dyDescent="0.2">
      <c r="A11" s="310"/>
      <c r="B11" s="251" t="s">
        <v>276</v>
      </c>
      <c r="C11" s="19">
        <v>275</v>
      </c>
      <c r="D11" s="252">
        <v>1291.8614545454545</v>
      </c>
      <c r="E11" s="252">
        <v>1076.020275586073</v>
      </c>
      <c r="F11" s="253">
        <f>D11*Q6</f>
        <v>431.22117758507608</v>
      </c>
      <c r="G11" s="254">
        <f>E11*Q6</f>
        <v>359.17375559974835</v>
      </c>
      <c r="H11" s="307"/>
      <c r="I11" s="294"/>
      <c r="K11" s="256">
        <f t="shared" si="1"/>
        <v>4.3122117758507605E-2</v>
      </c>
      <c r="L11" s="257">
        <f t="shared" si="0"/>
        <v>3.5917375559974832E-2</v>
      </c>
      <c r="M11" s="301"/>
      <c r="N11" s="294"/>
      <c r="O11" s="8"/>
      <c r="P11" s="4" t="str">
        <f>A3</f>
        <v>1- Panhandle</v>
      </c>
      <c r="Q11" s="7">
        <f>H3</f>
        <v>67.59033396107148</v>
      </c>
      <c r="R11" s="7">
        <f>I3</f>
        <v>89.579933516075798</v>
      </c>
    </row>
    <row r="12" spans="1:19" x14ac:dyDescent="0.2">
      <c r="A12" s="310"/>
      <c r="B12" s="251" t="s">
        <v>277</v>
      </c>
      <c r="C12" s="19">
        <v>285</v>
      </c>
      <c r="D12" s="252">
        <v>83.706666666666663</v>
      </c>
      <c r="E12" s="252">
        <v>139.7938214865793</v>
      </c>
      <c r="F12" s="253">
        <f>D12*Q6</f>
        <v>27.941144342310263</v>
      </c>
      <c r="G12" s="254">
        <f>E12*Q6</f>
        <v>46.66294215099952</v>
      </c>
      <c r="H12" s="307"/>
      <c r="I12" s="294"/>
      <c r="K12" s="256">
        <f t="shared" si="1"/>
        <v>2.7941144342310265E-3</v>
      </c>
      <c r="L12" s="257">
        <f t="shared" si="0"/>
        <v>4.6662942150999523E-3</v>
      </c>
      <c r="M12" s="301"/>
      <c r="N12" s="294"/>
      <c r="O12" s="8"/>
      <c r="P12" s="4" t="str">
        <f>A25</f>
        <v>2- South Plains</v>
      </c>
      <c r="Q12" s="7">
        <f>H25</f>
        <v>327.38571235190051</v>
      </c>
      <c r="R12" s="7">
        <f>I25</f>
        <v>777.17131460862515</v>
      </c>
    </row>
    <row r="13" spans="1:19" x14ac:dyDescent="0.2">
      <c r="A13" s="310"/>
      <c r="B13" s="251" t="s">
        <v>278</v>
      </c>
      <c r="C13" s="19">
        <v>293</v>
      </c>
      <c r="D13" s="252">
        <v>58.885665529010254</v>
      </c>
      <c r="E13" s="252">
        <v>149.6516514446821</v>
      </c>
      <c r="F13" s="253">
        <f>D13*Q6</f>
        <v>19.655935969724588</v>
      </c>
      <c r="G13" s="254">
        <f>E13*Q6</f>
        <v>49.953469187013788</v>
      </c>
      <c r="H13" s="307"/>
      <c r="I13" s="294"/>
      <c r="K13" s="256">
        <f t="shared" si="1"/>
        <v>1.9655935969724587E-3</v>
      </c>
      <c r="L13" s="257">
        <f t="shared" si="0"/>
        <v>4.9953469187013792E-3</v>
      </c>
      <c r="M13" s="301"/>
      <c r="N13" s="294"/>
      <c r="O13" s="8"/>
      <c r="P13" s="4" t="str">
        <f>A45</f>
        <v>3- Rolling Plains</v>
      </c>
      <c r="Q13" s="7">
        <f>H45</f>
        <v>170.7264730595613</v>
      </c>
      <c r="R13" s="7">
        <f>I45</f>
        <v>155.63157233549134</v>
      </c>
    </row>
    <row r="14" spans="1:19" x14ac:dyDescent="0.2">
      <c r="A14" s="310"/>
      <c r="B14" s="251" t="s">
        <v>279</v>
      </c>
      <c r="C14" s="19">
        <v>142</v>
      </c>
      <c r="D14" s="252">
        <v>28.065915492957735</v>
      </c>
      <c r="E14" s="252">
        <v>85.383038702614115</v>
      </c>
      <c r="F14" s="253">
        <f>D14*Q6</f>
        <v>9.3683553188254312</v>
      </c>
      <c r="G14" s="254">
        <f>E14*Q6</f>
        <v>28.50071450431831</v>
      </c>
      <c r="H14" s="307"/>
      <c r="I14" s="294"/>
      <c r="K14" s="256">
        <f t="shared" si="1"/>
        <v>9.3683553188254312E-4</v>
      </c>
      <c r="L14" s="257">
        <f t="shared" si="0"/>
        <v>2.8500714504318312E-3</v>
      </c>
      <c r="M14" s="301"/>
      <c r="N14" s="294"/>
      <c r="O14" s="8"/>
      <c r="P14" s="4" t="str">
        <f>A69</f>
        <v xml:space="preserve">4- North </v>
      </c>
      <c r="Q14" s="7">
        <f>H69</f>
        <v>36.93289253225349</v>
      </c>
      <c r="R14" s="7">
        <f>I69</f>
        <v>57.572564172094623</v>
      </c>
    </row>
    <row r="15" spans="1:19" x14ac:dyDescent="0.2">
      <c r="A15" s="310"/>
      <c r="B15" s="251" t="s">
        <v>280</v>
      </c>
      <c r="C15" s="19">
        <v>212</v>
      </c>
      <c r="D15" s="252">
        <v>137.63066037735848</v>
      </c>
      <c r="E15" s="252">
        <v>340.77642829160396</v>
      </c>
      <c r="F15" s="253">
        <f>D15*Q6</f>
        <v>45.94088261625425</v>
      </c>
      <c r="G15" s="254">
        <f>E15*Q6</f>
        <v>113.75059777818552</v>
      </c>
      <c r="H15" s="307"/>
      <c r="I15" s="294"/>
      <c r="K15" s="256">
        <f t="shared" si="1"/>
        <v>4.594088261625425E-3</v>
      </c>
      <c r="L15" s="257">
        <f t="shared" si="0"/>
        <v>1.1375059777818552E-2</v>
      </c>
      <c r="M15" s="301"/>
      <c r="N15" s="294"/>
      <c r="O15" s="8"/>
      <c r="P15" s="4" t="str">
        <f>A91</f>
        <v>5- East</v>
      </c>
      <c r="Q15" s="7">
        <f>H91</f>
        <v>14.530649176155157</v>
      </c>
      <c r="R15" s="7">
        <f>I91</f>
        <v>31.397324795096157</v>
      </c>
    </row>
    <row r="16" spans="1:19" x14ac:dyDescent="0.2">
      <c r="A16" s="310"/>
      <c r="B16" s="251" t="s">
        <v>281</v>
      </c>
      <c r="C16" s="19">
        <v>164</v>
      </c>
      <c r="D16" s="252">
        <v>33.047195121951198</v>
      </c>
      <c r="E16" s="252">
        <v>27.889331723550441</v>
      </c>
      <c r="F16" s="253">
        <f>D16*Q6</f>
        <v>11.031098068783013</v>
      </c>
      <c r="G16" s="254">
        <f>E16*Q6</f>
        <v>9.3094119540255136</v>
      </c>
      <c r="H16" s="307"/>
      <c r="I16" s="294"/>
      <c r="K16" s="256">
        <f t="shared" si="1"/>
        <v>1.1031098068783013E-3</v>
      </c>
      <c r="L16" s="257">
        <f t="shared" si="0"/>
        <v>9.3094119540255136E-4</v>
      </c>
      <c r="M16" s="301"/>
      <c r="N16" s="294"/>
      <c r="O16" s="8"/>
      <c r="P16" s="4" t="str">
        <f>A113</f>
        <v>6- Far West</v>
      </c>
      <c r="Q16" s="7">
        <f>H113</f>
        <v>168.40201927734205</v>
      </c>
      <c r="R16" s="7">
        <f>I113</f>
        <v>301.01099093467815</v>
      </c>
    </row>
    <row r="17" spans="1:18" x14ac:dyDescent="0.2">
      <c r="A17" s="310"/>
      <c r="B17" s="251" t="s">
        <v>282</v>
      </c>
      <c r="C17" s="19">
        <v>398</v>
      </c>
      <c r="D17" s="252">
        <v>51.686432160804024</v>
      </c>
      <c r="E17" s="252">
        <v>229.80923907573523</v>
      </c>
      <c r="F17" s="253">
        <f>D17*Q6</f>
        <v>17.252843997420189</v>
      </c>
      <c r="G17" s="254">
        <f>E17*Q6</f>
        <v>76.709936925114761</v>
      </c>
      <c r="H17" s="307"/>
      <c r="I17" s="294"/>
      <c r="K17" s="256">
        <f t="shared" si="1"/>
        <v>1.7252843997420189E-3</v>
      </c>
      <c r="L17" s="257">
        <f t="shared" si="0"/>
        <v>7.6709936925114762E-3</v>
      </c>
      <c r="M17" s="301"/>
      <c r="N17" s="294"/>
      <c r="O17" s="8"/>
      <c r="P17" s="4" t="str">
        <f>A136</f>
        <v xml:space="preserve">7- West Central </v>
      </c>
      <c r="Q17" s="7">
        <f>H136</f>
        <v>78.554341076491326</v>
      </c>
      <c r="R17" s="7">
        <f>I136</f>
        <v>100.1150795898525</v>
      </c>
    </row>
    <row r="18" spans="1:18" x14ac:dyDescent="0.2">
      <c r="A18" s="310"/>
      <c r="B18" s="251" t="s">
        <v>283</v>
      </c>
      <c r="C18" s="19">
        <v>234</v>
      </c>
      <c r="D18" s="252">
        <v>64.82658119658123</v>
      </c>
      <c r="E18" s="252">
        <v>42.046183634412031</v>
      </c>
      <c r="F18" s="253">
        <f>D18*Q6</f>
        <v>21.639003612999833</v>
      </c>
      <c r="G18" s="254">
        <f>E18*Q6</f>
        <v>14.034945276828491</v>
      </c>
      <c r="H18" s="307"/>
      <c r="I18" s="294"/>
      <c r="K18" s="256">
        <f t="shared" si="1"/>
        <v>2.1639003612999833E-3</v>
      </c>
      <c r="L18" s="257">
        <f t="shared" si="0"/>
        <v>1.4034945276828492E-3</v>
      </c>
      <c r="M18" s="301"/>
      <c r="N18" s="294"/>
      <c r="O18" s="8"/>
      <c r="P18" s="4" t="str">
        <f>A159</f>
        <v xml:space="preserve">8- Central </v>
      </c>
      <c r="Q18" s="7">
        <f>H159</f>
        <v>56.349317466789273</v>
      </c>
      <c r="R18" s="7">
        <f>I159</f>
        <v>70.985549798519145</v>
      </c>
    </row>
    <row r="19" spans="1:18" x14ac:dyDescent="0.2">
      <c r="A19" s="310"/>
      <c r="B19" s="251" t="s">
        <v>284</v>
      </c>
      <c r="C19" s="19">
        <v>156</v>
      </c>
      <c r="D19" s="252">
        <v>128.68775641025638</v>
      </c>
      <c r="E19" s="252">
        <v>231.39217962521556</v>
      </c>
      <c r="F19" s="253">
        <f>D19*Q6</f>
        <v>42.955756334983711</v>
      </c>
      <c r="G19" s="254">
        <f>E19*Q6</f>
        <v>77.238319814311069</v>
      </c>
      <c r="H19" s="307"/>
      <c r="I19" s="294"/>
      <c r="K19" s="256">
        <f t="shared" si="1"/>
        <v>4.2955756334983712E-3</v>
      </c>
      <c r="L19" s="257">
        <f t="shared" si="0"/>
        <v>7.723831981431107E-3</v>
      </c>
      <c r="M19" s="301"/>
      <c r="N19" s="294"/>
      <c r="O19" s="8"/>
      <c r="P19" s="4" t="str">
        <f>A180</f>
        <v>9- Southeast</v>
      </c>
      <c r="Q19" s="7">
        <f>H180</f>
        <v>15.172829102158296</v>
      </c>
      <c r="R19" s="7">
        <f>I180</f>
        <v>25.646671703333638</v>
      </c>
    </row>
    <row r="20" spans="1:18" x14ac:dyDescent="0.2">
      <c r="A20" s="310"/>
      <c r="B20" s="251" t="s">
        <v>285</v>
      </c>
      <c r="C20" s="19">
        <v>232</v>
      </c>
      <c r="D20" s="252">
        <v>256.93402155172413</v>
      </c>
      <c r="E20" s="252">
        <v>692.6188003254673</v>
      </c>
      <c r="F20" s="253">
        <f>D20*Q6</f>
        <v>85.764143628070016</v>
      </c>
      <c r="G20" s="254">
        <f>E20*Q6</f>
        <v>231.19498893865469</v>
      </c>
      <c r="H20" s="307"/>
      <c r="I20" s="294"/>
      <c r="K20" s="256">
        <f t="shared" si="1"/>
        <v>8.5764143628070024E-3</v>
      </c>
      <c r="L20" s="257">
        <f t="shared" si="0"/>
        <v>2.311949889386547E-2</v>
      </c>
      <c r="M20" s="301"/>
      <c r="N20" s="294"/>
      <c r="O20" s="8"/>
      <c r="P20" s="4" t="str">
        <f>A197</f>
        <v>10- Southwest</v>
      </c>
      <c r="Q20" s="7">
        <f>H197</f>
        <v>56.247723010093445</v>
      </c>
      <c r="R20" s="7">
        <f>I197</f>
        <v>106.34272240484491</v>
      </c>
    </row>
    <row r="21" spans="1:18" x14ac:dyDescent="0.2">
      <c r="A21" s="310"/>
      <c r="B21" s="251" t="s">
        <v>286</v>
      </c>
      <c r="C21" s="19">
        <v>1737</v>
      </c>
      <c r="D21" s="252">
        <v>44.18450489349452</v>
      </c>
      <c r="E21" s="252">
        <v>53.392214999481098</v>
      </c>
      <c r="F21" s="253">
        <f>D21*Q6</f>
        <v>14.7487133114365</v>
      </c>
      <c r="G21" s="254">
        <f>E21*Q6</f>
        <v>17.822231435841406</v>
      </c>
      <c r="H21" s="307"/>
      <c r="I21" s="294"/>
      <c r="K21" s="256">
        <f t="shared" si="1"/>
        <v>1.47487133114365E-3</v>
      </c>
      <c r="L21" s="257">
        <f t="shared" si="0"/>
        <v>1.7822231435841406E-3</v>
      </c>
      <c r="M21" s="301"/>
      <c r="N21" s="294"/>
      <c r="O21" s="8"/>
      <c r="P21" s="4" t="s">
        <v>287</v>
      </c>
      <c r="Q21" s="7">
        <f>H217</f>
        <v>36.960947110619315</v>
      </c>
      <c r="R21" s="7">
        <f>I217</f>
        <v>63.542551620421463</v>
      </c>
    </row>
    <row r="22" spans="1:18" x14ac:dyDescent="0.2">
      <c r="A22" s="310"/>
      <c r="B22" s="251" t="s">
        <v>288</v>
      </c>
      <c r="C22" s="19">
        <v>300</v>
      </c>
      <c r="D22" s="252">
        <v>32.905966666666679</v>
      </c>
      <c r="E22" s="252">
        <v>24.750257903434264</v>
      </c>
      <c r="F22" s="253">
        <f>D22*Q6</f>
        <v>10.983956248286681</v>
      </c>
      <c r="G22" s="254">
        <f>E22*Q6</f>
        <v>8.2615944001584367</v>
      </c>
      <c r="H22" s="307"/>
      <c r="I22" s="294"/>
      <c r="K22" s="256">
        <f t="shared" si="1"/>
        <v>1.098395624828668E-3</v>
      </c>
      <c r="L22" s="257">
        <f t="shared" si="0"/>
        <v>8.2615944001584367E-4</v>
      </c>
      <c r="M22" s="301"/>
      <c r="N22" s="294"/>
      <c r="O22" s="8"/>
      <c r="P22" s="4" t="s">
        <v>289</v>
      </c>
      <c r="Q22" s="7">
        <f>H235</f>
        <v>125.61777323773624</v>
      </c>
      <c r="R22" s="7">
        <f>I235</f>
        <v>149.11647675473188</v>
      </c>
    </row>
    <row r="23" spans="1:18" x14ac:dyDescent="0.2">
      <c r="A23" s="310"/>
      <c r="B23" s="251" t="s">
        <v>290</v>
      </c>
      <c r="C23" s="19">
        <v>275</v>
      </c>
      <c r="D23" s="252">
        <v>57.595636363636373</v>
      </c>
      <c r="E23" s="252">
        <v>15.622192566896942</v>
      </c>
      <c r="F23" s="253">
        <f>D23*Q6</f>
        <v>19.225326407178773</v>
      </c>
      <c r="G23" s="254">
        <f>E23*Q6</f>
        <v>5.2146615656463124</v>
      </c>
      <c r="H23" s="307"/>
      <c r="I23" s="294"/>
      <c r="K23" s="256">
        <f t="shared" si="1"/>
        <v>1.9225326407178774E-3</v>
      </c>
      <c r="L23" s="257">
        <f t="shared" si="0"/>
        <v>5.2146615656463121E-4</v>
      </c>
      <c r="M23" s="301"/>
      <c r="N23" s="294"/>
      <c r="O23" s="8"/>
    </row>
    <row r="24" spans="1:18" ht="17" thickBot="1" x14ac:dyDescent="0.25">
      <c r="A24" s="311"/>
      <c r="B24" s="262" t="s">
        <v>291</v>
      </c>
      <c r="C24" s="263">
        <v>339</v>
      </c>
      <c r="D24" s="264">
        <v>292.31752212389387</v>
      </c>
      <c r="E24" s="264">
        <v>585.90839523601562</v>
      </c>
      <c r="F24" s="264">
        <f>D24*Q6</f>
        <v>97.575096520988282</v>
      </c>
      <c r="G24" s="265">
        <f>E24*Q6</f>
        <v>195.5752354570829</v>
      </c>
      <c r="H24" s="308"/>
      <c r="I24" s="295"/>
      <c r="J24" s="266"/>
      <c r="K24" s="267">
        <f t="shared" si="1"/>
        <v>9.7575096520988291E-3</v>
      </c>
      <c r="L24" s="268">
        <f t="shared" si="0"/>
        <v>1.9557523545708291E-2</v>
      </c>
      <c r="M24" s="314"/>
      <c r="N24" s="295"/>
      <c r="O24" s="8"/>
    </row>
    <row r="25" spans="1:18" x14ac:dyDescent="0.2">
      <c r="A25" s="309" t="s">
        <v>292</v>
      </c>
      <c r="B25" s="269" t="s">
        <v>293</v>
      </c>
      <c r="C25" s="241">
        <v>376</v>
      </c>
      <c r="D25" s="242">
        <v>186.02526595744683</v>
      </c>
      <c r="E25" s="242">
        <v>223.91810758979662</v>
      </c>
      <c r="F25" s="243">
        <f>D25*Q6</f>
        <v>62.094920445607812</v>
      </c>
      <c r="G25" s="244">
        <f>E25*Q6</f>
        <v>74.743487157814599</v>
      </c>
      <c r="H25" s="306">
        <f>AVERAGE(F25:F44)</f>
        <v>327.38571235190051</v>
      </c>
      <c r="I25" s="293">
        <f>AVERAGE(G25:G44)</f>
        <v>777.17131460862515</v>
      </c>
      <c r="K25" s="256">
        <f t="shared" si="1"/>
        <v>6.2094920445607809E-3</v>
      </c>
      <c r="L25" s="257">
        <f t="shared" si="0"/>
        <v>7.4743487157814597E-3</v>
      </c>
      <c r="M25" s="301">
        <f>AVERAGE(K25:K44)</f>
        <v>3.2738571235190056E-2</v>
      </c>
      <c r="N25" s="302">
        <f>AVERAGE(L25:L44)</f>
        <v>7.7717131460862524E-2</v>
      </c>
      <c r="O25" s="248"/>
    </row>
    <row r="26" spans="1:18" x14ac:dyDescent="0.2">
      <c r="A26" s="310"/>
      <c r="B26" s="270" t="s">
        <v>294</v>
      </c>
      <c r="C26" s="19">
        <v>63</v>
      </c>
      <c r="D26" s="252">
        <v>1136.5333333333335</v>
      </c>
      <c r="E26" s="252">
        <v>975.00944892030191</v>
      </c>
      <c r="F26" s="253">
        <f>D26*Q6</f>
        <v>379.37291235083268</v>
      </c>
      <c r="G26" s="254">
        <f>F26*Q6</f>
        <v>126.63403914730691</v>
      </c>
      <c r="H26" s="307"/>
      <c r="I26" s="294"/>
      <c r="K26" s="256">
        <f t="shared" si="1"/>
        <v>3.793729123508327E-2</v>
      </c>
      <c r="L26" s="257">
        <f t="shared" si="0"/>
        <v>1.2663403914730691E-2</v>
      </c>
      <c r="M26" s="297"/>
      <c r="N26" s="294"/>
      <c r="O26" s="8"/>
    </row>
    <row r="27" spans="1:18" x14ac:dyDescent="0.2">
      <c r="A27" s="310"/>
      <c r="B27" s="270" t="s">
        <v>295</v>
      </c>
      <c r="C27" s="19">
        <v>273</v>
      </c>
      <c r="D27" s="252">
        <v>54.708974358974366</v>
      </c>
      <c r="E27" s="252">
        <v>140.80341166740061</v>
      </c>
      <c r="F27" s="253">
        <f>D27*Q6</f>
        <v>18.261763492161364</v>
      </c>
      <c r="G27" s="254">
        <f>E27*Q6</f>
        <v>46.999941652858084</v>
      </c>
      <c r="H27" s="307"/>
      <c r="I27" s="294"/>
      <c r="K27" s="256">
        <f t="shared" si="1"/>
        <v>1.8261763492161364E-3</v>
      </c>
      <c r="L27" s="257">
        <f t="shared" si="0"/>
        <v>4.6999941652858084E-3</v>
      </c>
      <c r="M27" s="297"/>
      <c r="N27" s="294"/>
      <c r="O27" s="8"/>
    </row>
    <row r="28" spans="1:18" x14ac:dyDescent="0.2">
      <c r="A28" s="310"/>
      <c r="B28" s="270" t="s">
        <v>296</v>
      </c>
      <c r="C28" s="19">
        <v>234</v>
      </c>
      <c r="D28" s="252">
        <v>271.78675213675211</v>
      </c>
      <c r="E28" s="252">
        <v>450.87154013484724</v>
      </c>
      <c r="F28" s="253">
        <f>D28*Q6</f>
        <v>90.721960080208987</v>
      </c>
      <c r="G28" s="254">
        <f>E28*Q6</f>
        <v>150.50016067315431</v>
      </c>
      <c r="H28" s="307"/>
      <c r="I28" s="294"/>
      <c r="K28" s="256">
        <f t="shared" si="1"/>
        <v>9.0721960080208993E-3</v>
      </c>
      <c r="L28" s="257">
        <f t="shared" si="0"/>
        <v>1.505001606731543E-2</v>
      </c>
      <c r="M28" s="297"/>
      <c r="N28" s="294"/>
      <c r="O28" s="8"/>
    </row>
    <row r="29" spans="1:18" x14ac:dyDescent="0.2">
      <c r="A29" s="310"/>
      <c r="B29" s="270" t="s">
        <v>297</v>
      </c>
      <c r="C29" s="19">
        <v>193</v>
      </c>
      <c r="D29" s="252">
        <v>72.620725388601045</v>
      </c>
      <c r="E29" s="252">
        <v>117.50319758721916</v>
      </c>
      <c r="F29" s="253">
        <f>D29*Q6</f>
        <v>24.240675816257298</v>
      </c>
      <c r="G29" s="254">
        <f>E29*Q6</f>
        <v>39.222369438525334</v>
      </c>
      <c r="H29" s="307"/>
      <c r="I29" s="294"/>
      <c r="K29" s="256">
        <f t="shared" si="1"/>
        <v>2.4240675816257296E-3</v>
      </c>
      <c r="L29" s="257">
        <f t="shared" si="0"/>
        <v>3.9222369438525334E-3</v>
      </c>
      <c r="M29" s="297"/>
      <c r="N29" s="294"/>
      <c r="O29" s="8"/>
    </row>
    <row r="30" spans="1:18" x14ac:dyDescent="0.2">
      <c r="A30" s="310"/>
      <c r="B30" s="270" t="s">
        <v>298</v>
      </c>
      <c r="C30" s="19">
        <v>356</v>
      </c>
      <c r="D30" s="252">
        <v>428.41629213483134</v>
      </c>
      <c r="E30" s="252">
        <v>447.81892267798003</v>
      </c>
      <c r="F30" s="253">
        <f>D30*Q6</f>
        <v>143.00463671316524</v>
      </c>
      <c r="G30" s="254">
        <f>E30*Q6</f>
        <v>149.48120210771725</v>
      </c>
      <c r="H30" s="307"/>
      <c r="I30" s="294"/>
      <c r="K30" s="256">
        <f t="shared" si="1"/>
        <v>1.4300463671316524E-2</v>
      </c>
      <c r="L30" s="257">
        <f t="shared" si="0"/>
        <v>1.4948120210771725E-2</v>
      </c>
      <c r="M30" s="297"/>
      <c r="N30" s="294"/>
      <c r="O30" s="8"/>
    </row>
    <row r="31" spans="1:18" x14ac:dyDescent="0.2">
      <c r="A31" s="310"/>
      <c r="B31" s="270" t="s">
        <v>299</v>
      </c>
      <c r="C31" s="19">
        <v>335</v>
      </c>
      <c r="D31" s="252">
        <v>48.949074626865659</v>
      </c>
      <c r="E31" s="252">
        <v>90.185386292004836</v>
      </c>
      <c r="F31" s="253">
        <f>D31*Q6</f>
        <v>16.339118663249884</v>
      </c>
      <c r="G31" s="254">
        <f>E31*Q6</f>
        <v>30.103730040840038</v>
      </c>
      <c r="H31" s="307"/>
      <c r="I31" s="294"/>
      <c r="K31" s="256">
        <f t="shared" si="1"/>
        <v>1.6339118663249884E-3</v>
      </c>
      <c r="L31" s="257">
        <f t="shared" si="0"/>
        <v>3.0103730040840038E-3</v>
      </c>
      <c r="M31" s="297"/>
      <c r="N31" s="294"/>
      <c r="O31" s="8"/>
    </row>
    <row r="32" spans="1:18" x14ac:dyDescent="0.2">
      <c r="A32" s="310"/>
      <c r="B32" s="270" t="s">
        <v>300</v>
      </c>
      <c r="C32" s="19">
        <v>1105</v>
      </c>
      <c r="D32" s="252">
        <v>282.29303167420812</v>
      </c>
      <c r="E32" s="252">
        <v>578.48466050738159</v>
      </c>
      <c r="F32" s="253">
        <f>D32*Q6</f>
        <v>94.228938493597639</v>
      </c>
      <c r="G32" s="254">
        <f>E32*Q6</f>
        <v>193.09720530880574</v>
      </c>
      <c r="H32" s="307"/>
      <c r="I32" s="294"/>
      <c r="K32" s="256">
        <f t="shared" si="1"/>
        <v>9.4228938493597647E-3</v>
      </c>
      <c r="L32" s="257">
        <f t="shared" si="0"/>
        <v>1.9309720530880575E-2</v>
      </c>
      <c r="M32" s="297"/>
      <c r="N32" s="294"/>
      <c r="O32" s="8"/>
    </row>
    <row r="33" spans="1:15" x14ac:dyDescent="0.2">
      <c r="A33" s="310"/>
      <c r="B33" s="270" t="s">
        <v>301</v>
      </c>
      <c r="C33" s="19">
        <v>113</v>
      </c>
      <c r="D33" s="252">
        <v>576.06017699115046</v>
      </c>
      <c r="E33" s="252">
        <v>952.44011093497409</v>
      </c>
      <c r="F33" s="253">
        <f>D33*Q6</f>
        <v>192.28791679475788</v>
      </c>
      <c r="G33" s="254">
        <f>E33*Q6</f>
        <v>317.92290479101757</v>
      </c>
      <c r="H33" s="307"/>
      <c r="I33" s="294"/>
      <c r="K33" s="256">
        <f t="shared" si="1"/>
        <v>1.9228791679475787E-2</v>
      </c>
      <c r="L33" s="257">
        <f t="shared" si="0"/>
        <v>3.1792290479101759E-2</v>
      </c>
      <c r="M33" s="297"/>
      <c r="N33" s="294"/>
      <c r="O33" s="8"/>
    </row>
    <row r="34" spans="1:15" x14ac:dyDescent="0.2">
      <c r="A34" s="310"/>
      <c r="B34" s="270" t="s">
        <v>302</v>
      </c>
      <c r="C34" s="19">
        <v>313</v>
      </c>
      <c r="D34" s="252">
        <v>40.686261980830672</v>
      </c>
      <c r="E34" s="252">
        <v>25.397473055109096</v>
      </c>
      <c r="F34" s="253">
        <f>D34*Q6</f>
        <v>13.581005719442182</v>
      </c>
      <c r="G34" s="254">
        <f>E34*Q6</f>
        <v>8.4776337276529823</v>
      </c>
      <c r="H34" s="307"/>
      <c r="I34" s="294"/>
      <c r="K34" s="256">
        <f t="shared" si="1"/>
        <v>1.3581005719442182E-3</v>
      </c>
      <c r="L34" s="257">
        <f t="shared" si="0"/>
        <v>8.477633727652982E-4</v>
      </c>
      <c r="M34" s="297"/>
      <c r="N34" s="294"/>
      <c r="O34" s="8"/>
    </row>
    <row r="35" spans="1:15" x14ac:dyDescent="0.2">
      <c r="A35" s="310"/>
      <c r="B35" s="270" t="s">
        <v>303</v>
      </c>
      <c r="C35" s="19">
        <v>341</v>
      </c>
      <c r="D35" s="252">
        <v>247.54897360703816</v>
      </c>
      <c r="E35" s="252">
        <v>301.26656016060298</v>
      </c>
      <c r="F35" s="253">
        <f>D35*Q6</f>
        <v>82.631430431805597</v>
      </c>
      <c r="G35" s="254">
        <f>E35*Q6</f>
        <v>100.56227034436175</v>
      </c>
      <c r="H35" s="307"/>
      <c r="I35" s="294"/>
      <c r="K35" s="256">
        <f t="shared" si="1"/>
        <v>8.2631430431805604E-3</v>
      </c>
      <c r="L35" s="257">
        <f t="shared" si="0"/>
        <v>1.0056227034436175E-2</v>
      </c>
      <c r="M35" s="297"/>
      <c r="N35" s="294"/>
      <c r="O35" s="8"/>
    </row>
    <row r="36" spans="1:15" x14ac:dyDescent="0.2">
      <c r="A36" s="310"/>
      <c r="B36" s="270" t="s">
        <v>304</v>
      </c>
      <c r="C36" s="19">
        <v>496</v>
      </c>
      <c r="D36" s="252">
        <v>157.73245967741934</v>
      </c>
      <c r="E36" s="252">
        <v>221.30927583475443</v>
      </c>
      <c r="F36" s="253">
        <f>D36*Q6</f>
        <v>52.650829364221181</v>
      </c>
      <c r="G36" s="254">
        <f>E36*Q6</f>
        <v>73.872663512157899</v>
      </c>
      <c r="H36" s="307"/>
      <c r="I36" s="294"/>
      <c r="K36" s="256">
        <f t="shared" si="1"/>
        <v>5.2650829364221177E-3</v>
      </c>
      <c r="L36" s="257">
        <f t="shared" si="0"/>
        <v>7.3872663512157899E-3</v>
      </c>
      <c r="M36" s="297"/>
      <c r="N36" s="294"/>
      <c r="O36" s="8"/>
    </row>
    <row r="37" spans="1:15" x14ac:dyDescent="0.2">
      <c r="A37" s="310"/>
      <c r="B37" s="270" t="s">
        <v>305</v>
      </c>
      <c r="C37" s="19">
        <v>472</v>
      </c>
      <c r="D37" s="252">
        <v>165.44046610169497</v>
      </c>
      <c r="E37" s="252">
        <v>135.49499248115421</v>
      </c>
      <c r="F37" s="253">
        <f>D37*Q6</f>
        <v>55.223748925691474</v>
      </c>
      <c r="G37" s="254">
        <f>E37*Q6</f>
        <v>45.228000269705809</v>
      </c>
      <c r="H37" s="307"/>
      <c r="I37" s="294"/>
      <c r="K37" s="256">
        <f t="shared" si="1"/>
        <v>5.5223748925691471E-3</v>
      </c>
      <c r="L37" s="257">
        <f t="shared" si="0"/>
        <v>4.5228000269705807E-3</v>
      </c>
      <c r="M37" s="297"/>
      <c r="N37" s="294"/>
      <c r="O37" s="8"/>
    </row>
    <row r="38" spans="1:15" x14ac:dyDescent="0.2">
      <c r="A38" s="310"/>
      <c r="B38" s="270" t="s">
        <v>306</v>
      </c>
      <c r="C38" s="19">
        <v>302</v>
      </c>
      <c r="D38" s="252">
        <v>440.65397350993379</v>
      </c>
      <c r="E38" s="252">
        <v>768.57351472861603</v>
      </c>
      <c r="F38" s="253">
        <f>D38*Q6</f>
        <v>147.08955414367981</v>
      </c>
      <c r="G38" s="254">
        <f>E38*Q6</f>
        <v>256.54854467237556</v>
      </c>
      <c r="H38" s="307"/>
      <c r="I38" s="294"/>
      <c r="K38" s="256">
        <f t="shared" si="1"/>
        <v>1.470895541436798E-2</v>
      </c>
      <c r="L38" s="257">
        <f t="shared" si="0"/>
        <v>2.5654854467237555E-2</v>
      </c>
      <c r="M38" s="297"/>
      <c r="N38" s="294"/>
      <c r="O38" s="8"/>
    </row>
    <row r="39" spans="1:15" x14ac:dyDescent="0.2">
      <c r="A39" s="310"/>
      <c r="B39" s="270" t="s">
        <v>307</v>
      </c>
      <c r="C39" s="19">
        <v>296</v>
      </c>
      <c r="D39" s="252">
        <v>548.71824324324325</v>
      </c>
      <c r="E39" s="252">
        <v>710.38605971369361</v>
      </c>
      <c r="F39" s="253">
        <f>D39*Q6</f>
        <v>183.16122536299429</v>
      </c>
      <c r="G39" s="254">
        <f>E39*Q6</f>
        <v>237.12567019622514</v>
      </c>
      <c r="H39" s="307"/>
      <c r="I39" s="294"/>
      <c r="K39" s="256">
        <f t="shared" si="1"/>
        <v>1.8316122536299429E-2</v>
      </c>
      <c r="L39" s="257">
        <f t="shared" si="0"/>
        <v>2.3712567019622516E-2</v>
      </c>
      <c r="M39" s="297"/>
      <c r="N39" s="294"/>
      <c r="O39" s="8"/>
    </row>
    <row r="40" spans="1:15" x14ac:dyDescent="0.2">
      <c r="A40" s="310"/>
      <c r="B40" s="270" t="s">
        <v>308</v>
      </c>
      <c r="C40" s="19">
        <v>434</v>
      </c>
      <c r="D40" s="252">
        <v>36.28723502304149</v>
      </c>
      <c r="E40" s="252">
        <v>26.266441716886114</v>
      </c>
      <c r="F40" s="253">
        <f>D40*Q6</f>
        <v>12.112617930417393</v>
      </c>
      <c r="G40" s="254">
        <f>E40*Q6</f>
        <v>8.7676940033099093</v>
      </c>
      <c r="H40" s="307"/>
      <c r="I40" s="294"/>
      <c r="K40" s="256">
        <f t="shared" si="1"/>
        <v>1.2112617930417394E-3</v>
      </c>
      <c r="L40" s="257">
        <f t="shared" si="0"/>
        <v>8.7676940033099091E-4</v>
      </c>
      <c r="M40" s="297"/>
      <c r="N40" s="294"/>
      <c r="O40" s="8"/>
    </row>
    <row r="41" spans="1:15" x14ac:dyDescent="0.2">
      <c r="A41" s="310"/>
      <c r="B41" s="270" t="s">
        <v>309</v>
      </c>
      <c r="C41" s="19">
        <v>195</v>
      </c>
      <c r="D41" s="252">
        <v>270.96820512820517</v>
      </c>
      <c r="E41" s="252">
        <v>416.74195681681016</v>
      </c>
      <c r="F41" s="253">
        <f>D41*Q6</f>
        <v>90.448730467472728</v>
      </c>
      <c r="G41" s="254">
        <f>E41*Q6</f>
        <v>139.10776324763449</v>
      </c>
      <c r="H41" s="307"/>
      <c r="I41" s="294"/>
      <c r="K41" s="256">
        <f t="shared" si="1"/>
        <v>9.0448730467472729E-3</v>
      </c>
      <c r="L41" s="257">
        <f t="shared" si="0"/>
        <v>1.391077632476345E-2</v>
      </c>
      <c r="M41" s="297"/>
      <c r="N41" s="294"/>
      <c r="O41" s="8"/>
    </row>
    <row r="42" spans="1:15" x14ac:dyDescent="0.2">
      <c r="A42" s="310"/>
      <c r="B42" s="270" t="s">
        <v>310</v>
      </c>
      <c r="C42" s="19">
        <v>265</v>
      </c>
      <c r="D42" s="252">
        <v>74.687169811320729</v>
      </c>
      <c r="E42" s="252">
        <v>182.36309514571843</v>
      </c>
      <c r="F42" s="253">
        <f>D42*Q6</f>
        <v>24.930451483952893</v>
      </c>
      <c r="G42" s="254">
        <f>E42*Q6</f>
        <v>60.872493997017116</v>
      </c>
      <c r="H42" s="307"/>
      <c r="I42" s="294"/>
      <c r="K42" s="256">
        <f t="shared" si="1"/>
        <v>2.4930451483952893E-3</v>
      </c>
      <c r="L42" s="257">
        <f t="shared" si="0"/>
        <v>6.0872493997017113E-3</v>
      </c>
      <c r="M42" s="297"/>
      <c r="N42" s="294"/>
      <c r="O42" s="8"/>
    </row>
    <row r="43" spans="1:15" x14ac:dyDescent="0.2">
      <c r="A43" s="310"/>
      <c r="B43" s="270" t="s">
        <v>311</v>
      </c>
      <c r="C43" s="19">
        <v>348</v>
      </c>
      <c r="D43" s="252">
        <v>14254.223850574714</v>
      </c>
      <c r="E43" s="252">
        <v>39906.372410248623</v>
      </c>
      <c r="F43" s="253">
        <f>D43*Q6</f>
        <v>4758.0359122711416</v>
      </c>
      <c r="G43" s="254">
        <f>E43*Q6</f>
        <v>13320.679894386089</v>
      </c>
      <c r="H43" s="307"/>
      <c r="I43" s="294"/>
      <c r="K43" s="256">
        <f t="shared" si="1"/>
        <v>0.47580359122711413</v>
      </c>
      <c r="L43" s="257">
        <f t="shared" si="0"/>
        <v>1.3320679894386089</v>
      </c>
      <c r="M43" s="297"/>
      <c r="N43" s="294"/>
      <c r="O43" s="8"/>
    </row>
    <row r="44" spans="1:15" ht="17" thickBot="1" x14ac:dyDescent="0.25">
      <c r="A44" s="311"/>
      <c r="B44" s="271" t="s">
        <v>312</v>
      </c>
      <c r="C44" s="263">
        <v>201</v>
      </c>
      <c r="D44" s="264">
        <v>321.43930348258704</v>
      </c>
      <c r="E44" s="264">
        <v>489.75269146530735</v>
      </c>
      <c r="F44" s="264">
        <f>D44*Q6</f>
        <v>107.29589808735233</v>
      </c>
      <c r="G44" s="265">
        <f>E44*Q6</f>
        <v>163.47862349793442</v>
      </c>
      <c r="H44" s="308"/>
      <c r="I44" s="295"/>
      <c r="K44" s="256">
        <f t="shared" si="1"/>
        <v>1.0729589808735233E-2</v>
      </c>
      <c r="L44" s="257">
        <f t="shared" si="0"/>
        <v>1.6347862349793442E-2</v>
      </c>
      <c r="M44" s="297"/>
      <c r="N44" s="294"/>
      <c r="O44" s="8"/>
    </row>
    <row r="45" spans="1:15" x14ac:dyDescent="0.2">
      <c r="A45" s="287" t="s">
        <v>313</v>
      </c>
      <c r="B45" s="240" t="s">
        <v>314</v>
      </c>
      <c r="C45" s="272">
        <v>273</v>
      </c>
      <c r="D45" s="243">
        <v>147.39926739926739</v>
      </c>
      <c r="E45" s="243">
        <v>172.86169794696679</v>
      </c>
      <c r="F45" s="243">
        <f>D45*Q6</f>
        <v>49.201627186449322</v>
      </c>
      <c r="G45" s="244">
        <f>E45*Q6</f>
        <v>57.700943615718025</v>
      </c>
      <c r="H45" s="306">
        <f>AVERAGE(F45:F68)</f>
        <v>170.7264730595613</v>
      </c>
      <c r="I45" s="293">
        <f>AVERAGE(G45:G68)</f>
        <v>155.63157233549134</v>
      </c>
      <c r="J45" s="245"/>
      <c r="K45" s="246">
        <f t="shared" si="1"/>
        <v>4.9201627186449323E-3</v>
      </c>
      <c r="L45" s="247">
        <f t="shared" si="0"/>
        <v>5.7700943615718028E-3</v>
      </c>
      <c r="M45" s="296">
        <f>AVERAGE(K45:K68)</f>
        <v>1.7072647305956128E-2</v>
      </c>
      <c r="N45" s="299">
        <f>AVERAGE(L45:L68)</f>
        <v>1.5563157233549127E-2</v>
      </c>
      <c r="O45" s="248"/>
    </row>
    <row r="46" spans="1:15" x14ac:dyDescent="0.2">
      <c r="A46" s="288"/>
      <c r="B46" s="251" t="s">
        <v>315</v>
      </c>
      <c r="C46" s="273">
        <v>311</v>
      </c>
      <c r="D46" s="253">
        <v>174.54340836012861</v>
      </c>
      <c r="E46" s="253">
        <v>216.30378729915597</v>
      </c>
      <c r="F46" s="253">
        <f>D46*Q6</f>
        <v>58.262295719048552</v>
      </c>
      <c r="G46" s="254">
        <f>F46*Q6</f>
        <v>19.44785617713007</v>
      </c>
      <c r="H46" s="307"/>
      <c r="I46" s="294"/>
      <c r="K46" s="256">
        <f t="shared" si="1"/>
        <v>5.8262295719048555E-3</v>
      </c>
      <c r="L46" s="257">
        <f t="shared" si="0"/>
        <v>1.9447856177130071E-3</v>
      </c>
      <c r="M46" s="297"/>
      <c r="N46" s="294"/>
      <c r="O46" s="8"/>
    </row>
    <row r="47" spans="1:15" x14ac:dyDescent="0.2">
      <c r="A47" s="288"/>
      <c r="B47" s="251" t="s">
        <v>316</v>
      </c>
      <c r="C47" s="273">
        <v>267</v>
      </c>
      <c r="D47" s="253">
        <v>1747.9539325842698</v>
      </c>
      <c r="E47" s="253">
        <v>749.32966931848011</v>
      </c>
      <c r="F47" s="253">
        <f>D47*Q6</f>
        <v>583.46407853670689</v>
      </c>
      <c r="G47" s="254">
        <f>E47*Q6</f>
        <v>250.12498148777405</v>
      </c>
      <c r="H47" s="307"/>
      <c r="I47" s="294"/>
      <c r="K47" s="256">
        <f>F47/10000</f>
        <v>5.8346407853670693E-2</v>
      </c>
      <c r="L47" s="257">
        <f t="shared" si="0"/>
        <v>2.5012498148777405E-2</v>
      </c>
      <c r="M47" s="297"/>
      <c r="N47" s="294"/>
      <c r="O47" s="8"/>
    </row>
    <row r="48" spans="1:15" x14ac:dyDescent="0.2">
      <c r="A48" s="288"/>
      <c r="B48" s="251" t="s">
        <v>317</v>
      </c>
      <c r="C48" s="273">
        <v>333</v>
      </c>
      <c r="D48" s="253">
        <v>95.618618618618612</v>
      </c>
      <c r="E48" s="253">
        <v>102.05131541339441</v>
      </c>
      <c r="F48" s="253">
        <f>D48*Q6</f>
        <v>31.917333840018379</v>
      </c>
      <c r="G48" s="254">
        <f>E48*Q6</f>
        <v>34.064557195224822</v>
      </c>
      <c r="H48" s="307"/>
      <c r="I48" s="294"/>
      <c r="K48" s="256">
        <f>F48/10000</f>
        <v>3.1917333840018381E-3</v>
      </c>
      <c r="L48" s="257">
        <f t="shared" si="0"/>
        <v>3.406455719522482E-3</v>
      </c>
      <c r="M48" s="297"/>
      <c r="N48" s="294"/>
      <c r="O48" s="8"/>
    </row>
    <row r="49" spans="1:15" x14ac:dyDescent="0.2">
      <c r="A49" s="288"/>
      <c r="B49" s="251" t="s">
        <v>318</v>
      </c>
      <c r="C49" s="273">
        <v>48</v>
      </c>
      <c r="D49" s="253">
        <v>1348.8854166666667</v>
      </c>
      <c r="E49" s="253">
        <v>830.31385913786733</v>
      </c>
      <c r="F49" s="253">
        <f>D49*Q6</f>
        <v>450.25568009303117</v>
      </c>
      <c r="G49" s="254">
        <f>E49*Q6</f>
        <v>277.15736764405654</v>
      </c>
      <c r="H49" s="307"/>
      <c r="I49" s="294"/>
      <c r="K49" s="256">
        <f t="shared" si="1"/>
        <v>4.5025568009303116E-2</v>
      </c>
      <c r="L49" s="257">
        <f t="shared" si="0"/>
        <v>2.7715736764405655E-2</v>
      </c>
      <c r="M49" s="297"/>
      <c r="N49" s="294"/>
      <c r="O49" s="8"/>
    </row>
    <row r="50" spans="1:15" x14ac:dyDescent="0.2">
      <c r="A50" s="288"/>
      <c r="B50" s="251" t="s">
        <v>319</v>
      </c>
      <c r="C50" s="273">
        <v>189</v>
      </c>
      <c r="D50" s="253">
        <v>189</v>
      </c>
      <c r="E50" s="253">
        <v>710.50211423818826</v>
      </c>
      <c r="F50" s="253">
        <f>D50*Q6</f>
        <v>63.087881658529469</v>
      </c>
      <c r="G50" s="254">
        <f>E50*Q6</f>
        <v>237.16440900102543</v>
      </c>
      <c r="H50" s="307"/>
      <c r="I50" s="294"/>
      <c r="K50" s="256">
        <f t="shared" si="1"/>
        <v>6.3087881658529469E-3</v>
      </c>
      <c r="L50" s="257">
        <f t="shared" si="0"/>
        <v>2.3716440900102543E-2</v>
      </c>
      <c r="M50" s="297"/>
      <c r="N50" s="294"/>
      <c r="O50" s="8"/>
    </row>
    <row r="51" spans="1:15" x14ac:dyDescent="0.2">
      <c r="A51" s="288"/>
      <c r="B51" s="251" t="s">
        <v>320</v>
      </c>
      <c r="C51" s="273">
        <v>47</v>
      </c>
      <c r="D51" s="253">
        <v>561.70212765957444</v>
      </c>
      <c r="E51" s="253">
        <v>727.11171185527871</v>
      </c>
      <c r="F51" s="253">
        <f>D51*Q6</f>
        <v>187.49522411180658</v>
      </c>
      <c r="G51" s="254">
        <f>E51*Q6</f>
        <v>242.7086647092942</v>
      </c>
      <c r="H51" s="307"/>
      <c r="I51" s="294"/>
      <c r="K51" s="256">
        <f t="shared" si="1"/>
        <v>1.8749522411180657E-2</v>
      </c>
      <c r="L51" s="257">
        <f t="shared" si="0"/>
        <v>2.4270866470929419E-2</v>
      </c>
      <c r="M51" s="297"/>
      <c r="N51" s="294"/>
      <c r="O51" s="8"/>
    </row>
    <row r="52" spans="1:15" x14ac:dyDescent="0.2">
      <c r="A52" s="288"/>
      <c r="B52" s="251" t="s">
        <v>321</v>
      </c>
      <c r="C52" s="273">
        <v>175</v>
      </c>
      <c r="D52" s="253">
        <v>1155.8651428571429</v>
      </c>
      <c r="E52" s="253">
        <v>865.75295405569261</v>
      </c>
      <c r="F52" s="253">
        <f>D52*Q6</f>
        <v>385.82583780841634</v>
      </c>
      <c r="G52" s="254">
        <f>E52*Q6</f>
        <v>288.98687783591447</v>
      </c>
      <c r="H52" s="307"/>
      <c r="I52" s="294"/>
      <c r="K52" s="256">
        <f t="shared" si="1"/>
        <v>3.8582583780841631E-2</v>
      </c>
      <c r="L52" s="257">
        <f t="shared" si="0"/>
        <v>2.8898687783591448E-2</v>
      </c>
      <c r="M52" s="297"/>
      <c r="N52" s="294"/>
      <c r="O52" s="8"/>
    </row>
    <row r="53" spans="1:15" x14ac:dyDescent="0.2">
      <c r="A53" s="288"/>
      <c r="B53" s="251" t="s">
        <v>322</v>
      </c>
      <c r="C53" s="273">
        <v>736</v>
      </c>
      <c r="D53" s="253">
        <v>154.29021739130437</v>
      </c>
      <c r="E53" s="253">
        <v>234.74182990445365</v>
      </c>
      <c r="F53" s="253">
        <f>D53*Q6</f>
        <v>51.501814687044423</v>
      </c>
      <c r="G53" s="254">
        <f>E53*Q6</f>
        <v>78.35642743554935</v>
      </c>
      <c r="H53" s="307"/>
      <c r="I53" s="294"/>
      <c r="K53" s="256">
        <f t="shared" si="1"/>
        <v>5.1501814687044426E-3</v>
      </c>
      <c r="L53" s="257">
        <f t="shared" si="0"/>
        <v>7.8356427435549349E-3</v>
      </c>
      <c r="M53" s="297"/>
      <c r="N53" s="294"/>
      <c r="O53" s="8"/>
    </row>
    <row r="54" spans="1:15" x14ac:dyDescent="0.2">
      <c r="A54" s="288"/>
      <c r="B54" s="251" t="s">
        <v>323</v>
      </c>
      <c r="C54" s="273">
        <v>317</v>
      </c>
      <c r="D54" s="253">
        <v>216.36309148264985</v>
      </c>
      <c r="E54" s="253">
        <v>585.73072078617406</v>
      </c>
      <c r="F54" s="253">
        <f>D54*Q6</f>
        <v>72.221635506513223</v>
      </c>
      <c r="G54" s="254">
        <f>E54*Q6</f>
        <v>195.5159280249911</v>
      </c>
      <c r="H54" s="307"/>
      <c r="I54" s="294"/>
      <c r="K54" s="256">
        <f t="shared" si="1"/>
        <v>7.2221635506513225E-3</v>
      </c>
      <c r="L54" s="257">
        <f t="shared" si="0"/>
        <v>1.9551592802499108E-2</v>
      </c>
      <c r="M54" s="297"/>
      <c r="N54" s="294"/>
      <c r="O54" s="8"/>
    </row>
    <row r="55" spans="1:15" x14ac:dyDescent="0.2">
      <c r="A55" s="288"/>
      <c r="B55" s="251" t="s">
        <v>324</v>
      </c>
      <c r="C55" s="273">
        <v>124</v>
      </c>
      <c r="D55" s="253">
        <v>1339.8395161290321</v>
      </c>
      <c r="E55" s="253">
        <v>852.4321422883279</v>
      </c>
      <c r="F55" s="253">
        <f>D55*Q6</f>
        <v>447.23617372999877</v>
      </c>
      <c r="G55" s="254">
        <f>E55*Q6</f>
        <v>284.54041330482954</v>
      </c>
      <c r="H55" s="307"/>
      <c r="I55" s="294"/>
      <c r="K55" s="256">
        <f t="shared" si="1"/>
        <v>4.4723617372999874E-2</v>
      </c>
      <c r="L55" s="257">
        <f t="shared" si="0"/>
        <v>2.8454041330482953E-2</v>
      </c>
      <c r="M55" s="297"/>
      <c r="N55" s="294"/>
      <c r="O55" s="8"/>
    </row>
    <row r="56" spans="1:15" x14ac:dyDescent="0.2">
      <c r="A56" s="288"/>
      <c r="B56" s="251" t="s">
        <v>325</v>
      </c>
      <c r="C56" s="273">
        <v>51</v>
      </c>
      <c r="D56" s="253">
        <v>1401.7431372549017</v>
      </c>
      <c r="E56" s="253">
        <v>766.05387232358635</v>
      </c>
      <c r="F56" s="253">
        <f>D56*Q6</f>
        <v>467.89949819467233</v>
      </c>
      <c r="G56" s="254">
        <f>E56*Q6</f>
        <v>255.70749228152729</v>
      </c>
      <c r="H56" s="307"/>
      <c r="I56" s="294"/>
      <c r="K56" s="256">
        <f t="shared" si="1"/>
        <v>4.6789949819467234E-2</v>
      </c>
      <c r="L56" s="257">
        <f t="shared" si="0"/>
        <v>2.557074922815273E-2</v>
      </c>
      <c r="M56" s="297"/>
      <c r="N56" s="294"/>
      <c r="O56" s="8"/>
    </row>
    <row r="57" spans="1:15" x14ac:dyDescent="0.2">
      <c r="A57" s="288"/>
      <c r="B57" s="251" t="s">
        <v>326</v>
      </c>
      <c r="C57" s="273">
        <v>883</v>
      </c>
      <c r="D57" s="253">
        <v>266.00464326160812</v>
      </c>
      <c r="E57" s="253">
        <v>313.50529579038977</v>
      </c>
      <c r="F57" s="253">
        <f>D57*Q6</f>
        <v>88.791901876760221</v>
      </c>
      <c r="G57" s="254">
        <f>E57*Q6</f>
        <v>104.64753968331422</v>
      </c>
      <c r="H57" s="307"/>
      <c r="I57" s="294"/>
      <c r="K57" s="256">
        <f t="shared" si="1"/>
        <v>8.8791901876760226E-3</v>
      </c>
      <c r="L57" s="257">
        <f t="shared" si="0"/>
        <v>1.0464753968331422E-2</v>
      </c>
      <c r="M57" s="297"/>
      <c r="N57" s="294"/>
      <c r="O57" s="8"/>
    </row>
    <row r="58" spans="1:15" x14ac:dyDescent="0.2">
      <c r="A58" s="288"/>
      <c r="B58" s="251" t="s">
        <v>327</v>
      </c>
      <c r="C58" s="273">
        <v>507</v>
      </c>
      <c r="D58" s="253">
        <v>89.094891518737668</v>
      </c>
      <c r="E58" s="253">
        <v>123.77416877310226</v>
      </c>
      <c r="F58" s="253">
        <f>D58*Q6</f>
        <v>29.739724722294408</v>
      </c>
      <c r="G58" s="254">
        <f>E58*Q6</f>
        <v>41.315609057885339</v>
      </c>
      <c r="H58" s="307"/>
      <c r="I58" s="294"/>
      <c r="K58" s="256">
        <f t="shared" si="1"/>
        <v>2.973972472229441E-3</v>
      </c>
      <c r="L58" s="257">
        <f t="shared" si="0"/>
        <v>4.1315609057885339E-3</v>
      </c>
      <c r="M58" s="297"/>
      <c r="N58" s="294"/>
      <c r="O58" s="8"/>
    </row>
    <row r="59" spans="1:15" x14ac:dyDescent="0.2">
      <c r="A59" s="288"/>
      <c r="B59" s="251" t="s">
        <v>328</v>
      </c>
      <c r="C59" s="273">
        <v>408</v>
      </c>
      <c r="D59" s="253">
        <v>654.97107843137246</v>
      </c>
      <c r="E59" s="253">
        <v>887.54848823313739</v>
      </c>
      <c r="F59" s="253">
        <f>D59*Q6</f>
        <v>218.62824278221083</v>
      </c>
      <c r="G59" s="254">
        <f>E59*Q6</f>
        <v>296.2621904331159</v>
      </c>
      <c r="H59" s="307"/>
      <c r="I59" s="294"/>
      <c r="K59" s="256">
        <f t="shared" si="1"/>
        <v>2.1862824278221085E-2</v>
      </c>
      <c r="L59" s="257">
        <f t="shared" si="0"/>
        <v>2.9626219043311589E-2</v>
      </c>
      <c r="M59" s="297"/>
      <c r="N59" s="294"/>
      <c r="O59" s="8"/>
    </row>
    <row r="60" spans="1:15" x14ac:dyDescent="0.2">
      <c r="A60" s="288"/>
      <c r="B60" s="251" t="s">
        <v>329</v>
      </c>
      <c r="C60" s="273">
        <v>61</v>
      </c>
      <c r="D60" s="253">
        <v>194.95245901639345</v>
      </c>
      <c r="E60" s="253">
        <v>230.19140123424634</v>
      </c>
      <c r="F60" s="253">
        <f>D60*Q6</f>
        <v>65.074802452198654</v>
      </c>
      <c r="G60" s="254">
        <f>E60*Q6</f>
        <v>76.837502009932322</v>
      </c>
      <c r="H60" s="307"/>
      <c r="I60" s="294"/>
      <c r="K60" s="256">
        <f t="shared" si="1"/>
        <v>6.5074802452198656E-3</v>
      </c>
      <c r="L60" s="257">
        <f t="shared" si="0"/>
        <v>7.6837502009932321E-3</v>
      </c>
      <c r="M60" s="297"/>
      <c r="N60" s="294"/>
      <c r="O60" s="8"/>
    </row>
    <row r="61" spans="1:15" x14ac:dyDescent="0.2">
      <c r="A61" s="288"/>
      <c r="B61" s="251" t="s">
        <v>330</v>
      </c>
      <c r="C61" s="273">
        <v>391</v>
      </c>
      <c r="D61" s="253">
        <v>88.608772378516619</v>
      </c>
      <c r="E61" s="253">
        <v>248.82452410675003</v>
      </c>
      <c r="F61" s="253">
        <f>D61*Q6</f>
        <v>29.577458972081647</v>
      </c>
      <c r="G61" s="254">
        <f>E61*Q6</f>
        <v>83.057207040140526</v>
      </c>
      <c r="H61" s="307"/>
      <c r="I61" s="294"/>
      <c r="K61" s="256">
        <f t="shared" si="1"/>
        <v>2.9577458972081649E-3</v>
      </c>
      <c r="L61" s="257">
        <f t="shared" si="0"/>
        <v>8.3057207040140527E-3</v>
      </c>
      <c r="M61" s="297"/>
      <c r="N61" s="294"/>
      <c r="O61" s="8"/>
    </row>
    <row r="62" spans="1:15" x14ac:dyDescent="0.2">
      <c r="A62" s="288"/>
      <c r="B62" s="251" t="s">
        <v>331</v>
      </c>
      <c r="C62" s="273">
        <v>346</v>
      </c>
      <c r="D62" s="253">
        <v>162.19942196531792</v>
      </c>
      <c r="E62" s="253">
        <v>212.55295156044343</v>
      </c>
      <c r="F62" s="253">
        <f>D62*Q6</f>
        <v>54.141893852009858</v>
      </c>
      <c r="G62" s="254">
        <f>E62*Q6</f>
        <v>70.949817218076205</v>
      </c>
      <c r="H62" s="307"/>
      <c r="I62" s="294"/>
      <c r="K62" s="256">
        <f t="shared" si="1"/>
        <v>5.4141893852009855E-3</v>
      </c>
      <c r="L62" s="257">
        <f t="shared" si="0"/>
        <v>7.0949817218076208E-3</v>
      </c>
      <c r="M62" s="297"/>
      <c r="N62" s="294"/>
      <c r="O62" s="8"/>
    </row>
    <row r="63" spans="1:15" x14ac:dyDescent="0.2">
      <c r="A63" s="288"/>
      <c r="B63" s="251" t="s">
        <v>332</v>
      </c>
      <c r="C63" s="273">
        <v>77</v>
      </c>
      <c r="D63" s="253">
        <v>1222.7220779220779</v>
      </c>
      <c r="E63" s="253">
        <v>1230.1456494449171</v>
      </c>
      <c r="F63" s="253">
        <f>D63*Q6</f>
        <v>408.14257012285344</v>
      </c>
      <c r="G63" s="254">
        <f>E63*Q6</f>
        <v>410.62054579331118</v>
      </c>
      <c r="H63" s="307"/>
      <c r="I63" s="294"/>
      <c r="K63" s="256">
        <f t="shared" si="1"/>
        <v>4.0814257012285346E-2</v>
      </c>
      <c r="L63" s="257">
        <f t="shared" si="0"/>
        <v>4.1062054579331118E-2</v>
      </c>
      <c r="M63" s="297"/>
      <c r="N63" s="294"/>
      <c r="O63" s="8"/>
    </row>
    <row r="64" spans="1:15" x14ac:dyDescent="0.2">
      <c r="A64" s="288"/>
      <c r="B64" s="251" t="s">
        <v>333</v>
      </c>
      <c r="C64" s="273">
        <v>161</v>
      </c>
      <c r="D64" s="253">
        <v>450.41149068322983</v>
      </c>
      <c r="E64" s="253">
        <v>631.8195767050621</v>
      </c>
      <c r="F64" s="253">
        <f>D64*Q6</f>
        <v>150.34659694108706</v>
      </c>
      <c r="G64" s="254">
        <f>E64*Q6</f>
        <v>210.90031050111716</v>
      </c>
      <c r="H64" s="307"/>
      <c r="I64" s="294"/>
      <c r="K64" s="256">
        <f t="shared" si="1"/>
        <v>1.5034659694108705E-2</v>
      </c>
      <c r="L64" s="257">
        <f t="shared" si="0"/>
        <v>2.1090031050111716E-2</v>
      </c>
      <c r="M64" s="297"/>
      <c r="N64" s="294"/>
      <c r="O64" s="8"/>
    </row>
    <row r="65" spans="1:15" x14ac:dyDescent="0.2">
      <c r="A65" s="288"/>
      <c r="B65" s="251" t="s">
        <v>334</v>
      </c>
      <c r="C65" s="273">
        <v>71</v>
      </c>
      <c r="D65" s="253">
        <v>215.66056338028167</v>
      </c>
      <c r="E65" s="253">
        <v>316.88459930971413</v>
      </c>
      <c r="F65" s="253">
        <f>D65*Q6</f>
        <v>71.987132809243406</v>
      </c>
      <c r="G65" s="254">
        <f>E65*Q6</f>
        <v>105.77554550614695</v>
      </c>
      <c r="H65" s="307"/>
      <c r="I65" s="294"/>
      <c r="K65" s="256">
        <f t="shared" si="1"/>
        <v>7.1987132809243409E-3</v>
      </c>
      <c r="L65" s="257">
        <f t="shared" si="0"/>
        <v>1.0577554550614696E-2</v>
      </c>
      <c r="M65" s="297"/>
      <c r="N65" s="294"/>
      <c r="O65" s="8"/>
    </row>
    <row r="66" spans="1:15" x14ac:dyDescent="0.2">
      <c r="A66" s="288"/>
      <c r="B66" s="251" t="s">
        <v>335</v>
      </c>
      <c r="C66" s="273">
        <v>687</v>
      </c>
      <c r="D66" s="253">
        <v>149.10163027656478</v>
      </c>
      <c r="E66" s="253">
        <v>251.45420148231949</v>
      </c>
      <c r="F66" s="253">
        <f>D66*Q6</f>
        <v>49.769873047522395</v>
      </c>
      <c r="G66" s="254">
        <f>F66*Q6</f>
        <v>16.613099793556234</v>
      </c>
      <c r="H66" s="307"/>
      <c r="I66" s="294"/>
      <c r="K66" s="256">
        <f t="shared" si="1"/>
        <v>4.9769873047522395E-3</v>
      </c>
      <c r="L66" s="257">
        <f t="shared" si="0"/>
        <v>1.6613099793556234E-3</v>
      </c>
      <c r="M66" s="297"/>
      <c r="N66" s="294"/>
      <c r="O66" s="8"/>
    </row>
    <row r="67" spans="1:15" x14ac:dyDescent="0.2">
      <c r="A67" s="288"/>
      <c r="B67" s="251" t="s">
        <v>336</v>
      </c>
      <c r="C67" s="273">
        <v>277</v>
      </c>
      <c r="D67" s="253">
        <v>74.733574007220199</v>
      </c>
      <c r="E67" s="253">
        <v>73.592355900343378</v>
      </c>
      <c r="F67" s="253">
        <f>D67*Q6</f>
        <v>24.945941126383396</v>
      </c>
      <c r="G67" s="254">
        <f>E67*Q6</f>
        <v>24.565004444514528</v>
      </c>
      <c r="H67" s="307"/>
      <c r="I67" s="294"/>
      <c r="K67" s="256">
        <f t="shared" si="1"/>
        <v>2.4945941126383398E-3</v>
      </c>
      <c r="L67" s="257">
        <f t="shared" si="1"/>
        <v>2.456500444451453E-3</v>
      </c>
      <c r="M67" s="297"/>
      <c r="N67" s="294"/>
      <c r="O67" s="8"/>
    </row>
    <row r="68" spans="1:15" ht="17" thickBot="1" x14ac:dyDescent="0.25">
      <c r="A68" s="289"/>
      <c r="B68" s="262" t="s">
        <v>337</v>
      </c>
      <c r="C68" s="274">
        <v>534</v>
      </c>
      <c r="D68" s="264">
        <v>173.51835205992509</v>
      </c>
      <c r="E68" s="264">
        <v>216.11087436555064</v>
      </c>
      <c r="F68" s="264">
        <f>D68*Q6</f>
        <v>57.920133652590515</v>
      </c>
      <c r="G68" s="265">
        <f>E68*Q6</f>
        <v>72.137445857646497</v>
      </c>
      <c r="H68" s="308"/>
      <c r="I68" s="295"/>
      <c r="J68" s="266"/>
      <c r="K68" s="267">
        <f t="shared" ref="K68:L131" si="2">F68/10000</f>
        <v>5.7920133652590517E-3</v>
      </c>
      <c r="L68" s="268">
        <f t="shared" si="2"/>
        <v>7.2137445857646497E-3</v>
      </c>
      <c r="M68" s="298"/>
      <c r="N68" s="295"/>
      <c r="O68" s="8"/>
    </row>
    <row r="69" spans="1:15" x14ac:dyDescent="0.2">
      <c r="A69" s="309" t="s">
        <v>338</v>
      </c>
      <c r="B69" s="240" t="s">
        <v>339</v>
      </c>
      <c r="C69" s="275">
        <v>227</v>
      </c>
      <c r="D69" s="243">
        <v>20.819779735682815</v>
      </c>
      <c r="E69" s="243">
        <v>44.337407391491162</v>
      </c>
      <c r="F69" s="243">
        <f>D69*Q6</f>
        <v>6.9496074080497747</v>
      </c>
      <c r="G69" s="244">
        <f>E69*Q6</f>
        <v>14.799751907727007</v>
      </c>
      <c r="H69" s="306">
        <f>AVERAGE(F69:F90)</f>
        <v>36.93289253225349</v>
      </c>
      <c r="I69" s="293">
        <f>AVERAGE(G69:G90)</f>
        <v>57.572564172094623</v>
      </c>
      <c r="K69" s="256">
        <f t="shared" si="2"/>
        <v>6.9496074080497747E-4</v>
      </c>
      <c r="L69" s="257">
        <f t="shared" si="2"/>
        <v>1.4799751907727007E-3</v>
      </c>
      <c r="M69" s="301">
        <f>AVERAGE(K69:K90)</f>
        <v>3.6932892532253484E-3</v>
      </c>
      <c r="N69" s="302">
        <f>AVERAGE(L69:L90)</f>
        <v>5.7572564172094628E-3</v>
      </c>
      <c r="O69" s="248"/>
    </row>
    <row r="70" spans="1:15" x14ac:dyDescent="0.2">
      <c r="A70" s="310"/>
      <c r="B70" s="251" t="s">
        <v>340</v>
      </c>
      <c r="C70" s="276">
        <v>88</v>
      </c>
      <c r="D70" s="253">
        <v>28.400568181818183</v>
      </c>
      <c r="E70" s="253">
        <v>29.79747475831315</v>
      </c>
      <c r="F70" s="253">
        <f>D70*Q6</f>
        <v>9.4800618226959941</v>
      </c>
      <c r="G70" s="254">
        <f>E70*Q6</f>
        <v>9.9463468850554442</v>
      </c>
      <c r="H70" s="307"/>
      <c r="I70" s="294"/>
      <c r="K70" s="256">
        <f t="shared" si="2"/>
        <v>9.4800618226959941E-4</v>
      </c>
      <c r="L70" s="257">
        <f t="shared" si="2"/>
        <v>9.9463468850554434E-4</v>
      </c>
      <c r="M70" s="297"/>
      <c r="N70" s="294"/>
      <c r="O70" s="8"/>
    </row>
    <row r="71" spans="1:15" x14ac:dyDescent="0.2">
      <c r="A71" s="310"/>
      <c r="B71" s="251" t="s">
        <v>341</v>
      </c>
      <c r="C71" s="276">
        <v>238</v>
      </c>
      <c r="D71" s="253">
        <v>16.794663865546219</v>
      </c>
      <c r="E71" s="253">
        <v>42.115736393849751</v>
      </c>
      <c r="F71" s="253">
        <f>D71*Q6</f>
        <v>5.6060305102876242</v>
      </c>
      <c r="G71" s="254">
        <f>E71*Q6</f>
        <v>14.058161870777861</v>
      </c>
      <c r="H71" s="307"/>
      <c r="I71" s="294"/>
      <c r="K71" s="256">
        <f t="shared" si="2"/>
        <v>5.6060305102876239E-4</v>
      </c>
      <c r="L71" s="257">
        <f t="shared" si="2"/>
        <v>1.405816187077786E-3</v>
      </c>
      <c r="M71" s="297"/>
      <c r="N71" s="294"/>
      <c r="O71" s="8"/>
    </row>
    <row r="72" spans="1:15" x14ac:dyDescent="0.2">
      <c r="A72" s="310"/>
      <c r="B72" s="251" t="s">
        <v>342</v>
      </c>
      <c r="C72" s="276">
        <v>285</v>
      </c>
      <c r="D72" s="253">
        <v>164.99649122807017</v>
      </c>
      <c r="E72" s="253">
        <v>162.2753990242829</v>
      </c>
      <c r="F72" s="253">
        <f>D72*Q6</f>
        <v>55.075550860682995</v>
      </c>
      <c r="G72" s="254">
        <f>E72*Q6</f>
        <v>54.167254866320683</v>
      </c>
      <c r="H72" s="307"/>
      <c r="I72" s="294"/>
      <c r="K72" s="256">
        <f t="shared" si="2"/>
        <v>5.5075550860682991E-3</v>
      </c>
      <c r="L72" s="257">
        <f t="shared" si="2"/>
        <v>5.4167254866320687E-3</v>
      </c>
      <c r="M72" s="297"/>
      <c r="N72" s="294"/>
      <c r="O72" s="8"/>
    </row>
    <row r="73" spans="1:15" x14ac:dyDescent="0.2">
      <c r="A73" s="310"/>
      <c r="B73" s="251" t="s">
        <v>343</v>
      </c>
      <c r="C73" s="276">
        <v>208</v>
      </c>
      <c r="D73" s="253">
        <v>46.443750000000009</v>
      </c>
      <c r="E73" s="253">
        <v>46.976883608845661</v>
      </c>
      <c r="F73" s="253">
        <f>D73*Q6</f>
        <v>15.50284552263666</v>
      </c>
      <c r="G73" s="254">
        <f>E73*Q6</f>
        <v>15.68080462328766</v>
      </c>
      <c r="H73" s="307"/>
      <c r="I73" s="294"/>
      <c r="K73" s="256">
        <f t="shared" si="2"/>
        <v>1.5502845522636661E-3</v>
      </c>
      <c r="L73" s="257">
        <f t="shared" si="2"/>
        <v>1.5680804623287659E-3</v>
      </c>
      <c r="M73" s="297"/>
      <c r="N73" s="294"/>
      <c r="O73" s="8"/>
    </row>
    <row r="74" spans="1:15" x14ac:dyDescent="0.2">
      <c r="A74" s="310"/>
      <c r="B74" s="251" t="s">
        <v>344</v>
      </c>
      <c r="C74" s="276">
        <v>707</v>
      </c>
      <c r="D74" s="253">
        <v>318.56135785007075</v>
      </c>
      <c r="E74" s="253">
        <v>498.80026301032899</v>
      </c>
      <c r="F74" s="253">
        <f>D74*Q6</f>
        <v>106.33524468267578</v>
      </c>
      <c r="G74" s="254">
        <f>E74*Q6</f>
        <v>166.49868764041804</v>
      </c>
      <c r="H74" s="307"/>
      <c r="I74" s="294"/>
      <c r="K74" s="256">
        <f t="shared" si="2"/>
        <v>1.0633524468267578E-2</v>
      </c>
      <c r="L74" s="257">
        <f t="shared" si="2"/>
        <v>1.6649868764041804E-2</v>
      </c>
      <c r="M74" s="297"/>
      <c r="N74" s="294"/>
      <c r="O74" s="8"/>
    </row>
    <row r="75" spans="1:15" x14ac:dyDescent="0.2">
      <c r="A75" s="310"/>
      <c r="B75" s="251" t="s">
        <v>345</v>
      </c>
      <c r="C75" s="276">
        <v>36</v>
      </c>
      <c r="D75" s="253">
        <v>165.89166666666668</v>
      </c>
      <c r="E75" s="253">
        <v>359.08748744958677</v>
      </c>
      <c r="F75" s="253">
        <f>D75*Q6</f>
        <v>55.374358914300984</v>
      </c>
      <c r="G75" s="254">
        <f>E75*Q6</f>
        <v>119.86279848295352</v>
      </c>
      <c r="H75" s="307"/>
      <c r="I75" s="294"/>
      <c r="K75" s="256">
        <f t="shared" si="2"/>
        <v>5.5374358914300984E-3</v>
      </c>
      <c r="L75" s="257">
        <f t="shared" si="2"/>
        <v>1.1986279848295353E-2</v>
      </c>
      <c r="M75" s="297"/>
      <c r="N75" s="294"/>
      <c r="O75" s="8"/>
    </row>
    <row r="76" spans="1:15" x14ac:dyDescent="0.2">
      <c r="A76" s="310"/>
      <c r="B76" s="251" t="s">
        <v>346</v>
      </c>
      <c r="C76" s="276">
        <v>493</v>
      </c>
      <c r="D76" s="253">
        <v>96.194604462474686</v>
      </c>
      <c r="E76" s="253">
        <v>72.175032240790031</v>
      </c>
      <c r="F76" s="253">
        <f>D76*Q6</f>
        <v>32.109596944537849</v>
      </c>
      <c r="G76" s="254">
        <f>E76*Q6</f>
        <v>24.091904194219634</v>
      </c>
      <c r="H76" s="307"/>
      <c r="I76" s="294"/>
      <c r="K76" s="256">
        <f t="shared" si="2"/>
        <v>3.2109596944537851E-3</v>
      </c>
      <c r="L76" s="257">
        <f t="shared" si="2"/>
        <v>2.4091904194219632E-3</v>
      </c>
      <c r="M76" s="297"/>
      <c r="N76" s="294"/>
      <c r="O76" s="8"/>
    </row>
    <row r="77" spans="1:15" x14ac:dyDescent="0.2">
      <c r="A77" s="310"/>
      <c r="B77" s="251" t="s">
        <v>347</v>
      </c>
      <c r="C77" s="276">
        <v>274</v>
      </c>
      <c r="D77" s="253">
        <v>216.24233576642342</v>
      </c>
      <c r="E77" s="253">
        <v>291.1188734763823</v>
      </c>
      <c r="F77" s="253">
        <f>D77*Q6</f>
        <v>72.181327451831294</v>
      </c>
      <c r="G77" s="254">
        <f>E77*Q6</f>
        <v>97.174989621388463</v>
      </c>
      <c r="H77" s="307"/>
      <c r="I77" s="294"/>
      <c r="K77" s="256">
        <f t="shared" si="2"/>
        <v>7.2181327451831291E-3</v>
      </c>
      <c r="L77" s="257">
        <f t="shared" si="2"/>
        <v>9.7174989621388458E-3</v>
      </c>
      <c r="M77" s="297"/>
      <c r="N77" s="294"/>
      <c r="O77" s="8"/>
    </row>
    <row r="78" spans="1:15" x14ac:dyDescent="0.2">
      <c r="A78" s="310"/>
      <c r="B78" s="251" t="s">
        <v>348</v>
      </c>
      <c r="C78" s="276">
        <v>82</v>
      </c>
      <c r="D78" s="253">
        <v>33.93585365853658</v>
      </c>
      <c r="E78" s="253">
        <v>68.695354973544482</v>
      </c>
      <c r="F78" s="253">
        <f>D78*Q6</f>
        <v>11.327730791486402</v>
      </c>
      <c r="G78" s="254">
        <f>E78*Q6</f>
        <v>22.930393783394965</v>
      </c>
      <c r="H78" s="307"/>
      <c r="I78" s="294"/>
      <c r="K78" s="256">
        <f t="shared" si="2"/>
        <v>1.1327730791486402E-3</v>
      </c>
      <c r="L78" s="257">
        <f t="shared" si="2"/>
        <v>2.2930393783394966E-3</v>
      </c>
      <c r="M78" s="297"/>
      <c r="N78" s="294"/>
      <c r="O78" s="8"/>
    </row>
    <row r="79" spans="1:15" x14ac:dyDescent="0.2">
      <c r="A79" s="310"/>
      <c r="B79" s="251" t="s">
        <v>349</v>
      </c>
      <c r="C79" s="276">
        <v>704</v>
      </c>
      <c r="D79" s="253">
        <v>96.361931818181844</v>
      </c>
      <c r="E79" s="253">
        <v>133.6790871812251</v>
      </c>
      <c r="F79" s="253">
        <f>D79*Q6</f>
        <v>32.165450534035671</v>
      </c>
      <c r="G79" s="254">
        <f>E79*Q6</f>
        <v>44.62185413920303</v>
      </c>
      <c r="H79" s="307"/>
      <c r="I79" s="294"/>
      <c r="K79" s="256">
        <f t="shared" si="2"/>
        <v>3.2165450534035671E-3</v>
      </c>
      <c r="L79" s="257">
        <f t="shared" si="2"/>
        <v>4.462185413920303E-3</v>
      </c>
      <c r="M79" s="297"/>
      <c r="N79" s="294"/>
      <c r="O79" s="8"/>
    </row>
    <row r="80" spans="1:15" x14ac:dyDescent="0.2">
      <c r="A80" s="310"/>
      <c r="B80" s="251" t="s">
        <v>350</v>
      </c>
      <c r="C80" s="276">
        <v>136</v>
      </c>
      <c r="D80" s="253">
        <v>15.329632352941175</v>
      </c>
      <c r="E80" s="253">
        <v>27.517458926829711</v>
      </c>
      <c r="F80" s="253">
        <f>D80*Q6</f>
        <v>5.1170054590006222</v>
      </c>
      <c r="G80" s="254">
        <f>E80*Q6</f>
        <v>9.1852814408427417</v>
      </c>
      <c r="H80" s="307"/>
      <c r="I80" s="294"/>
      <c r="K80" s="256">
        <f>F80/10000</f>
        <v>5.1170054590006227E-4</v>
      </c>
      <c r="L80" s="257">
        <f t="shared" si="2"/>
        <v>9.1852814408427419E-4</v>
      </c>
      <c r="M80" s="297"/>
      <c r="N80" s="294"/>
      <c r="O80" s="8"/>
    </row>
    <row r="81" spans="1:15" x14ac:dyDescent="0.2">
      <c r="A81" s="310"/>
      <c r="B81" s="251" t="s">
        <v>351</v>
      </c>
      <c r="C81" s="276">
        <v>117</v>
      </c>
      <c r="D81" s="253">
        <v>154.71709401709398</v>
      </c>
      <c r="E81" s="253">
        <v>159.58812790224889</v>
      </c>
      <c r="F81" s="253">
        <f>D81*Q6</f>
        <v>51.644305385724884</v>
      </c>
      <c r="G81" s="254">
        <f>E81*Q6</f>
        <v>53.270248292081178</v>
      </c>
      <c r="H81" s="307"/>
      <c r="I81" s="294"/>
      <c r="K81" s="256">
        <f t="shared" si="2"/>
        <v>5.1644305385724881E-3</v>
      </c>
      <c r="L81" s="257">
        <f t="shared" si="2"/>
        <v>5.3270248292081176E-3</v>
      </c>
      <c r="M81" s="297"/>
      <c r="N81" s="294"/>
      <c r="O81" s="8"/>
    </row>
    <row r="82" spans="1:15" x14ac:dyDescent="0.2">
      <c r="A82" s="310"/>
      <c r="B82" s="251" t="s">
        <v>352</v>
      </c>
      <c r="C82" s="276">
        <v>49</v>
      </c>
      <c r="D82" s="253">
        <v>212.61224489795919</v>
      </c>
      <c r="E82" s="253">
        <v>223.40791413228581</v>
      </c>
      <c r="F82" s="253">
        <f>D82*Q6</f>
        <v>70.969609234268447</v>
      </c>
      <c r="G82" s="254">
        <f>E82*Q6</f>
        <v>74.57318544104001</v>
      </c>
      <c r="H82" s="307"/>
      <c r="I82" s="294"/>
      <c r="K82" s="256">
        <f t="shared" si="2"/>
        <v>7.0969609234268448E-3</v>
      </c>
      <c r="L82" s="257">
        <f t="shared" si="2"/>
        <v>7.4573185441040007E-3</v>
      </c>
      <c r="M82" s="297"/>
      <c r="N82" s="294"/>
      <c r="O82" s="8"/>
    </row>
    <row r="83" spans="1:15" x14ac:dyDescent="0.2">
      <c r="A83" s="310"/>
      <c r="B83" s="251" t="s">
        <v>353</v>
      </c>
      <c r="C83" s="276">
        <v>97</v>
      </c>
      <c r="D83" s="253">
        <v>145.91237113402062</v>
      </c>
      <c r="E83" s="253">
        <v>276.15464459011758</v>
      </c>
      <c r="F83" s="253">
        <f>D83*Q6</f>
        <v>48.70530371755833</v>
      </c>
      <c r="G83" s="254">
        <f>E83*Q6</f>
        <v>92.179955224098435</v>
      </c>
      <c r="H83" s="307"/>
      <c r="I83" s="294"/>
      <c r="K83" s="256">
        <f t="shared" si="2"/>
        <v>4.8705303717558332E-3</v>
      </c>
      <c r="L83" s="257">
        <f t="shared" si="2"/>
        <v>9.2179955224098442E-3</v>
      </c>
      <c r="M83" s="297"/>
      <c r="N83" s="294"/>
      <c r="O83" s="8"/>
    </row>
    <row r="84" spans="1:15" x14ac:dyDescent="0.2">
      <c r="A84" s="310"/>
      <c r="B84" s="251" t="s">
        <v>354</v>
      </c>
      <c r="C84" s="276">
        <v>105</v>
      </c>
      <c r="D84" s="253">
        <v>16.906476190476194</v>
      </c>
      <c r="E84" s="253">
        <v>22.102438039073018</v>
      </c>
      <c r="F84" s="253">
        <f>D84*Q6</f>
        <v>5.6433532760185621</v>
      </c>
      <c r="G84" s="254">
        <f>E84*Q6</f>
        <v>7.3777565892805219</v>
      </c>
      <c r="H84" s="307"/>
      <c r="I84" s="294"/>
      <c r="K84" s="256">
        <f t="shared" si="2"/>
        <v>5.6433532760185624E-4</v>
      </c>
      <c r="L84" s="257">
        <f t="shared" si="2"/>
        <v>7.3777565892805218E-4</v>
      </c>
      <c r="M84" s="297"/>
      <c r="N84" s="294"/>
      <c r="O84" s="8"/>
    </row>
    <row r="85" spans="1:15" x14ac:dyDescent="0.2">
      <c r="A85" s="310"/>
      <c r="B85" s="251" t="s">
        <v>355</v>
      </c>
      <c r="C85" s="276">
        <v>78</v>
      </c>
      <c r="D85" s="253">
        <v>126.64358974358973</v>
      </c>
      <c r="E85" s="253">
        <v>473.53784900353475</v>
      </c>
      <c r="F85" s="253">
        <f>D85*Q6</f>
        <v>42.27341694473516</v>
      </c>
      <c r="G85" s="254">
        <f>E85*Q6</f>
        <v>158.06613639560632</v>
      </c>
      <c r="H85" s="307"/>
      <c r="I85" s="294"/>
      <c r="K85" s="256">
        <f t="shared" si="2"/>
        <v>4.2273416944735159E-3</v>
      </c>
      <c r="L85" s="257">
        <f t="shared" si="2"/>
        <v>1.5806613639560631E-2</v>
      </c>
      <c r="M85" s="297"/>
      <c r="N85" s="294"/>
      <c r="O85" s="8"/>
    </row>
    <row r="86" spans="1:15" x14ac:dyDescent="0.2">
      <c r="A86" s="310"/>
      <c r="B86" s="251" t="s">
        <v>356</v>
      </c>
      <c r="C86" s="276">
        <v>230</v>
      </c>
      <c r="D86" s="253">
        <v>156.57356521739132</v>
      </c>
      <c r="E86" s="253">
        <v>413.65502577803392</v>
      </c>
      <c r="F86" s="253">
        <f>D86*Q6</f>
        <v>52.26399234544354</v>
      </c>
      <c r="G86" s="254">
        <f>F86*Q6</f>
        <v>17.44563261424144</v>
      </c>
      <c r="H86" s="307"/>
      <c r="I86" s="294"/>
      <c r="K86" s="256">
        <f t="shared" si="2"/>
        <v>5.2263992345443541E-3</v>
      </c>
      <c r="L86" s="257">
        <f t="shared" si="2"/>
        <v>1.744563261424144E-3</v>
      </c>
      <c r="M86" s="297"/>
      <c r="N86" s="294"/>
      <c r="O86" s="8"/>
    </row>
    <row r="87" spans="1:15" x14ac:dyDescent="0.2">
      <c r="A87" s="310"/>
      <c r="B87" s="251" t="s">
        <v>357</v>
      </c>
      <c r="C87" s="276">
        <v>17</v>
      </c>
      <c r="D87" s="253">
        <v>102.70588235294117</v>
      </c>
      <c r="E87" s="253">
        <v>72.659105336050573</v>
      </c>
      <c r="F87" s="253">
        <f>D87*Q6</f>
        <v>34.283050537128055</v>
      </c>
      <c r="G87" s="254">
        <f>E87*Q6</f>
        <v>24.253486978070825</v>
      </c>
      <c r="H87" s="307"/>
      <c r="I87" s="294"/>
      <c r="K87" s="256">
        <f t="shared" si="2"/>
        <v>3.4283050537128055E-3</v>
      </c>
      <c r="L87" s="257">
        <f t="shared" si="2"/>
        <v>2.4253486978070824E-3</v>
      </c>
      <c r="M87" s="297"/>
      <c r="N87" s="294"/>
      <c r="O87" s="8"/>
    </row>
    <row r="88" spans="1:15" x14ac:dyDescent="0.2">
      <c r="A88" s="310"/>
      <c r="B88" s="251" t="s">
        <v>358</v>
      </c>
      <c r="C88" s="276">
        <v>979</v>
      </c>
      <c r="D88" s="253">
        <v>136.28280898876406</v>
      </c>
      <c r="E88" s="253">
        <v>236.6867005156758</v>
      </c>
      <c r="F88" s="253">
        <f>D88*Q6</f>
        <v>45.49097209299007</v>
      </c>
      <c r="G88" s="254">
        <f>E88*Q6</f>
        <v>79.005621969739479</v>
      </c>
      <c r="H88" s="307"/>
      <c r="I88" s="294"/>
      <c r="K88" s="256">
        <f t="shared" si="2"/>
        <v>4.5490972092990072E-3</v>
      </c>
      <c r="L88" s="257">
        <f t="shared" si="2"/>
        <v>7.9005621969739474E-3</v>
      </c>
      <c r="M88" s="297"/>
      <c r="N88" s="294"/>
      <c r="O88" s="8"/>
    </row>
    <row r="89" spans="1:15" x14ac:dyDescent="0.2">
      <c r="A89" s="310"/>
      <c r="B89" s="251" t="s">
        <v>359</v>
      </c>
      <c r="C89" s="276">
        <v>119</v>
      </c>
      <c r="D89" s="253">
        <v>63.19403361344537</v>
      </c>
      <c r="E89" s="253">
        <v>176.80831137626899</v>
      </c>
      <c r="F89" s="253">
        <f>D89*Q6</f>
        <v>21.094061979524735</v>
      </c>
      <c r="G89" s="254">
        <f>E89*Q6</f>
        <v>59.018316530954962</v>
      </c>
      <c r="H89" s="307"/>
      <c r="I89" s="294"/>
      <c r="K89" s="256">
        <f t="shared" si="2"/>
        <v>2.1094061979524733E-3</v>
      </c>
      <c r="L89" s="257">
        <f t="shared" si="2"/>
        <v>5.9018316530954958E-3</v>
      </c>
      <c r="M89" s="297"/>
      <c r="N89" s="294"/>
      <c r="O89" s="8"/>
    </row>
    <row r="90" spans="1:15" ht="17" thickBot="1" x14ac:dyDescent="0.25">
      <c r="A90" s="311"/>
      <c r="B90" s="262" t="s">
        <v>360</v>
      </c>
      <c r="C90" s="200">
        <v>294</v>
      </c>
      <c r="D90" s="264">
        <v>98.654659863945596</v>
      </c>
      <c r="E90" s="264">
        <v>324.71057285939384</v>
      </c>
      <c r="F90" s="264">
        <f>D90*Q6</f>
        <v>32.930759293963369</v>
      </c>
      <c r="G90" s="265">
        <f>E90*Q6</f>
        <v>108.38784229537963</v>
      </c>
      <c r="H90" s="308"/>
      <c r="I90" s="295"/>
      <c r="K90" s="256">
        <f t="shared" si="2"/>
        <v>3.2930759293963371E-3</v>
      </c>
      <c r="L90" s="257">
        <f t="shared" si="2"/>
        <v>1.0838784229537962E-2</v>
      </c>
      <c r="M90" s="297"/>
      <c r="N90" s="294"/>
      <c r="O90" s="8"/>
    </row>
    <row r="91" spans="1:15" x14ac:dyDescent="0.2">
      <c r="A91" s="287" t="s">
        <v>361</v>
      </c>
      <c r="B91" s="240" t="s">
        <v>362</v>
      </c>
      <c r="C91" s="275">
        <v>483</v>
      </c>
      <c r="D91" s="243">
        <v>22.849503105590056</v>
      </c>
      <c r="E91" s="243">
        <v>41.238650023602645</v>
      </c>
      <c r="F91" s="243">
        <f>D91*Q6</f>
        <v>7.6271256501675504</v>
      </c>
      <c r="G91" s="244">
        <f>E91*Q6</f>
        <v>13.765391917706651</v>
      </c>
      <c r="H91" s="306">
        <f>AVERAGE(F91:F112)</f>
        <v>14.530649176155157</v>
      </c>
      <c r="I91" s="293">
        <f>AVERAGE(G91:G112)</f>
        <v>31.397324795096157</v>
      </c>
      <c r="J91" s="245"/>
      <c r="K91" s="246">
        <f t="shared" si="2"/>
        <v>7.6271256501675509E-4</v>
      </c>
      <c r="L91" s="247">
        <f t="shared" si="2"/>
        <v>1.3765391917706651E-3</v>
      </c>
      <c r="M91" s="296">
        <f>AVERAGE(K91:K112)</f>
        <v>1.4530649176155159E-3</v>
      </c>
      <c r="N91" s="299">
        <f>AVERAGE(L91:L112)</f>
        <v>3.1397324795096162E-3</v>
      </c>
      <c r="O91" s="248"/>
    </row>
    <row r="92" spans="1:15" x14ac:dyDescent="0.2">
      <c r="A92" s="288"/>
      <c r="B92" s="251" t="s">
        <v>363</v>
      </c>
      <c r="C92" s="276">
        <v>510</v>
      </c>
      <c r="D92" s="253">
        <v>63.106960784313728</v>
      </c>
      <c r="E92" s="253">
        <v>79.599916426257764</v>
      </c>
      <c r="F92" s="253">
        <f>D92*Q6</f>
        <v>21.0649972158214</v>
      </c>
      <c r="G92" s="254">
        <f>E92*Q6</f>
        <v>26.570318029251776</v>
      </c>
      <c r="H92" s="307"/>
      <c r="I92" s="294"/>
      <c r="K92" s="256">
        <f t="shared" si="2"/>
        <v>2.1064997215821399E-3</v>
      </c>
      <c r="L92" s="257">
        <f t="shared" si="2"/>
        <v>2.6570318029251775E-3</v>
      </c>
      <c r="M92" s="297"/>
      <c r="N92" s="294"/>
      <c r="O92" s="8"/>
    </row>
    <row r="93" spans="1:15" x14ac:dyDescent="0.2">
      <c r="A93" s="288"/>
      <c r="B93" s="251" t="s">
        <v>364</v>
      </c>
      <c r="C93" s="276">
        <v>693</v>
      </c>
      <c r="D93" s="253">
        <v>44.247720057720038</v>
      </c>
      <c r="E93" s="253">
        <v>172.88765938500848</v>
      </c>
      <c r="F93" s="253">
        <f>D93*Q6</f>
        <v>14.769814426778744</v>
      </c>
      <c r="G93" s="254">
        <f>E93*Q6</f>
        <v>57.709609500008291</v>
      </c>
      <c r="H93" s="307"/>
      <c r="I93" s="294"/>
      <c r="K93" s="256">
        <f t="shared" si="2"/>
        <v>1.4769814426778744E-3</v>
      </c>
      <c r="L93" s="257">
        <f t="shared" si="2"/>
        <v>5.7709609500008292E-3</v>
      </c>
      <c r="M93" s="297"/>
      <c r="N93" s="294"/>
      <c r="O93" s="8"/>
    </row>
    <row r="94" spans="1:15" x14ac:dyDescent="0.2">
      <c r="A94" s="288"/>
      <c r="B94" s="251" t="s">
        <v>365</v>
      </c>
      <c r="C94" s="276">
        <v>193</v>
      </c>
      <c r="D94" s="253">
        <v>22.911191709844559</v>
      </c>
      <c r="E94" s="253">
        <v>27.300719563348469</v>
      </c>
      <c r="F94" s="253">
        <f>D94*Q6</f>
        <v>7.6477172023627249</v>
      </c>
      <c r="G94" s="254">
        <f>E94*Q6</f>
        <v>9.1129342063768703</v>
      </c>
      <c r="H94" s="307"/>
      <c r="I94" s="294"/>
      <c r="K94" s="256">
        <f t="shared" si="2"/>
        <v>7.6477172023627245E-4</v>
      </c>
      <c r="L94" s="257">
        <f t="shared" si="2"/>
        <v>9.1129342063768699E-4</v>
      </c>
      <c r="M94" s="297"/>
      <c r="N94" s="294"/>
      <c r="O94" s="8"/>
    </row>
    <row r="95" spans="1:15" x14ac:dyDescent="0.2">
      <c r="A95" s="288"/>
      <c r="B95" s="251" t="s">
        <v>366</v>
      </c>
      <c r="C95" s="276">
        <v>283</v>
      </c>
      <c r="D95" s="253">
        <v>38.157950530035329</v>
      </c>
      <c r="E95" s="253">
        <v>67.030915404000382</v>
      </c>
      <c r="F95" s="253">
        <f>D95*Q6</f>
        <v>12.737059615718998</v>
      </c>
      <c r="G95" s="254">
        <f>E95*Q6</f>
        <v>22.374806658573949</v>
      </c>
      <c r="H95" s="307"/>
      <c r="I95" s="294"/>
      <c r="K95" s="256">
        <f t="shared" si="2"/>
        <v>1.2737059615718998E-3</v>
      </c>
      <c r="L95" s="257">
        <f t="shared" si="2"/>
        <v>2.2374806658573949E-3</v>
      </c>
      <c r="M95" s="297"/>
      <c r="N95" s="294"/>
      <c r="O95" s="8"/>
    </row>
    <row r="96" spans="1:15" x14ac:dyDescent="0.2">
      <c r="A96" s="288"/>
      <c r="B96" s="251" t="s">
        <v>367</v>
      </c>
      <c r="C96" s="276">
        <v>562</v>
      </c>
      <c r="D96" s="253">
        <v>68.284537366548093</v>
      </c>
      <c r="E96" s="253">
        <v>259.88823461263263</v>
      </c>
      <c r="F96" s="253">
        <f>D96*Q6</f>
        <v>22.79326355813873</v>
      </c>
      <c r="G96" s="254">
        <f>E96*Q6</f>
        <v>86.750254971883123</v>
      </c>
      <c r="H96" s="307"/>
      <c r="I96" s="294"/>
      <c r="K96" s="256">
        <f t="shared" si="2"/>
        <v>2.2793263558138731E-3</v>
      </c>
      <c r="L96" s="257">
        <f t="shared" si="2"/>
        <v>8.6750254971883125E-3</v>
      </c>
      <c r="M96" s="297"/>
      <c r="N96" s="294"/>
      <c r="O96" s="8"/>
    </row>
    <row r="97" spans="1:15" x14ac:dyDescent="0.2">
      <c r="A97" s="288"/>
      <c r="B97" s="251" t="s">
        <v>368</v>
      </c>
      <c r="C97" s="276">
        <v>224</v>
      </c>
      <c r="D97" s="253">
        <v>68.877098214285695</v>
      </c>
      <c r="E97" s="253">
        <v>173.95683590709064</v>
      </c>
      <c r="F97" s="253">
        <f>D97*Q6</f>
        <v>22.991059371035806</v>
      </c>
      <c r="G97" s="254">
        <f>E97*Q6</f>
        <v>58.066498822215685</v>
      </c>
      <c r="H97" s="307"/>
      <c r="I97" s="294"/>
      <c r="K97" s="256">
        <f t="shared" si="2"/>
        <v>2.2991059371035806E-3</v>
      </c>
      <c r="L97" s="257">
        <f t="shared" si="2"/>
        <v>5.8066498822215689E-3</v>
      </c>
      <c r="M97" s="297"/>
      <c r="N97" s="294"/>
      <c r="O97" s="8"/>
    </row>
    <row r="98" spans="1:15" x14ac:dyDescent="0.2">
      <c r="A98" s="288"/>
      <c r="B98" s="251" t="s">
        <v>369</v>
      </c>
      <c r="C98" s="276">
        <v>395</v>
      </c>
      <c r="D98" s="253">
        <v>11.651724050632907</v>
      </c>
      <c r="E98" s="253">
        <v>35.010790921174546</v>
      </c>
      <c r="F98" s="253">
        <f>D98*Q6</f>
        <v>3.8893258625617486</v>
      </c>
      <c r="G98" s="254">
        <f>E98*Q6</f>
        <v>11.686543039188242</v>
      </c>
      <c r="H98" s="307"/>
      <c r="I98" s="294"/>
      <c r="K98" s="256">
        <f t="shared" si="2"/>
        <v>3.8893258625617488E-4</v>
      </c>
      <c r="L98" s="257">
        <f t="shared" si="2"/>
        <v>1.1686543039188242E-3</v>
      </c>
      <c r="M98" s="297"/>
      <c r="N98" s="294"/>
      <c r="O98" s="8"/>
    </row>
    <row r="99" spans="1:15" x14ac:dyDescent="0.2">
      <c r="A99" s="288"/>
      <c r="B99" s="251" t="s">
        <v>370</v>
      </c>
      <c r="C99" s="276">
        <v>81</v>
      </c>
      <c r="D99" s="253">
        <v>14.690000000000005</v>
      </c>
      <c r="E99" s="253">
        <v>42.846585832479114</v>
      </c>
      <c r="F99" s="253">
        <f>D99*Q6</f>
        <v>4.9034972569513133</v>
      </c>
      <c r="G99" s="254">
        <f>E99*Q6</f>
        <v>14.302118182388718</v>
      </c>
      <c r="H99" s="307"/>
      <c r="I99" s="294"/>
      <c r="K99" s="256">
        <f t="shared" si="2"/>
        <v>4.9034972569513132E-4</v>
      </c>
      <c r="L99" s="257">
        <f t="shared" si="2"/>
        <v>1.4302118182388716E-3</v>
      </c>
      <c r="M99" s="297"/>
      <c r="N99" s="294"/>
      <c r="O99" s="8"/>
    </row>
    <row r="100" spans="1:15" x14ac:dyDescent="0.2">
      <c r="A100" s="288"/>
      <c r="B100" s="251" t="s">
        <v>371</v>
      </c>
      <c r="C100" s="276">
        <v>689</v>
      </c>
      <c r="D100" s="253">
        <v>47.006821480406387</v>
      </c>
      <c r="E100" s="253">
        <v>174.9279811332128</v>
      </c>
      <c r="F100" s="253">
        <f>D100*Q6</f>
        <v>15.690797834388885</v>
      </c>
      <c r="G100" s="254">
        <f>E100*Q6</f>
        <v>58.390665462950288</v>
      </c>
      <c r="H100" s="307"/>
      <c r="I100" s="294"/>
      <c r="K100" s="256">
        <f t="shared" si="2"/>
        <v>1.5690797834388885E-3</v>
      </c>
      <c r="L100" s="257">
        <f t="shared" si="2"/>
        <v>5.8390665462950287E-3</v>
      </c>
      <c r="M100" s="297"/>
      <c r="N100" s="294"/>
      <c r="O100" s="8"/>
    </row>
    <row r="101" spans="1:15" x14ac:dyDescent="0.2">
      <c r="A101" s="288"/>
      <c r="B101" s="251" t="s">
        <v>372</v>
      </c>
      <c r="C101" s="276">
        <v>210</v>
      </c>
      <c r="D101" s="253">
        <v>6.5146333333333351</v>
      </c>
      <c r="E101" s="253">
        <v>6.1821868665892845</v>
      </c>
      <c r="F101" s="253">
        <f>D101*Q6</f>
        <v>2.1745736337674328</v>
      </c>
      <c r="G101" s="254">
        <f>E101*Q6</f>
        <v>2.0636035631232801</v>
      </c>
      <c r="H101" s="307"/>
      <c r="I101" s="294"/>
      <c r="K101" s="256">
        <f t="shared" si="2"/>
        <v>2.1745736337674328E-4</v>
      </c>
      <c r="L101" s="257">
        <f t="shared" si="2"/>
        <v>2.06360356312328E-4</v>
      </c>
      <c r="M101" s="297"/>
      <c r="N101" s="294"/>
      <c r="O101" s="8"/>
    </row>
    <row r="102" spans="1:15" x14ac:dyDescent="0.2">
      <c r="A102" s="288"/>
      <c r="B102" s="251" t="s">
        <v>373</v>
      </c>
      <c r="C102" s="276">
        <v>236</v>
      </c>
      <c r="D102" s="253">
        <v>15.675169491525429</v>
      </c>
      <c r="E102" s="253">
        <v>31.559452904490033</v>
      </c>
      <c r="F102" s="253">
        <f>D102*Q6</f>
        <v>5.2323451738558084</v>
      </c>
      <c r="G102" s="254">
        <f>E102*Q6</f>
        <v>10.534492222467732</v>
      </c>
      <c r="H102" s="307"/>
      <c r="I102" s="294"/>
      <c r="K102" s="256">
        <f t="shared" si="2"/>
        <v>5.232345173855808E-4</v>
      </c>
      <c r="L102" s="257">
        <f t="shared" si="2"/>
        <v>1.0534492222467732E-3</v>
      </c>
      <c r="M102" s="297"/>
      <c r="N102" s="294"/>
      <c r="O102" s="8"/>
    </row>
    <row r="103" spans="1:15" x14ac:dyDescent="0.2">
      <c r="A103" s="288"/>
      <c r="B103" s="251" t="s">
        <v>374</v>
      </c>
      <c r="C103" s="276">
        <v>357</v>
      </c>
      <c r="D103" s="253">
        <v>38.114453781512609</v>
      </c>
      <c r="E103" s="253">
        <v>186.36634563074895</v>
      </c>
      <c r="F103" s="253">
        <f>D103*Q6</f>
        <v>12.722540474325706</v>
      </c>
      <c r="G103" s="254">
        <f>E103*Q6</f>
        <v>62.208772266059739</v>
      </c>
      <c r="H103" s="307"/>
      <c r="I103" s="294"/>
      <c r="K103" s="256">
        <f t="shared" si="2"/>
        <v>1.2722540474325707E-3</v>
      </c>
      <c r="L103" s="257">
        <f t="shared" si="2"/>
        <v>6.2208772266059741E-3</v>
      </c>
      <c r="M103" s="297"/>
      <c r="N103" s="294"/>
      <c r="O103" s="8"/>
    </row>
    <row r="104" spans="1:15" x14ac:dyDescent="0.2">
      <c r="A104" s="288"/>
      <c r="B104" s="251" t="s">
        <v>375</v>
      </c>
      <c r="C104" s="276">
        <v>600</v>
      </c>
      <c r="D104" s="253">
        <v>18.824033333333336</v>
      </c>
      <c r="E104" s="253">
        <v>26.235169039983013</v>
      </c>
      <c r="F104" s="253">
        <f>D104*Q6</f>
        <v>6.2834306204737969</v>
      </c>
      <c r="G104" s="254">
        <f>E104*Q6</f>
        <v>8.7572552364336751</v>
      </c>
      <c r="H104" s="307"/>
      <c r="I104" s="294"/>
      <c r="K104" s="256">
        <f t="shared" si="2"/>
        <v>6.2834306204737967E-4</v>
      </c>
      <c r="L104" s="257">
        <f t="shared" si="2"/>
        <v>8.7572552364336754E-4</v>
      </c>
      <c r="M104" s="297"/>
      <c r="N104" s="294"/>
      <c r="O104" s="8"/>
    </row>
    <row r="105" spans="1:15" x14ac:dyDescent="0.2">
      <c r="A105" s="288"/>
      <c r="B105" s="251" t="s">
        <v>376</v>
      </c>
      <c r="C105" s="276">
        <v>124</v>
      </c>
      <c r="D105" s="253">
        <v>93.927096774193544</v>
      </c>
      <c r="E105" s="253">
        <v>167.95809092434311</v>
      </c>
      <c r="F105" s="253">
        <f>D105*Q6</f>
        <v>31.352706697458029</v>
      </c>
      <c r="G105" s="254">
        <f>E105*Q6</f>
        <v>56.064127850939101</v>
      </c>
      <c r="H105" s="307"/>
      <c r="I105" s="294"/>
      <c r="K105" s="256">
        <f t="shared" si="2"/>
        <v>3.135270669745803E-3</v>
      </c>
      <c r="L105" s="257">
        <f t="shared" si="2"/>
        <v>5.6064127850939099E-3</v>
      </c>
      <c r="M105" s="297"/>
      <c r="N105" s="294"/>
      <c r="O105" s="8"/>
    </row>
    <row r="106" spans="1:15" x14ac:dyDescent="0.2">
      <c r="A106" s="288"/>
      <c r="B106" s="251" t="s">
        <v>377</v>
      </c>
      <c r="C106" s="276">
        <v>152</v>
      </c>
      <c r="D106" s="253">
        <v>88.499802631578959</v>
      </c>
      <c r="E106" s="253">
        <v>172.71543237195391</v>
      </c>
      <c r="F106" s="253">
        <f>D106*Q6</f>
        <v>29.541085054096659</v>
      </c>
      <c r="G106" s="254">
        <f>F106*Q6</f>
        <v>9.8607644336370566</v>
      </c>
      <c r="H106" s="307"/>
      <c r="I106" s="294"/>
      <c r="K106" s="256">
        <f t="shared" si="2"/>
        <v>2.9541085054096659E-3</v>
      </c>
      <c r="L106" s="257">
        <f t="shared" si="2"/>
        <v>9.8607644336370557E-4</v>
      </c>
      <c r="M106" s="297"/>
      <c r="N106" s="294"/>
      <c r="O106" s="8"/>
    </row>
    <row r="107" spans="1:15" x14ac:dyDescent="0.2">
      <c r="A107" s="288"/>
      <c r="B107" s="251" t="s">
        <v>378</v>
      </c>
      <c r="C107" s="276">
        <v>222</v>
      </c>
      <c r="D107" s="253">
        <v>38.845630630630637</v>
      </c>
      <c r="E107" s="253">
        <v>144.36293619515217</v>
      </c>
      <c r="F107" s="253">
        <f>D107*Q6</f>
        <v>12.966606075006208</v>
      </c>
      <c r="G107" s="254">
        <f>E107*Q6</f>
        <v>48.188104944749213</v>
      </c>
      <c r="H107" s="307"/>
      <c r="I107" s="294"/>
      <c r="K107" s="256">
        <f t="shared" si="2"/>
        <v>1.2966606075006208E-3</v>
      </c>
      <c r="L107" s="257">
        <f t="shared" si="2"/>
        <v>4.8188104944749217E-3</v>
      </c>
      <c r="M107" s="297"/>
      <c r="N107" s="294"/>
      <c r="O107" s="8"/>
    </row>
    <row r="108" spans="1:15" x14ac:dyDescent="0.2">
      <c r="A108" s="288"/>
      <c r="B108" s="251" t="s">
        <v>379</v>
      </c>
      <c r="C108" s="276">
        <v>764</v>
      </c>
      <c r="D108" s="253">
        <v>23.645065445026184</v>
      </c>
      <c r="E108" s="253">
        <v>32.246197184973198</v>
      </c>
      <c r="F108" s="253">
        <f>D108*Q6</f>
        <v>7.8926830190687634</v>
      </c>
      <c r="G108" s="254">
        <f>E108*Q6</f>
        <v>10.763726306577752</v>
      </c>
      <c r="H108" s="307"/>
      <c r="I108" s="294"/>
      <c r="K108" s="256">
        <f t="shared" si="2"/>
        <v>7.8926830190687632E-4</v>
      </c>
      <c r="L108" s="257">
        <f t="shared" si="2"/>
        <v>1.0763726306577753E-3</v>
      </c>
      <c r="M108" s="297"/>
      <c r="N108" s="294"/>
      <c r="O108" s="8"/>
    </row>
    <row r="109" spans="1:15" x14ac:dyDescent="0.2">
      <c r="A109" s="288"/>
      <c r="B109" s="251" t="s">
        <v>380</v>
      </c>
      <c r="C109" s="276">
        <v>71</v>
      </c>
      <c r="D109" s="253">
        <v>164.27971830985913</v>
      </c>
      <c r="E109" s="253">
        <v>223.44218586836689</v>
      </c>
      <c r="F109" s="253">
        <f>D109*Q6</f>
        <v>54.836293267878041</v>
      </c>
      <c r="G109" s="254">
        <f>E109*Q6</f>
        <v>74.584625288818387</v>
      </c>
      <c r="H109" s="307"/>
      <c r="I109" s="294"/>
      <c r="K109" s="256">
        <f t="shared" si="2"/>
        <v>5.4836293267878037E-3</v>
      </c>
      <c r="L109" s="257">
        <f t="shared" si="2"/>
        <v>7.4584625288818384E-3</v>
      </c>
      <c r="M109" s="297"/>
      <c r="N109" s="294"/>
      <c r="O109" s="8"/>
    </row>
    <row r="110" spans="1:15" x14ac:dyDescent="0.2">
      <c r="A110" s="288"/>
      <c r="B110" s="251" t="s">
        <v>381</v>
      </c>
      <c r="C110" s="276">
        <v>159</v>
      </c>
      <c r="D110" s="253">
        <v>7.0564779874213821</v>
      </c>
      <c r="E110" s="253">
        <v>7.4699720720645129</v>
      </c>
      <c r="F110" s="253">
        <f>D110*Q6</f>
        <v>2.3554404666479276</v>
      </c>
      <c r="G110" s="254">
        <f>E110*Q6</f>
        <v>2.49346409563453</v>
      </c>
      <c r="H110" s="307"/>
      <c r="I110" s="294"/>
      <c r="K110" s="256">
        <f t="shared" si="2"/>
        <v>2.3554404666479276E-4</v>
      </c>
      <c r="L110" s="257">
        <f t="shared" si="2"/>
        <v>2.4934640956345298E-4</v>
      </c>
      <c r="M110" s="297"/>
      <c r="N110" s="294"/>
      <c r="O110" s="8"/>
    </row>
    <row r="111" spans="1:15" x14ac:dyDescent="0.2">
      <c r="A111" s="288"/>
      <c r="B111" s="251" t="s">
        <v>382</v>
      </c>
      <c r="C111" s="276">
        <v>245</v>
      </c>
      <c r="D111" s="253">
        <v>21.931632653061218</v>
      </c>
      <c r="E111" s="253">
        <v>51.014833496423208</v>
      </c>
      <c r="F111" s="253">
        <f>D111*Q6</f>
        <v>7.3207420391252214</v>
      </c>
      <c r="G111" s="254">
        <f>E111*Q6</f>
        <v>17.028665494454671</v>
      </c>
      <c r="H111" s="307"/>
      <c r="I111" s="294"/>
      <c r="K111" s="256">
        <f t="shared" si="2"/>
        <v>7.3207420391252216E-4</v>
      </c>
      <c r="L111" s="257">
        <f t="shared" si="2"/>
        <v>1.7028665494454671E-3</v>
      </c>
      <c r="M111" s="297"/>
      <c r="N111" s="294"/>
      <c r="O111" s="8"/>
    </row>
    <row r="112" spans="1:15" ht="17" thickBot="1" x14ac:dyDescent="0.25">
      <c r="A112" s="289"/>
      <c r="B112" s="262" t="s">
        <v>383</v>
      </c>
      <c r="C112" s="200">
        <v>335</v>
      </c>
      <c r="D112" s="264">
        <v>38.58970149253733</v>
      </c>
      <c r="E112" s="264">
        <v>88.270076920502035</v>
      </c>
      <c r="F112" s="264">
        <f>D112*Q6</f>
        <v>12.881177359783985</v>
      </c>
      <c r="G112" s="265">
        <f>E112*Q6</f>
        <v>29.464402998676857</v>
      </c>
      <c r="H112" s="308"/>
      <c r="I112" s="295"/>
      <c r="J112" s="266"/>
      <c r="K112" s="267">
        <f t="shared" si="2"/>
        <v>1.2881177359783985E-3</v>
      </c>
      <c r="L112" s="268">
        <f t="shared" si="2"/>
        <v>2.9464402998676856E-3</v>
      </c>
      <c r="M112" s="298"/>
      <c r="N112" s="295"/>
      <c r="O112" s="8"/>
    </row>
    <row r="113" spans="1:15" x14ac:dyDescent="0.2">
      <c r="A113" s="287" t="s">
        <v>384</v>
      </c>
      <c r="B113" s="240" t="s">
        <v>385</v>
      </c>
      <c r="C113" s="275">
        <v>358</v>
      </c>
      <c r="D113" s="243">
        <v>462.59986033519544</v>
      </c>
      <c r="E113" s="243">
        <v>534.62608374334684</v>
      </c>
      <c r="F113" s="243">
        <f>D113*Q6</f>
        <v>154.41505420147658</v>
      </c>
      <c r="G113" s="244">
        <f>E113*Q6</f>
        <v>178.45728625800706</v>
      </c>
      <c r="H113" s="306">
        <f>AVERAGE(F113:F135)</f>
        <v>168.40201927734205</v>
      </c>
      <c r="I113" s="293">
        <f>AVERAGE(G113:G135)</f>
        <v>301.01099093467815</v>
      </c>
      <c r="J113" s="245"/>
      <c r="K113" s="246">
        <f t="shared" si="2"/>
        <v>1.5441505420147657E-2</v>
      </c>
      <c r="L113" s="247">
        <f t="shared" si="2"/>
        <v>1.7845728625800705E-2</v>
      </c>
      <c r="M113" s="296">
        <f>AVERAGE(K113:K135)</f>
        <v>1.6840201927734208E-2</v>
      </c>
      <c r="N113" s="299">
        <f>AVERAGE(L113:L135)</f>
        <v>3.0101099093467809E-2</v>
      </c>
      <c r="O113" s="248"/>
    </row>
    <row r="114" spans="1:15" x14ac:dyDescent="0.2">
      <c r="A114" s="288"/>
      <c r="B114" s="251" t="s">
        <v>386</v>
      </c>
      <c r="C114" s="276">
        <v>370</v>
      </c>
      <c r="D114" s="253">
        <v>218.3841351351351</v>
      </c>
      <c r="E114" s="253">
        <v>436.33430672648899</v>
      </c>
      <c r="F114" s="253">
        <f>D114*Q6</f>
        <v>72.896256473575193</v>
      </c>
      <c r="G114" s="254">
        <f>E114*Q6</f>
        <v>145.64765664718115</v>
      </c>
      <c r="H114" s="307"/>
      <c r="I114" s="294"/>
      <c r="K114" s="256">
        <f t="shared" si="2"/>
        <v>7.2896256473575193E-3</v>
      </c>
      <c r="L114" s="257">
        <f t="shared" si="2"/>
        <v>1.4564765664718114E-2</v>
      </c>
      <c r="M114" s="297"/>
      <c r="N114" s="294"/>
      <c r="O114" s="8"/>
    </row>
    <row r="115" spans="1:15" x14ac:dyDescent="0.2">
      <c r="A115" s="288"/>
      <c r="B115" s="251" t="s">
        <v>387</v>
      </c>
      <c r="C115" s="276">
        <v>158</v>
      </c>
      <c r="D115" s="253">
        <v>1373.3056962025316</v>
      </c>
      <c r="E115" s="253">
        <v>4321.6959048111667</v>
      </c>
      <c r="F115" s="253">
        <f>D115*Q6</f>
        <v>458.40712826989278</v>
      </c>
      <c r="G115" s="254">
        <f>E115*Q6</f>
        <v>1442.574813793007</v>
      </c>
      <c r="H115" s="307"/>
      <c r="I115" s="294"/>
      <c r="K115" s="256">
        <f t="shared" si="2"/>
        <v>4.5840712826989281E-2</v>
      </c>
      <c r="L115" s="257">
        <f t="shared" si="2"/>
        <v>0.14425748137930069</v>
      </c>
      <c r="M115" s="297"/>
      <c r="N115" s="294"/>
      <c r="O115" s="8"/>
    </row>
    <row r="116" spans="1:15" x14ac:dyDescent="0.2">
      <c r="A116" s="288"/>
      <c r="B116" s="251" t="s">
        <v>388</v>
      </c>
      <c r="C116" s="276">
        <v>1091</v>
      </c>
      <c r="D116" s="253">
        <v>194.31145737855184</v>
      </c>
      <c r="E116" s="253">
        <v>294.47829584510549</v>
      </c>
      <c r="F116" s="253">
        <f>D116*Q6</f>
        <v>64.86083718515593</v>
      </c>
      <c r="G116" s="254">
        <f>E116*Q6</f>
        <v>98.296359149637283</v>
      </c>
      <c r="H116" s="307"/>
      <c r="I116" s="294"/>
      <c r="K116" s="256">
        <f t="shared" si="2"/>
        <v>6.4860837185155926E-3</v>
      </c>
      <c r="L116" s="257">
        <f t="shared" si="2"/>
        <v>9.8296359149637278E-3</v>
      </c>
      <c r="M116" s="297"/>
      <c r="N116" s="294"/>
      <c r="O116" s="8"/>
    </row>
    <row r="117" spans="1:15" x14ac:dyDescent="0.2">
      <c r="A117" s="288"/>
      <c r="B117" s="251" t="s">
        <v>389</v>
      </c>
      <c r="C117" s="276">
        <v>627</v>
      </c>
      <c r="D117" s="253">
        <v>579.06189792663486</v>
      </c>
      <c r="E117" s="253">
        <v>2139.4413933601336</v>
      </c>
      <c r="F117" s="253">
        <f>D117*Q6</f>
        <v>193.2898861870847</v>
      </c>
      <c r="G117" s="254">
        <f>E117*Q6</f>
        <v>714.14193354319309</v>
      </c>
      <c r="H117" s="307"/>
      <c r="I117" s="294"/>
      <c r="K117" s="256">
        <f t="shared" si="2"/>
        <v>1.9328988618708472E-2</v>
      </c>
      <c r="L117" s="257">
        <f t="shared" si="2"/>
        <v>7.1414193354319311E-2</v>
      </c>
      <c r="M117" s="297"/>
      <c r="N117" s="294"/>
      <c r="O117" s="8"/>
    </row>
    <row r="118" spans="1:15" x14ac:dyDescent="0.2">
      <c r="A118" s="288"/>
      <c r="B118" s="251" t="s">
        <v>390</v>
      </c>
      <c r="C118" s="276">
        <v>570</v>
      </c>
      <c r="D118" s="253">
        <v>282.45140350877193</v>
      </c>
      <c r="E118" s="253">
        <v>369.15952930081312</v>
      </c>
      <c r="F118" s="253">
        <f>D118*Q6</f>
        <v>94.281802745222009</v>
      </c>
      <c r="G118" s="254">
        <f>E118*Q6</f>
        <v>123.2248290880854</v>
      </c>
      <c r="H118" s="307"/>
      <c r="I118" s="294"/>
      <c r="K118" s="256">
        <f t="shared" si="2"/>
        <v>9.4281802745222014E-3</v>
      </c>
      <c r="L118" s="257">
        <f t="shared" si="2"/>
        <v>1.232248290880854E-2</v>
      </c>
      <c r="M118" s="297"/>
      <c r="N118" s="294"/>
      <c r="O118" s="8"/>
    </row>
    <row r="119" spans="1:15" x14ac:dyDescent="0.2">
      <c r="A119" s="288"/>
      <c r="B119" s="251" t="s">
        <v>391</v>
      </c>
      <c r="C119" s="276">
        <v>4691</v>
      </c>
      <c r="D119" s="253">
        <v>162.00505009592837</v>
      </c>
      <c r="E119" s="253">
        <v>217.76707027660956</v>
      </c>
      <c r="F119" s="253">
        <f>D119*Q6</f>
        <v>54.077012849397178</v>
      </c>
      <c r="G119" s="254">
        <f>E119*Q6</f>
        <v>72.690281263150339</v>
      </c>
      <c r="H119" s="307"/>
      <c r="I119" s="294"/>
      <c r="K119" s="256">
        <f t="shared" si="2"/>
        <v>5.4077012849397177E-3</v>
      </c>
      <c r="L119" s="257">
        <f t="shared" si="2"/>
        <v>7.2690281263150342E-3</v>
      </c>
      <c r="M119" s="297"/>
      <c r="N119" s="294"/>
      <c r="O119" s="8"/>
    </row>
    <row r="120" spans="1:15" x14ac:dyDescent="0.2">
      <c r="A120" s="288"/>
      <c r="B120" s="251" t="s">
        <v>392</v>
      </c>
      <c r="C120" s="276">
        <v>539</v>
      </c>
      <c r="D120" s="253">
        <v>322.68998144712435</v>
      </c>
      <c r="E120" s="253">
        <v>436.81930601522225</v>
      </c>
      <c r="F120" s="253">
        <f>D120*Q6</f>
        <v>107.71337228533996</v>
      </c>
      <c r="G120" s="254">
        <f>E120*Q6</f>
        <v>145.8095485928535</v>
      </c>
      <c r="H120" s="307"/>
      <c r="I120" s="294"/>
      <c r="K120" s="256">
        <f t="shared" si="2"/>
        <v>1.0771337228533996E-2</v>
      </c>
      <c r="L120" s="257">
        <f t="shared" si="2"/>
        <v>1.458095485928535E-2</v>
      </c>
      <c r="M120" s="297"/>
      <c r="N120" s="294"/>
      <c r="O120" s="8"/>
    </row>
    <row r="121" spans="1:15" x14ac:dyDescent="0.2">
      <c r="A121" s="288"/>
      <c r="B121" s="251" t="s">
        <v>393</v>
      </c>
      <c r="C121" s="276">
        <v>578</v>
      </c>
      <c r="D121" s="253">
        <v>386.41003460207617</v>
      </c>
      <c r="E121" s="253">
        <v>614.94042247361369</v>
      </c>
      <c r="F121" s="253">
        <f>D121*Q6</f>
        <v>128.98301870182041</v>
      </c>
      <c r="G121" s="254">
        <f>E121*Q6</f>
        <v>205.26607724900242</v>
      </c>
      <c r="H121" s="307"/>
      <c r="I121" s="294"/>
      <c r="K121" s="256">
        <f t="shared" si="2"/>
        <v>1.2898301870182042E-2</v>
      </c>
      <c r="L121" s="257">
        <f t="shared" si="2"/>
        <v>2.0526607724900243E-2</v>
      </c>
      <c r="M121" s="297"/>
      <c r="N121" s="294"/>
      <c r="O121" s="8"/>
    </row>
    <row r="122" spans="1:15" x14ac:dyDescent="0.2">
      <c r="A122" s="288"/>
      <c r="B122" s="251" t="s">
        <v>394</v>
      </c>
      <c r="C122" s="276">
        <v>839</v>
      </c>
      <c r="D122" s="253">
        <v>935.46638855780679</v>
      </c>
      <c r="E122" s="253">
        <v>859.12254634169983</v>
      </c>
      <c r="F122" s="253">
        <f>D122*Q6</f>
        <v>312.2571048511474</v>
      </c>
      <c r="G122" s="254">
        <f>E122*Q6</f>
        <v>286.77365890888711</v>
      </c>
      <c r="H122" s="307"/>
      <c r="I122" s="294"/>
      <c r="K122" s="256">
        <f t="shared" si="2"/>
        <v>3.122571048511474E-2</v>
      </c>
      <c r="L122" s="257">
        <f t="shared" si="2"/>
        <v>2.867736589088871E-2</v>
      </c>
      <c r="M122" s="297"/>
      <c r="N122" s="294"/>
      <c r="O122" s="8"/>
    </row>
    <row r="123" spans="1:15" x14ac:dyDescent="0.2">
      <c r="A123" s="288"/>
      <c r="B123" s="251" t="s">
        <v>395</v>
      </c>
      <c r="C123" s="276">
        <v>300</v>
      </c>
      <c r="D123" s="253">
        <v>78.063633333333314</v>
      </c>
      <c r="E123" s="253">
        <v>173.65708188484982</v>
      </c>
      <c r="F123" s="253">
        <f>D123*Q6</f>
        <v>26.057509320466501</v>
      </c>
      <c r="G123" s="254">
        <f>E123*Q6</f>
        <v>57.966441434481304</v>
      </c>
      <c r="H123" s="307"/>
      <c r="I123" s="294"/>
      <c r="K123" s="256">
        <f t="shared" si="2"/>
        <v>2.6057509320466499E-3</v>
      </c>
      <c r="L123" s="257">
        <f t="shared" si="2"/>
        <v>5.7966441434481302E-3</v>
      </c>
      <c r="M123" s="297"/>
      <c r="N123" s="294"/>
      <c r="O123" s="8"/>
    </row>
    <row r="124" spans="1:15" x14ac:dyDescent="0.2">
      <c r="A124" s="288"/>
      <c r="B124" s="251" t="s">
        <v>396</v>
      </c>
      <c r="C124" s="276">
        <v>121</v>
      </c>
      <c r="D124" s="253">
        <v>1111.8247933884297</v>
      </c>
      <c r="E124" s="253">
        <v>910.22155602184682</v>
      </c>
      <c r="F124" s="253">
        <f>D124*Q6</f>
        <v>371.12524333496418</v>
      </c>
      <c r="G124" s="254">
        <f>E124*Q6</f>
        <v>303.83042227168693</v>
      </c>
      <c r="H124" s="307"/>
      <c r="I124" s="294"/>
      <c r="K124" s="256">
        <f t="shared" si="2"/>
        <v>3.7112524333496419E-2</v>
      </c>
      <c r="L124" s="257">
        <f t="shared" si="2"/>
        <v>3.0383042227168693E-2</v>
      </c>
      <c r="M124" s="297"/>
      <c r="N124" s="294"/>
      <c r="O124" s="8"/>
    </row>
    <row r="125" spans="1:15" x14ac:dyDescent="0.2">
      <c r="A125" s="288"/>
      <c r="B125" s="251" t="s">
        <v>397</v>
      </c>
      <c r="C125" s="276">
        <v>224</v>
      </c>
      <c r="D125" s="253">
        <v>414.89866071428565</v>
      </c>
      <c r="E125" s="253">
        <v>363.79086751824622</v>
      </c>
      <c r="F125" s="253">
        <f>D125*Q6</f>
        <v>138.49247411336097</v>
      </c>
      <c r="G125" s="254">
        <f>E125*Q6</f>
        <v>121.43277882775074</v>
      </c>
      <c r="H125" s="307"/>
      <c r="I125" s="294"/>
      <c r="K125" s="256">
        <f t="shared" si="2"/>
        <v>1.3849247411336097E-2</v>
      </c>
      <c r="L125" s="257">
        <f t="shared" si="2"/>
        <v>1.2143277882775074E-2</v>
      </c>
      <c r="M125" s="297"/>
      <c r="N125" s="294"/>
      <c r="O125" s="8"/>
    </row>
    <row r="126" spans="1:15" x14ac:dyDescent="0.2">
      <c r="A126" s="288"/>
      <c r="B126" s="251" t="s">
        <v>398</v>
      </c>
      <c r="C126" s="276">
        <v>569</v>
      </c>
      <c r="D126" s="253">
        <v>438.7200351493849</v>
      </c>
      <c r="E126" s="253">
        <v>471.210586784599</v>
      </c>
      <c r="F126" s="253">
        <f>D126*Q6</f>
        <v>146.4440087763507</v>
      </c>
      <c r="G126" s="254">
        <f>F126*Q6</f>
        <v>48.882763467106159</v>
      </c>
      <c r="H126" s="307"/>
      <c r="I126" s="294"/>
      <c r="K126" s="256">
        <f t="shared" si="2"/>
        <v>1.4644400877635071E-2</v>
      </c>
      <c r="L126" s="257">
        <f t="shared" si="2"/>
        <v>4.8882763467106155E-3</v>
      </c>
      <c r="M126" s="297"/>
      <c r="N126" s="294"/>
      <c r="O126" s="8"/>
    </row>
    <row r="127" spans="1:15" x14ac:dyDescent="0.2">
      <c r="A127" s="288"/>
      <c r="B127" s="251" t="s">
        <v>399</v>
      </c>
      <c r="C127" s="276">
        <v>833</v>
      </c>
      <c r="D127" s="253">
        <v>693.27563025210065</v>
      </c>
      <c r="E127" s="253">
        <v>793.8622919777406</v>
      </c>
      <c r="F127" s="253">
        <f>D127*Q6</f>
        <v>231.41423766183576</v>
      </c>
      <c r="G127" s="254">
        <f>E127*Q6</f>
        <v>264.98989592307231</v>
      </c>
      <c r="H127" s="307"/>
      <c r="I127" s="294"/>
      <c r="K127" s="256">
        <f t="shared" si="2"/>
        <v>2.3141423766183576E-2</v>
      </c>
      <c r="L127" s="257">
        <f t="shared" si="2"/>
        <v>2.6498989592307232E-2</v>
      </c>
      <c r="M127" s="297"/>
      <c r="N127" s="294"/>
      <c r="O127" s="8"/>
    </row>
    <row r="128" spans="1:15" x14ac:dyDescent="0.2">
      <c r="A128" s="288"/>
      <c r="B128" s="251" t="s">
        <v>400</v>
      </c>
      <c r="C128" s="276">
        <v>335</v>
      </c>
      <c r="D128" s="253">
        <v>202.286328358209</v>
      </c>
      <c r="E128" s="253">
        <v>391.88229550604785</v>
      </c>
      <c r="F128" s="253">
        <f>D128*Q6</f>
        <v>67.522835685720224</v>
      </c>
      <c r="G128" s="254">
        <f>E128*Q6</f>
        <v>130.80965017438319</v>
      </c>
      <c r="H128" s="307"/>
      <c r="I128" s="294"/>
      <c r="K128" s="256">
        <f t="shared" si="2"/>
        <v>6.7522835685720223E-3</v>
      </c>
      <c r="L128" s="257">
        <f t="shared" si="2"/>
        <v>1.308096501743832E-2</v>
      </c>
      <c r="M128" s="297"/>
      <c r="N128" s="294"/>
      <c r="O128" s="8"/>
    </row>
    <row r="129" spans="1:15" x14ac:dyDescent="0.2">
      <c r="A129" s="288"/>
      <c r="B129" s="251" t="s">
        <v>401</v>
      </c>
      <c r="C129" s="276">
        <v>632</v>
      </c>
      <c r="D129" s="253">
        <v>630.34905063291137</v>
      </c>
      <c r="E129" s="253">
        <v>497.27899992950444</v>
      </c>
      <c r="F129" s="253">
        <f>D129*Q6</f>
        <v>210.40945137510855</v>
      </c>
      <c r="G129" s="254">
        <f>E129*Q6</f>
        <v>165.99089258637281</v>
      </c>
      <c r="H129" s="307"/>
      <c r="I129" s="294"/>
      <c r="K129" s="256">
        <f t="shared" si="2"/>
        <v>2.1040945137510855E-2</v>
      </c>
      <c r="L129" s="257">
        <f t="shared" si="2"/>
        <v>1.6599089258637279E-2</v>
      </c>
      <c r="M129" s="297"/>
      <c r="N129" s="294"/>
      <c r="O129" s="8"/>
    </row>
    <row r="130" spans="1:15" x14ac:dyDescent="0.2">
      <c r="A130" s="288"/>
      <c r="B130" s="251" t="s">
        <v>402</v>
      </c>
      <c r="C130" s="276">
        <v>991</v>
      </c>
      <c r="D130" s="253">
        <v>877.3186680121089</v>
      </c>
      <c r="E130" s="253">
        <v>653.14752890119667</v>
      </c>
      <c r="F130" s="253">
        <f>D130*Q6</f>
        <v>292.84749367389753</v>
      </c>
      <c r="G130" s="254">
        <f>E130*Q6</f>
        <v>218.01954502052726</v>
      </c>
      <c r="H130" s="307"/>
      <c r="I130" s="294"/>
      <c r="K130" s="256">
        <f t="shared" si="2"/>
        <v>2.9284749367389753E-2</v>
      </c>
      <c r="L130" s="257">
        <f t="shared" si="2"/>
        <v>2.1801954502052728E-2</v>
      </c>
      <c r="M130" s="297"/>
      <c r="N130" s="294"/>
      <c r="O130" s="8"/>
    </row>
    <row r="131" spans="1:15" x14ac:dyDescent="0.2">
      <c r="A131" s="288"/>
      <c r="B131" s="251" t="s">
        <v>403</v>
      </c>
      <c r="C131" s="276">
        <v>181</v>
      </c>
      <c r="D131" s="253">
        <v>87.340220994475132</v>
      </c>
      <c r="E131" s="253">
        <v>112.13946406127906</v>
      </c>
      <c r="F131" s="253">
        <f>D131*Q6</f>
        <v>29.154018656768564</v>
      </c>
      <c r="G131" s="254">
        <f>E131*Q6</f>
        <v>37.431964221951809</v>
      </c>
      <c r="H131" s="307"/>
      <c r="I131" s="294"/>
      <c r="K131" s="256">
        <f t="shared" si="2"/>
        <v>2.9154018656768563E-3</v>
      </c>
      <c r="L131" s="257">
        <f t="shared" si="2"/>
        <v>3.743196422195181E-3</v>
      </c>
      <c r="M131" s="297"/>
      <c r="N131" s="294"/>
      <c r="O131" s="8"/>
    </row>
    <row r="132" spans="1:15" x14ac:dyDescent="0.2">
      <c r="A132" s="288"/>
      <c r="B132" s="251" t="s">
        <v>404</v>
      </c>
      <c r="C132" s="276">
        <v>406</v>
      </c>
      <c r="D132" s="253">
        <v>835.70394088669957</v>
      </c>
      <c r="E132" s="253">
        <v>537.55481354432857</v>
      </c>
      <c r="F132" s="253">
        <f>D132*Q6</f>
        <v>278.95656785305192</v>
      </c>
      <c r="G132" s="254">
        <f>E132*Q6</f>
        <v>179.43489133257924</v>
      </c>
      <c r="H132" s="307"/>
      <c r="I132" s="294"/>
      <c r="K132" s="256">
        <f t="shared" ref="K132:L195" si="3">F132/10000</f>
        <v>2.7895656785305194E-2</v>
      </c>
      <c r="L132" s="257">
        <f t="shared" si="3"/>
        <v>1.7943489133257925E-2</v>
      </c>
      <c r="M132" s="297"/>
      <c r="N132" s="294"/>
      <c r="O132" s="8"/>
    </row>
    <row r="133" spans="1:15" x14ac:dyDescent="0.2">
      <c r="A133" s="288"/>
      <c r="B133" s="251" t="s">
        <v>405</v>
      </c>
      <c r="C133" s="276">
        <v>534</v>
      </c>
      <c r="D133" s="253">
        <v>121.2295131086142</v>
      </c>
      <c r="E133" s="253">
        <v>343.24424240889226</v>
      </c>
      <c r="F133" s="253">
        <f>D133*Q6</f>
        <v>40.466207283160848</v>
      </c>
      <c r="G133" s="254">
        <f>E133*Q6</f>
        <v>114.57434997388252</v>
      </c>
      <c r="H133" s="307"/>
      <c r="I133" s="294"/>
      <c r="K133" s="256">
        <f t="shared" si="3"/>
        <v>4.0466207283160844E-3</v>
      </c>
      <c r="L133" s="257">
        <f t="shared" si="3"/>
        <v>1.1457434997388253E-2</v>
      </c>
      <c r="M133" s="297"/>
      <c r="N133" s="294"/>
      <c r="O133" s="8"/>
    </row>
    <row r="134" spans="1:15" x14ac:dyDescent="0.2">
      <c r="A134" s="288"/>
      <c r="B134" s="251" t="s">
        <v>406</v>
      </c>
      <c r="C134" s="276">
        <v>905</v>
      </c>
      <c r="D134" s="253">
        <v>923.38375690607745</v>
      </c>
      <c r="E134" s="253">
        <v>5096.8291331182254</v>
      </c>
      <c r="F134" s="253">
        <f>D134*Q6</f>
        <v>308.22394275713737</v>
      </c>
      <c r="G134" s="254">
        <f>E134*Q6</f>
        <v>1701.3129798090367</v>
      </c>
      <c r="H134" s="307"/>
      <c r="I134" s="294"/>
      <c r="K134" s="256">
        <f t="shared" si="3"/>
        <v>3.0822394275713736E-2</v>
      </c>
      <c r="L134" s="257">
        <f t="shared" si="3"/>
        <v>0.17013129798090368</v>
      </c>
      <c r="M134" s="297"/>
      <c r="N134" s="294"/>
      <c r="O134" s="8"/>
    </row>
    <row r="135" spans="1:15" ht="17" thickBot="1" x14ac:dyDescent="0.25">
      <c r="A135" s="289"/>
      <c r="B135" s="262" t="s">
        <v>407</v>
      </c>
      <c r="C135" s="200">
        <v>582</v>
      </c>
      <c r="D135" s="264">
        <v>272.47285223367703</v>
      </c>
      <c r="E135" s="264">
        <v>496.38887972614276</v>
      </c>
      <c r="F135" s="264">
        <f>D135*Q6</f>
        <v>90.95097913693229</v>
      </c>
      <c r="G135" s="265">
        <f>E135*Q6</f>
        <v>165.69377196176146</v>
      </c>
      <c r="H135" s="308"/>
      <c r="I135" s="295"/>
      <c r="J135" s="266"/>
      <c r="K135" s="267">
        <f t="shared" si="3"/>
        <v>9.0950979136932286E-3</v>
      </c>
      <c r="L135" s="268">
        <f t="shared" si="3"/>
        <v>1.6569377196176144E-2</v>
      </c>
      <c r="M135" s="298"/>
      <c r="N135" s="295"/>
      <c r="O135" s="8"/>
    </row>
    <row r="136" spans="1:15" x14ac:dyDescent="0.2">
      <c r="A136" s="287" t="s">
        <v>408</v>
      </c>
      <c r="B136" s="240" t="s">
        <v>409</v>
      </c>
      <c r="C136" s="275">
        <v>931</v>
      </c>
      <c r="D136" s="243">
        <v>179.67103114930174</v>
      </c>
      <c r="E136" s="243">
        <v>256.8959103267149</v>
      </c>
      <c r="F136" s="243">
        <f>D136*Q6</f>
        <v>59.973887569381539</v>
      </c>
      <c r="G136" s="244">
        <f>E136*Q6</f>
        <v>85.751422165354441</v>
      </c>
      <c r="H136" s="290">
        <f>AVERAGE(F136:F158)</f>
        <v>78.554341076491326</v>
      </c>
      <c r="I136" s="293">
        <f>AVERAGE(G136:G158)</f>
        <v>100.1150795898525</v>
      </c>
      <c r="J136" s="245"/>
      <c r="K136" s="246">
        <f t="shared" si="3"/>
        <v>5.9973887569381538E-3</v>
      </c>
      <c r="L136" s="247">
        <f t="shared" si="3"/>
        <v>8.575142216535445E-3</v>
      </c>
      <c r="M136" s="296">
        <f>AVERAGE(K136:K158)</f>
        <v>7.8554341076491306E-3</v>
      </c>
      <c r="N136" s="299">
        <f>AVERAGE(L136:L158)</f>
        <v>1.001150795898525E-2</v>
      </c>
      <c r="O136" s="248"/>
    </row>
    <row r="137" spans="1:15" x14ac:dyDescent="0.2">
      <c r="A137" s="288"/>
      <c r="B137" s="251" t="s">
        <v>410</v>
      </c>
      <c r="C137" s="276">
        <v>298</v>
      </c>
      <c r="D137" s="253">
        <v>39.449060402684566</v>
      </c>
      <c r="E137" s="253">
        <v>54.07617777870945</v>
      </c>
      <c r="F137" s="253">
        <f>D137*Q6</f>
        <v>13.168029916533042</v>
      </c>
      <c r="G137" s="254">
        <f>E137*Q6</f>
        <v>18.05053705951758</v>
      </c>
      <c r="H137" s="291"/>
      <c r="I137" s="294"/>
      <c r="K137" s="256">
        <f t="shared" si="3"/>
        <v>1.3168029916533041E-3</v>
      </c>
      <c r="L137" s="257">
        <f t="shared" si="3"/>
        <v>1.805053705951758E-3</v>
      </c>
      <c r="M137" s="297"/>
      <c r="N137" s="294"/>
      <c r="O137" s="8"/>
    </row>
    <row r="138" spans="1:15" x14ac:dyDescent="0.2">
      <c r="A138" s="288"/>
      <c r="B138" s="251" t="s">
        <v>411</v>
      </c>
      <c r="C138" s="276">
        <v>381</v>
      </c>
      <c r="D138" s="253">
        <v>97.10104986876641</v>
      </c>
      <c r="E138" s="253">
        <v>152.43756512767044</v>
      </c>
      <c r="F138" s="253">
        <f>D138*Q6</f>
        <v>32.412166894389969</v>
      </c>
      <c r="G138" s="254">
        <f>E138*Q6</f>
        <v>50.883402481951592</v>
      </c>
      <c r="H138" s="291"/>
      <c r="I138" s="294"/>
      <c r="K138" s="256">
        <f t="shared" si="3"/>
        <v>3.2412166894389971E-3</v>
      </c>
      <c r="L138" s="257">
        <f t="shared" si="3"/>
        <v>5.0883402481951591E-3</v>
      </c>
      <c r="M138" s="297"/>
      <c r="N138" s="294"/>
      <c r="O138" s="8"/>
    </row>
    <row r="139" spans="1:15" x14ac:dyDescent="0.2">
      <c r="A139" s="288"/>
      <c r="B139" s="251" t="s">
        <v>412</v>
      </c>
      <c r="C139" s="276">
        <v>250</v>
      </c>
      <c r="D139" s="253">
        <v>706.61120000000005</v>
      </c>
      <c r="E139" s="253">
        <v>847.22586839808628</v>
      </c>
      <c r="F139" s="253">
        <f>D139*Q6</f>
        <v>235.86562838196562</v>
      </c>
      <c r="G139" s="254">
        <f>E139*Q6</f>
        <v>282.8025678494356</v>
      </c>
      <c r="H139" s="291"/>
      <c r="I139" s="294"/>
      <c r="K139" s="256">
        <f t="shared" si="3"/>
        <v>2.3586562838196563E-2</v>
      </c>
      <c r="L139" s="257">
        <f t="shared" si="3"/>
        <v>2.8280256784943562E-2</v>
      </c>
      <c r="M139" s="297"/>
      <c r="N139" s="294"/>
      <c r="O139" s="8"/>
    </row>
    <row r="140" spans="1:15" x14ac:dyDescent="0.2">
      <c r="A140" s="288"/>
      <c r="B140" s="251" t="s">
        <v>413</v>
      </c>
      <c r="C140" s="276">
        <v>478</v>
      </c>
      <c r="D140" s="253">
        <v>198.70920502092051</v>
      </c>
      <c r="E140" s="253">
        <v>318.64224722723907</v>
      </c>
      <c r="F140" s="253">
        <f>D140*Q6</f>
        <v>66.328797940848162</v>
      </c>
      <c r="G140" s="254">
        <f>E140*Q6</f>
        <v>106.36224542052882</v>
      </c>
      <c r="H140" s="291"/>
      <c r="I140" s="294"/>
      <c r="K140" s="256">
        <f t="shared" si="3"/>
        <v>6.6328797940848165E-3</v>
      </c>
      <c r="L140" s="257">
        <f t="shared" si="3"/>
        <v>1.0636224542052881E-2</v>
      </c>
      <c r="M140" s="297"/>
      <c r="N140" s="294"/>
      <c r="O140" s="8"/>
    </row>
    <row r="141" spans="1:15" x14ac:dyDescent="0.2">
      <c r="A141" s="288"/>
      <c r="B141" s="251" t="s">
        <v>414</v>
      </c>
      <c r="C141" s="276">
        <v>241</v>
      </c>
      <c r="D141" s="253">
        <v>119.62365145228218</v>
      </c>
      <c r="E141" s="253">
        <v>398.01363950239784</v>
      </c>
      <c r="F141" s="253">
        <f>D141*Q6</f>
        <v>39.930173367104523</v>
      </c>
      <c r="G141" s="254">
        <f>E141*Q6</f>
        <v>132.8562824730576</v>
      </c>
      <c r="H141" s="291"/>
      <c r="I141" s="294"/>
      <c r="K141" s="256">
        <f t="shared" si="3"/>
        <v>3.9930173367104527E-3</v>
      </c>
      <c r="L141" s="257">
        <f t="shared" si="3"/>
        <v>1.328562824730576E-2</v>
      </c>
      <c r="M141" s="297"/>
      <c r="N141" s="294"/>
      <c r="O141" s="8"/>
    </row>
    <row r="142" spans="1:15" x14ac:dyDescent="0.2">
      <c r="A142" s="288"/>
      <c r="B142" s="251" t="s">
        <v>415</v>
      </c>
      <c r="C142" s="276">
        <v>75</v>
      </c>
      <c r="D142" s="253">
        <v>1346.4840000000002</v>
      </c>
      <c r="E142" s="253">
        <v>987.0681356092573</v>
      </c>
      <c r="F142" s="253">
        <f>D142*Q6</f>
        <v>449.45409125451539</v>
      </c>
      <c r="G142" s="254">
        <f>E142*Q6</f>
        <v>329.48168110170445</v>
      </c>
      <c r="H142" s="291"/>
      <c r="I142" s="294"/>
      <c r="K142" s="256">
        <f t="shared" si="3"/>
        <v>4.4945409125451537E-2</v>
      </c>
      <c r="L142" s="257">
        <f t="shared" si="3"/>
        <v>3.2948168110170442E-2</v>
      </c>
      <c r="M142" s="297"/>
      <c r="N142" s="294"/>
      <c r="O142" s="8"/>
    </row>
    <row r="143" spans="1:15" x14ac:dyDescent="0.2">
      <c r="A143" s="288"/>
      <c r="B143" s="251" t="s">
        <v>416</v>
      </c>
      <c r="C143" s="276">
        <v>446</v>
      </c>
      <c r="D143" s="253">
        <v>161.62387892376682</v>
      </c>
      <c r="E143" s="253">
        <v>312.10784756680704</v>
      </c>
      <c r="F143" s="253">
        <f>D143*Q6</f>
        <v>53.949778554153951</v>
      </c>
      <c r="G143" s="254">
        <f>E143*Q6</f>
        <v>104.18107382006919</v>
      </c>
      <c r="H143" s="291"/>
      <c r="I143" s="294"/>
      <c r="K143" s="256">
        <f t="shared" si="3"/>
        <v>5.3949778554153952E-3</v>
      </c>
      <c r="L143" s="257">
        <f t="shared" si="3"/>
        <v>1.0418107382006919E-2</v>
      </c>
      <c r="M143" s="297"/>
      <c r="N143" s="294"/>
      <c r="O143" s="8"/>
    </row>
    <row r="144" spans="1:15" x14ac:dyDescent="0.2">
      <c r="A144" s="288"/>
      <c r="B144" s="251" t="s">
        <v>417</v>
      </c>
      <c r="C144" s="276">
        <v>985</v>
      </c>
      <c r="D144" s="253">
        <v>571.34994923857869</v>
      </c>
      <c r="E144" s="253">
        <v>719.30624434446884</v>
      </c>
      <c r="F144" s="253">
        <f>D144*Q6</f>
        <v>190.71565070460463</v>
      </c>
      <c r="G144" s="254">
        <f>E144*Q6</f>
        <v>240.10321280129699</v>
      </c>
      <c r="H144" s="291"/>
      <c r="I144" s="294"/>
      <c r="K144" s="256">
        <f t="shared" si="3"/>
        <v>1.9071565070460463E-2</v>
      </c>
      <c r="L144" s="257">
        <f t="shared" si="3"/>
        <v>2.4010321280129698E-2</v>
      </c>
      <c r="M144" s="297"/>
      <c r="N144" s="294"/>
      <c r="O144" s="8"/>
    </row>
    <row r="145" spans="1:15" x14ac:dyDescent="0.2">
      <c r="A145" s="288"/>
      <c r="B145" s="251" t="s">
        <v>418</v>
      </c>
      <c r="C145" s="276">
        <v>160</v>
      </c>
      <c r="D145" s="253">
        <v>162.50562499999998</v>
      </c>
      <c r="E145" s="253">
        <v>134.15211550306071</v>
      </c>
      <c r="F145" s="253">
        <f>D145*Q6</f>
        <v>54.244103909234745</v>
      </c>
      <c r="G145" s="254">
        <f>E145*Q6</f>
        <v>44.779750196288205</v>
      </c>
      <c r="H145" s="291"/>
      <c r="I145" s="294"/>
      <c r="K145" s="256">
        <f t="shared" si="3"/>
        <v>5.4244103909234743E-3</v>
      </c>
      <c r="L145" s="257">
        <f t="shared" si="3"/>
        <v>4.4779750196288206E-3</v>
      </c>
      <c r="M145" s="297"/>
      <c r="N145" s="294"/>
      <c r="O145" s="8"/>
    </row>
    <row r="146" spans="1:15" x14ac:dyDescent="0.2">
      <c r="A146" s="288"/>
      <c r="B146" s="251" t="s">
        <v>419</v>
      </c>
      <c r="C146" s="276">
        <v>161</v>
      </c>
      <c r="D146" s="253">
        <v>58.998633540372673</v>
      </c>
      <c r="E146" s="253">
        <v>92.883056988996216</v>
      </c>
      <c r="F146" s="253">
        <f>D146*Q6</f>
        <v>19.693644501640101</v>
      </c>
      <c r="G146" s="254">
        <f>F146*Q6</f>
        <v>6.5737053637281493</v>
      </c>
      <c r="H146" s="291"/>
      <c r="I146" s="294"/>
      <c r="K146" s="256">
        <f t="shared" si="3"/>
        <v>1.9693644501640102E-3</v>
      </c>
      <c r="L146" s="257">
        <f t="shared" si="3"/>
        <v>6.5737053637281498E-4</v>
      </c>
      <c r="M146" s="297"/>
      <c r="N146" s="294"/>
      <c r="O146" s="8"/>
    </row>
    <row r="147" spans="1:15" x14ac:dyDescent="0.2">
      <c r="A147" s="288"/>
      <c r="B147" s="251" t="s">
        <v>420</v>
      </c>
      <c r="C147" s="276">
        <v>336</v>
      </c>
      <c r="D147" s="253">
        <v>32.722708333333323</v>
      </c>
      <c r="E147" s="253">
        <v>25.535388674006661</v>
      </c>
      <c r="F147" s="253">
        <f>D147*Q6</f>
        <v>10.922784925290523</v>
      </c>
      <c r="G147" s="254">
        <f>E147*Q6</f>
        <v>8.5236697289433128</v>
      </c>
      <c r="H147" s="291"/>
      <c r="I147" s="294"/>
      <c r="K147" s="256">
        <f t="shared" si="3"/>
        <v>1.0922784925290524E-3</v>
      </c>
      <c r="L147" s="257">
        <f t="shared" si="3"/>
        <v>8.523669728943313E-4</v>
      </c>
      <c r="M147" s="297"/>
      <c r="N147" s="294"/>
      <c r="O147" s="8"/>
    </row>
    <row r="148" spans="1:15" x14ac:dyDescent="0.2">
      <c r="A148" s="288"/>
      <c r="B148" s="251" t="s">
        <v>421</v>
      </c>
      <c r="C148" s="276">
        <v>461</v>
      </c>
      <c r="D148" s="253">
        <v>67.149544468546637</v>
      </c>
      <c r="E148" s="253">
        <v>89.267991792719783</v>
      </c>
      <c r="F148" s="253">
        <f>D148*Q6</f>
        <v>22.41440484050705</v>
      </c>
      <c r="G148" s="254">
        <f>E148*Q6</f>
        <v>29.797505302188814</v>
      </c>
      <c r="H148" s="291"/>
      <c r="I148" s="294"/>
      <c r="K148" s="256">
        <f t="shared" si="3"/>
        <v>2.2414404840507048E-3</v>
      </c>
      <c r="L148" s="257">
        <f t="shared" si="3"/>
        <v>2.9797505302188816E-3</v>
      </c>
      <c r="M148" s="297"/>
      <c r="N148" s="294"/>
      <c r="O148" s="8"/>
    </row>
    <row r="149" spans="1:15" x14ac:dyDescent="0.2">
      <c r="A149" s="288"/>
      <c r="B149" s="251" t="s">
        <v>422</v>
      </c>
      <c r="C149" s="276">
        <v>686</v>
      </c>
      <c r="D149" s="253">
        <v>78.146588921282785</v>
      </c>
      <c r="E149" s="253">
        <v>275.73961649559152</v>
      </c>
      <c r="F149" s="253">
        <f>D149*Q6</f>
        <v>26.085199755998087</v>
      </c>
      <c r="G149" s="254">
        <f>E149*Q6</f>
        <v>92.041419545196717</v>
      </c>
      <c r="H149" s="291"/>
      <c r="I149" s="294"/>
      <c r="K149" s="256">
        <f t="shared" si="3"/>
        <v>2.6085199755998085E-3</v>
      </c>
      <c r="L149" s="257">
        <f t="shared" si="3"/>
        <v>9.2041419545196724E-3</v>
      </c>
      <c r="M149" s="297"/>
      <c r="N149" s="294"/>
      <c r="O149" s="8"/>
    </row>
    <row r="150" spans="1:15" x14ac:dyDescent="0.2">
      <c r="A150" s="288"/>
      <c r="B150" s="251" t="s">
        <v>423</v>
      </c>
      <c r="C150" s="276">
        <v>102</v>
      </c>
      <c r="D150" s="253">
        <v>107.1186274509804</v>
      </c>
      <c r="E150" s="253">
        <v>69.540898615675616</v>
      </c>
      <c r="F150" s="253">
        <f>D150*Q6</f>
        <v>35.756017418262211</v>
      </c>
      <c r="G150" s="254">
        <f>E150*Q6</f>
        <v>23.212634826949941</v>
      </c>
      <c r="H150" s="291"/>
      <c r="I150" s="294"/>
      <c r="K150" s="256">
        <f t="shared" si="3"/>
        <v>3.575601741826221E-3</v>
      </c>
      <c r="L150" s="257">
        <f t="shared" si="3"/>
        <v>2.3212634826949943E-3</v>
      </c>
      <c r="M150" s="297"/>
      <c r="N150" s="294"/>
      <c r="O150" s="8"/>
    </row>
    <row r="151" spans="1:15" x14ac:dyDescent="0.2">
      <c r="A151" s="288"/>
      <c r="B151" s="251" t="s">
        <v>424</v>
      </c>
      <c r="C151" s="276">
        <v>156</v>
      </c>
      <c r="D151" s="253">
        <v>180.84185897435898</v>
      </c>
      <c r="E151" s="253">
        <v>354.00546618306566</v>
      </c>
      <c r="F151" s="253">
        <f>D151*Q6</f>
        <v>60.364707925306007</v>
      </c>
      <c r="G151" s="254">
        <f>E151*Q6</f>
        <v>118.16642834407303</v>
      </c>
      <c r="H151" s="291"/>
      <c r="I151" s="294"/>
      <c r="K151" s="256">
        <f t="shared" si="3"/>
        <v>6.0364707925306006E-3</v>
      </c>
      <c r="L151" s="257">
        <f t="shared" si="3"/>
        <v>1.1816642834407302E-2</v>
      </c>
      <c r="M151" s="297"/>
      <c r="N151" s="294"/>
      <c r="O151" s="8"/>
    </row>
    <row r="152" spans="1:15" x14ac:dyDescent="0.2">
      <c r="A152" s="288"/>
      <c r="B152" s="251" t="s">
        <v>425</v>
      </c>
      <c r="C152" s="276">
        <v>352</v>
      </c>
      <c r="D152" s="253">
        <v>388.90056818181819</v>
      </c>
      <c r="E152" s="253">
        <v>433.67051812438734</v>
      </c>
      <c r="F152" s="253">
        <f>D152*Q6</f>
        <v>129.81435461581702</v>
      </c>
      <c r="G152" s="254">
        <f>E152*Q6</f>
        <v>144.75848849854236</v>
      </c>
      <c r="H152" s="291"/>
      <c r="I152" s="294"/>
      <c r="K152" s="256">
        <f t="shared" si="3"/>
        <v>1.2981435461581703E-2</v>
      </c>
      <c r="L152" s="257">
        <f t="shared" si="3"/>
        <v>1.4475848849854237E-2</v>
      </c>
      <c r="M152" s="297"/>
      <c r="N152" s="294"/>
      <c r="O152" s="8"/>
    </row>
    <row r="153" spans="1:15" x14ac:dyDescent="0.2">
      <c r="A153" s="288"/>
      <c r="B153" s="251" t="s">
        <v>426</v>
      </c>
      <c r="C153" s="276">
        <v>435</v>
      </c>
      <c r="D153" s="253">
        <v>31.908298850574713</v>
      </c>
      <c r="E153" s="253">
        <v>80.268391012383759</v>
      </c>
      <c r="F153" s="253">
        <f>D153*Q6</f>
        <v>10.650936411693383</v>
      </c>
      <c r="G153" s="254">
        <f>E153*Q6</f>
        <v>26.793453720157867</v>
      </c>
      <c r="H153" s="291"/>
      <c r="I153" s="294"/>
      <c r="K153" s="256">
        <f t="shared" si="3"/>
        <v>1.0650936411693384E-3</v>
      </c>
      <c r="L153" s="257">
        <f t="shared" si="3"/>
        <v>2.6793453720157867E-3</v>
      </c>
      <c r="M153" s="297"/>
      <c r="N153" s="294"/>
      <c r="O153" s="8"/>
    </row>
    <row r="154" spans="1:15" x14ac:dyDescent="0.2">
      <c r="A154" s="288"/>
      <c r="B154" s="251" t="s">
        <v>427</v>
      </c>
      <c r="C154" s="276">
        <v>719</v>
      </c>
      <c r="D154" s="253">
        <v>22.324228094575794</v>
      </c>
      <c r="E154" s="253">
        <v>44.869339227485085</v>
      </c>
      <c r="F154" s="253">
        <f>D154*Q6</f>
        <v>7.4517897362360666</v>
      </c>
      <c r="G154" s="254">
        <f>E154*Q6</f>
        <v>14.977309858624302</v>
      </c>
      <c r="H154" s="291"/>
      <c r="I154" s="294"/>
      <c r="K154" s="256">
        <f t="shared" si="3"/>
        <v>7.4517897362360664E-4</v>
      </c>
      <c r="L154" s="257">
        <f t="shared" si="3"/>
        <v>1.4977309858624302E-3</v>
      </c>
      <c r="M154" s="297"/>
      <c r="N154" s="294"/>
      <c r="O154" s="8"/>
    </row>
    <row r="155" spans="1:15" x14ac:dyDescent="0.2">
      <c r="A155" s="288"/>
      <c r="B155" s="251" t="s">
        <v>428</v>
      </c>
      <c r="C155" s="276">
        <v>131</v>
      </c>
      <c r="D155" s="253">
        <v>246.42748091603053</v>
      </c>
      <c r="E155" s="253">
        <v>378.68316430929133</v>
      </c>
      <c r="F155" s="253">
        <f>D155*Q6</f>
        <v>82.257078060529437</v>
      </c>
      <c r="G155" s="254">
        <f>E155*Q6</f>
        <v>126.40380241281504</v>
      </c>
      <c r="H155" s="291"/>
      <c r="I155" s="294"/>
      <c r="K155" s="256">
        <f t="shared" si="3"/>
        <v>8.2257078060529436E-3</v>
      </c>
      <c r="L155" s="257">
        <f t="shared" si="3"/>
        <v>1.2640380241281503E-2</v>
      </c>
      <c r="M155" s="297"/>
      <c r="N155" s="294"/>
      <c r="O155" s="8"/>
    </row>
    <row r="156" spans="1:15" x14ac:dyDescent="0.2">
      <c r="A156" s="288"/>
      <c r="B156" s="251" t="s">
        <v>429</v>
      </c>
      <c r="C156" s="276">
        <v>462</v>
      </c>
      <c r="D156" s="253">
        <v>95.450887445887446</v>
      </c>
      <c r="E156" s="253">
        <v>181.64436508194245</v>
      </c>
      <c r="F156" s="253">
        <f>D156*Q6</f>
        <v>31.861345457078112</v>
      </c>
      <c r="G156" s="254">
        <f>E156*Q6</f>
        <v>60.632583112319089</v>
      </c>
      <c r="H156" s="291"/>
      <c r="I156" s="294"/>
      <c r="K156" s="256">
        <f t="shared" si="3"/>
        <v>3.1861345457078112E-3</v>
      </c>
      <c r="L156" s="257">
        <f t="shared" si="3"/>
        <v>6.0632583112319094E-3</v>
      </c>
      <c r="M156" s="297"/>
      <c r="N156" s="294"/>
      <c r="O156" s="8"/>
    </row>
    <row r="157" spans="1:15" x14ac:dyDescent="0.2">
      <c r="A157" s="288"/>
      <c r="B157" s="251" t="s">
        <v>430</v>
      </c>
      <c r="C157" s="276">
        <v>414</v>
      </c>
      <c r="D157" s="253">
        <v>303.1391304347826</v>
      </c>
      <c r="E157" s="253">
        <v>447.09754937687393</v>
      </c>
      <c r="F157" s="253">
        <f>D157*Q6</f>
        <v>101.18733114782589</v>
      </c>
      <c r="G157" s="254">
        <f>E157*Q6</f>
        <v>149.24040891485058</v>
      </c>
      <c r="H157" s="291"/>
      <c r="I157" s="294"/>
      <c r="K157" s="256">
        <f t="shared" si="3"/>
        <v>1.0118733114782589E-2</v>
      </c>
      <c r="L157" s="257">
        <f t="shared" si="3"/>
        <v>1.4924040891485057E-2</v>
      </c>
      <c r="M157" s="297"/>
      <c r="N157" s="294"/>
      <c r="O157" s="8"/>
    </row>
    <row r="158" spans="1:15" ht="17" thickBot="1" x14ac:dyDescent="0.25">
      <c r="A158" s="289"/>
      <c r="B158" s="262" t="s">
        <v>431</v>
      </c>
      <c r="C158" s="200">
        <v>358</v>
      </c>
      <c r="D158" s="264">
        <v>216.44189944134081</v>
      </c>
      <c r="E158" s="264">
        <v>318.37561960408777</v>
      </c>
      <c r="F158" s="264">
        <f>D158*Q6</f>
        <v>72.247941470384362</v>
      </c>
      <c r="G158" s="265">
        <f>E158*Q6</f>
        <v>106.27324556901421</v>
      </c>
      <c r="H158" s="292"/>
      <c r="I158" s="295"/>
      <c r="J158" s="266"/>
      <c r="K158" s="267">
        <f t="shared" si="3"/>
        <v>7.2247941470384358E-3</v>
      </c>
      <c r="L158" s="268">
        <f t="shared" si="3"/>
        <v>1.0627324556901421E-2</v>
      </c>
      <c r="M158" s="298"/>
      <c r="N158" s="295"/>
      <c r="O158" s="8"/>
    </row>
    <row r="159" spans="1:15" x14ac:dyDescent="0.2">
      <c r="A159" s="287" t="s">
        <v>432</v>
      </c>
      <c r="B159" s="240" t="s">
        <v>433</v>
      </c>
      <c r="C159" s="275">
        <v>594</v>
      </c>
      <c r="D159" s="243">
        <v>305.03806397306397</v>
      </c>
      <c r="E159" s="243">
        <v>355.73785463080083</v>
      </c>
      <c r="F159" s="243">
        <f>D159*Q6</f>
        <v>101.82119196444233</v>
      </c>
      <c r="G159" s="244">
        <f>E159*Q6</f>
        <v>118.74469668998478</v>
      </c>
      <c r="H159" s="290">
        <f>AVERAGE(F159:F179)</f>
        <v>56.349317466789273</v>
      </c>
      <c r="I159" s="293">
        <f>AVERAGE(G159:G179)</f>
        <v>70.985549798519145</v>
      </c>
      <c r="K159" s="256">
        <f t="shared" si="3"/>
        <v>1.0182119196444234E-2</v>
      </c>
      <c r="L159" s="257">
        <f t="shared" si="3"/>
        <v>1.1874469668998478E-2</v>
      </c>
      <c r="M159" s="301">
        <f>AVERAGE(K159:K179)</f>
        <v>5.634931746678928E-3</v>
      </c>
      <c r="N159" s="302">
        <f>AVERAGE(L159:L179)</f>
        <v>7.098554979851914E-3</v>
      </c>
      <c r="O159" s="248"/>
    </row>
    <row r="160" spans="1:15" x14ac:dyDescent="0.2">
      <c r="A160" s="288"/>
      <c r="B160" s="251" t="s">
        <v>434</v>
      </c>
      <c r="C160" s="276">
        <v>408</v>
      </c>
      <c r="D160" s="253">
        <v>138.10279411764708</v>
      </c>
      <c r="E160" s="253">
        <v>280.47332763216224</v>
      </c>
      <c r="F160" s="253">
        <f>D160*Q6</f>
        <v>46.098480063525813</v>
      </c>
      <c r="G160" s="254">
        <f>E160*Q6</f>
        <v>93.621524349374681</v>
      </c>
      <c r="H160" s="291"/>
      <c r="I160" s="294"/>
      <c r="K160" s="256">
        <f t="shared" si="3"/>
        <v>4.6098480063525814E-3</v>
      </c>
      <c r="L160" s="257">
        <f t="shared" si="3"/>
        <v>9.3621524349374683E-3</v>
      </c>
      <c r="M160" s="297"/>
      <c r="N160" s="294"/>
      <c r="O160" s="8"/>
    </row>
    <row r="161" spans="1:15" x14ac:dyDescent="0.2">
      <c r="A161" s="288"/>
      <c r="B161" s="251" t="s">
        <v>435</v>
      </c>
      <c r="C161" s="276">
        <v>578</v>
      </c>
      <c r="D161" s="253">
        <v>71.353114186851187</v>
      </c>
      <c r="E161" s="253">
        <v>75.145354691465656</v>
      </c>
      <c r="F161" s="253">
        <f>D161*Q6</f>
        <v>23.817549332209566</v>
      </c>
      <c r="G161" s="254">
        <f>E161*Q6</f>
        <v>25.083392825203216</v>
      </c>
      <c r="H161" s="291"/>
      <c r="I161" s="294"/>
      <c r="K161" s="256">
        <f t="shared" si="3"/>
        <v>2.3817549332209565E-3</v>
      </c>
      <c r="L161" s="257">
        <f t="shared" si="3"/>
        <v>2.5083392825203214E-3</v>
      </c>
      <c r="M161" s="297"/>
      <c r="N161" s="294"/>
      <c r="O161" s="8"/>
    </row>
    <row r="162" spans="1:15" x14ac:dyDescent="0.2">
      <c r="A162" s="288"/>
      <c r="B162" s="251" t="s">
        <v>436</v>
      </c>
      <c r="C162" s="276">
        <v>296</v>
      </c>
      <c r="D162" s="253">
        <v>293.03277027027025</v>
      </c>
      <c r="E162" s="253">
        <v>240.12436405039094</v>
      </c>
      <c r="F162" s="253">
        <f>D162*Q6</f>
        <v>97.813845147523082</v>
      </c>
      <c r="G162" s="254">
        <f>E162*Q6</f>
        <v>80.15310826741117</v>
      </c>
      <c r="H162" s="291"/>
      <c r="I162" s="294"/>
      <c r="K162" s="256">
        <f t="shared" si="3"/>
        <v>9.7813845147523091E-3</v>
      </c>
      <c r="L162" s="257">
        <f t="shared" si="3"/>
        <v>8.0153108267411177E-3</v>
      </c>
      <c r="M162" s="297"/>
      <c r="N162" s="294"/>
      <c r="O162" s="8"/>
    </row>
    <row r="163" spans="1:15" x14ac:dyDescent="0.2">
      <c r="A163" s="288"/>
      <c r="B163" s="251" t="s">
        <v>437</v>
      </c>
      <c r="C163" s="276">
        <v>445</v>
      </c>
      <c r="D163" s="253">
        <v>110.10719101123593</v>
      </c>
      <c r="E163" s="253">
        <v>242.22779531334621</v>
      </c>
      <c r="F163" s="253">
        <f>D163*Q6</f>
        <v>36.753594900899216</v>
      </c>
      <c r="G163" s="254">
        <f>E163*Q6</f>
        <v>80.855230080078755</v>
      </c>
      <c r="H163" s="291"/>
      <c r="I163" s="294"/>
      <c r="K163" s="256">
        <f t="shared" si="3"/>
        <v>3.6753594900899218E-3</v>
      </c>
      <c r="L163" s="257">
        <f t="shared" si="3"/>
        <v>8.0855230080078763E-3</v>
      </c>
      <c r="M163" s="297"/>
      <c r="N163" s="294"/>
      <c r="O163" s="8"/>
    </row>
    <row r="164" spans="1:15" x14ac:dyDescent="0.2">
      <c r="A164" s="288"/>
      <c r="B164" s="251" t="s">
        <v>438</v>
      </c>
      <c r="C164" s="276">
        <v>538</v>
      </c>
      <c r="D164" s="253">
        <v>275.41059479553905</v>
      </c>
      <c r="E164" s="253">
        <v>242.22779531334621</v>
      </c>
      <c r="F164" s="253">
        <f>D164*Q6</f>
        <v>91.931592655905717</v>
      </c>
      <c r="G164" s="254">
        <f>E164*Q6</f>
        <v>80.855230080078755</v>
      </c>
      <c r="H164" s="291"/>
      <c r="I164" s="294"/>
      <c r="K164" s="256">
        <f t="shared" si="3"/>
        <v>9.1931592655905715E-3</v>
      </c>
      <c r="L164" s="257">
        <f t="shared" si="3"/>
        <v>8.0855230080078763E-3</v>
      </c>
      <c r="M164" s="297"/>
      <c r="N164" s="294"/>
      <c r="O164" s="8"/>
    </row>
    <row r="165" spans="1:15" x14ac:dyDescent="0.2">
      <c r="A165" s="288"/>
      <c r="B165" s="251" t="s">
        <v>439</v>
      </c>
      <c r="C165" s="276">
        <v>432</v>
      </c>
      <c r="D165" s="253">
        <v>44.611805555555556</v>
      </c>
      <c r="E165" s="253">
        <v>39.044753006462393</v>
      </c>
      <c r="F165" s="253">
        <f>D165*Q6</f>
        <v>14.89134555271014</v>
      </c>
      <c r="G165" s="254">
        <f>E165*Q6</f>
        <v>13.03307278866779</v>
      </c>
      <c r="H165" s="291"/>
      <c r="I165" s="294"/>
      <c r="K165" s="256">
        <f t="shared" si="3"/>
        <v>1.4891345552710141E-3</v>
      </c>
      <c r="L165" s="257">
        <f t="shared" si="3"/>
        <v>1.3033072788667789E-3</v>
      </c>
      <c r="M165" s="297"/>
      <c r="N165" s="294"/>
      <c r="O165" s="8"/>
    </row>
    <row r="166" spans="1:15" x14ac:dyDescent="0.2">
      <c r="A166" s="288"/>
      <c r="B166" s="251" t="s">
        <v>440</v>
      </c>
      <c r="C166" s="276">
        <v>193</v>
      </c>
      <c r="D166" s="253">
        <v>735.79196891191702</v>
      </c>
      <c r="E166" s="253">
        <v>1277.3462812972919</v>
      </c>
      <c r="F166" s="253">
        <f>D166*Q6</f>
        <v>245.60611989424029</v>
      </c>
      <c r="G166" s="254">
        <f>F166*Q6</f>
        <v>81.982909134912333</v>
      </c>
      <c r="H166" s="291"/>
      <c r="I166" s="294"/>
      <c r="K166" s="256">
        <f t="shared" si="3"/>
        <v>2.4560611989424028E-2</v>
      </c>
      <c r="L166" s="257">
        <f t="shared" si="3"/>
        <v>8.1982909134912327E-3</v>
      </c>
      <c r="M166" s="297"/>
      <c r="N166" s="294"/>
      <c r="O166" s="8"/>
    </row>
    <row r="167" spans="1:15" x14ac:dyDescent="0.2">
      <c r="A167" s="288"/>
      <c r="B167" s="251" t="s">
        <v>441</v>
      </c>
      <c r="C167" s="276">
        <v>465</v>
      </c>
      <c r="D167" s="253">
        <v>63.618645161290274</v>
      </c>
      <c r="E167" s="253">
        <v>160.16489435625974</v>
      </c>
      <c r="F167" s="253">
        <f>D167*Q6</f>
        <v>21.23579659900243</v>
      </c>
      <c r="G167" s="254">
        <f>E167*Q6</f>
        <v>53.462771962955493</v>
      </c>
      <c r="H167" s="291"/>
      <c r="I167" s="294"/>
      <c r="K167" s="256">
        <f t="shared" si="3"/>
        <v>2.123579659900243E-3</v>
      </c>
      <c r="L167" s="257">
        <f t="shared" si="3"/>
        <v>5.3462771962955492E-3</v>
      </c>
      <c r="M167" s="297"/>
      <c r="N167" s="294"/>
      <c r="O167" s="8"/>
    </row>
    <row r="168" spans="1:15" x14ac:dyDescent="0.2">
      <c r="A168" s="288"/>
      <c r="B168" s="251" t="s">
        <v>442</v>
      </c>
      <c r="C168" s="276">
        <v>215</v>
      </c>
      <c r="D168" s="253">
        <v>180.6786046511628</v>
      </c>
      <c r="E168" s="253">
        <v>246.75571901620188</v>
      </c>
      <c r="F168" s="253">
        <f>D168*Q6</f>
        <v>60.310213907199952</v>
      </c>
      <c r="G168" s="254">
        <f>E168*Q6</f>
        <v>82.36664338549997</v>
      </c>
      <c r="H168" s="291"/>
      <c r="I168" s="294"/>
      <c r="K168" s="256">
        <f t="shared" si="3"/>
        <v>6.0310213907199955E-3</v>
      </c>
      <c r="L168" s="257">
        <f t="shared" si="3"/>
        <v>8.2366643385499965E-3</v>
      </c>
      <c r="M168" s="297"/>
      <c r="N168" s="294"/>
      <c r="O168" s="8"/>
    </row>
    <row r="169" spans="1:15" x14ac:dyDescent="0.2">
      <c r="A169" s="288"/>
      <c r="B169" s="251" t="s">
        <v>443</v>
      </c>
      <c r="C169" s="276">
        <v>432</v>
      </c>
      <c r="D169" s="253">
        <v>242.07592592592593</v>
      </c>
      <c r="E169" s="253">
        <v>369.69499609590576</v>
      </c>
      <c r="F169" s="253">
        <f>D169*Q6</f>
        <v>80.804536334358531</v>
      </c>
      <c r="G169" s="254">
        <f>E169*Q6</f>
        <v>123.40356700237575</v>
      </c>
      <c r="H169" s="291"/>
      <c r="I169" s="294"/>
      <c r="K169" s="256">
        <f t="shared" si="3"/>
        <v>8.0804536334358537E-3</v>
      </c>
      <c r="L169" s="257">
        <f t="shared" si="3"/>
        <v>1.2340356700237575E-2</v>
      </c>
      <c r="M169" s="297"/>
      <c r="N169" s="294"/>
      <c r="O169" s="8"/>
    </row>
    <row r="170" spans="1:15" x14ac:dyDescent="0.2">
      <c r="A170" s="288"/>
      <c r="B170" s="251" t="s">
        <v>444</v>
      </c>
      <c r="C170" s="276">
        <v>316</v>
      </c>
      <c r="D170" s="253">
        <v>63.409493670886057</v>
      </c>
      <c r="E170" s="253">
        <v>62.128468834688171</v>
      </c>
      <c r="F170" s="253">
        <f>D170*Q6</f>
        <v>21.165982183789062</v>
      </c>
      <c r="G170" s="254">
        <f>E170*Q6</f>
        <v>20.738378251155787</v>
      </c>
      <c r="H170" s="291"/>
      <c r="I170" s="294"/>
      <c r="K170" s="256">
        <f t="shared" si="3"/>
        <v>2.116598218378906E-3</v>
      </c>
      <c r="L170" s="257">
        <f t="shared" si="3"/>
        <v>2.0738378251155785E-3</v>
      </c>
      <c r="M170" s="297"/>
      <c r="N170" s="294"/>
      <c r="O170" s="8"/>
    </row>
    <row r="171" spans="1:15" x14ac:dyDescent="0.2">
      <c r="A171" s="288"/>
      <c r="B171" s="251" t="s">
        <v>445</v>
      </c>
      <c r="C171" s="276">
        <v>490</v>
      </c>
      <c r="D171" s="253">
        <v>119.93428571428571</v>
      </c>
      <c r="E171" s="253">
        <v>135.29030850228014</v>
      </c>
      <c r="F171" s="253">
        <f>D171*Q6</f>
        <v>40.0338625605456</v>
      </c>
      <c r="G171" s="254">
        <f>E171*Q6</f>
        <v>45.159677102316365</v>
      </c>
      <c r="H171" s="291"/>
      <c r="I171" s="294"/>
      <c r="K171" s="256">
        <f t="shared" si="3"/>
        <v>4.0033862560545598E-3</v>
      </c>
      <c r="L171" s="257">
        <f t="shared" si="3"/>
        <v>4.5159677102316366E-3</v>
      </c>
      <c r="M171" s="297"/>
      <c r="N171" s="294"/>
      <c r="O171" s="8"/>
    </row>
    <row r="172" spans="1:15" x14ac:dyDescent="0.2">
      <c r="A172" s="288"/>
      <c r="B172" s="251" t="s">
        <v>446</v>
      </c>
      <c r="C172" s="276">
        <v>186</v>
      </c>
      <c r="D172" s="253">
        <v>41.380967741935486</v>
      </c>
      <c r="E172" s="253">
        <v>65.97797146819849</v>
      </c>
      <c r="F172" s="253">
        <f>D172*Q6</f>
        <v>13.812897332373817</v>
      </c>
      <c r="G172" s="254">
        <f>E172*Q6</f>
        <v>22.023335746325611</v>
      </c>
      <c r="H172" s="291"/>
      <c r="I172" s="294"/>
      <c r="K172" s="256">
        <f t="shared" si="3"/>
        <v>1.3812897332373818E-3</v>
      </c>
      <c r="L172" s="257">
        <f t="shared" si="3"/>
        <v>2.202333574632561E-3</v>
      </c>
      <c r="M172" s="297"/>
      <c r="N172" s="294"/>
      <c r="O172" s="8"/>
    </row>
    <row r="173" spans="1:15" x14ac:dyDescent="0.2">
      <c r="A173" s="288"/>
      <c r="B173" s="251" t="s">
        <v>447</v>
      </c>
      <c r="C173" s="276">
        <v>170</v>
      </c>
      <c r="D173" s="253">
        <v>53.971176470588247</v>
      </c>
      <c r="E173" s="253">
        <v>169.28657906248424</v>
      </c>
      <c r="F173" s="253">
        <f>D173*Q6</f>
        <v>18.0154877997253</v>
      </c>
      <c r="G173" s="254">
        <f>E173*Q6</f>
        <v>56.507574953816395</v>
      </c>
      <c r="H173" s="291"/>
      <c r="I173" s="294"/>
      <c r="K173" s="256">
        <f t="shared" si="3"/>
        <v>1.80154877997253E-3</v>
      </c>
      <c r="L173" s="257">
        <f t="shared" si="3"/>
        <v>5.6507574953816395E-3</v>
      </c>
      <c r="M173" s="297"/>
      <c r="N173" s="294"/>
      <c r="O173" s="8"/>
    </row>
    <row r="174" spans="1:15" x14ac:dyDescent="0.2">
      <c r="A174" s="288"/>
      <c r="B174" s="251" t="s">
        <v>448</v>
      </c>
      <c r="C174" s="276">
        <v>731</v>
      </c>
      <c r="D174" s="253">
        <v>168.80679890560876</v>
      </c>
      <c r="E174" s="253">
        <v>228.5792099785028</v>
      </c>
      <c r="F174" s="253">
        <f>D174*Q6</f>
        <v>56.347425145567342</v>
      </c>
      <c r="G174" s="254">
        <f>E174*Q6</f>
        <v>76.299355284253664</v>
      </c>
      <c r="H174" s="291"/>
      <c r="I174" s="294"/>
      <c r="K174" s="256">
        <f t="shared" si="3"/>
        <v>5.6347425145567339E-3</v>
      </c>
      <c r="L174" s="257">
        <f t="shared" si="3"/>
        <v>7.6299355284253668E-3</v>
      </c>
      <c r="M174" s="297"/>
      <c r="N174" s="294"/>
      <c r="O174" s="8"/>
    </row>
    <row r="175" spans="1:15" x14ac:dyDescent="0.2">
      <c r="A175" s="288"/>
      <c r="B175" s="251" t="s">
        <v>449</v>
      </c>
      <c r="C175" s="276">
        <v>390</v>
      </c>
      <c r="D175" s="253">
        <v>149.73176923076926</v>
      </c>
      <c r="E175" s="253">
        <v>566.67000250046738</v>
      </c>
      <c r="F175" s="253">
        <f>D175*Q6</f>
        <v>49.980212369063572</v>
      </c>
      <c r="G175" s="254">
        <f>E175*Q6</f>
        <v>189.15349236607452</v>
      </c>
      <c r="H175" s="291"/>
      <c r="I175" s="294"/>
      <c r="K175" s="256">
        <f t="shared" si="3"/>
        <v>4.9980212369063574E-3</v>
      </c>
      <c r="L175" s="257">
        <f t="shared" si="3"/>
        <v>1.891534923660745E-2</v>
      </c>
      <c r="M175" s="297"/>
      <c r="N175" s="294"/>
      <c r="O175" s="8"/>
    </row>
    <row r="176" spans="1:15" x14ac:dyDescent="0.2">
      <c r="A176" s="288"/>
      <c r="B176" s="251" t="s">
        <v>450</v>
      </c>
      <c r="C176" s="276">
        <v>212</v>
      </c>
      <c r="D176" s="253">
        <v>192.21084905660379</v>
      </c>
      <c r="E176" s="253">
        <v>252.41305316446395</v>
      </c>
      <c r="F176" s="253">
        <f>D176*Q6</f>
        <v>64.159657665441756</v>
      </c>
      <c r="G176" s="254">
        <f>E176*Q6</f>
        <v>84.255051995279416</v>
      </c>
      <c r="H176" s="291"/>
      <c r="I176" s="294"/>
      <c r="K176" s="256">
        <f t="shared" si="3"/>
        <v>6.4159657665441754E-3</v>
      </c>
      <c r="L176" s="257">
        <f t="shared" si="3"/>
        <v>8.4255051995279408E-3</v>
      </c>
      <c r="M176" s="297"/>
      <c r="N176" s="294"/>
      <c r="O176" s="8"/>
    </row>
    <row r="177" spans="1:15" x14ac:dyDescent="0.2">
      <c r="A177" s="288"/>
      <c r="B177" s="251" t="s">
        <v>451</v>
      </c>
      <c r="C177" s="276">
        <v>545</v>
      </c>
      <c r="D177" s="253">
        <v>69.157889908256905</v>
      </c>
      <c r="E177" s="253">
        <v>131.86621526827494</v>
      </c>
      <c r="F177" s="253">
        <f>D177*Q6</f>
        <v>23.084787165532916</v>
      </c>
      <c r="G177" s="254">
        <f>E177*Q6</f>
        <v>44.016720548164557</v>
      </c>
      <c r="H177" s="291"/>
      <c r="I177" s="294"/>
      <c r="K177" s="256">
        <f t="shared" si="3"/>
        <v>2.3084787165532916E-3</v>
      </c>
      <c r="L177" s="257">
        <f t="shared" si="3"/>
        <v>4.4016720548164558E-3</v>
      </c>
      <c r="M177" s="297"/>
      <c r="N177" s="294"/>
      <c r="O177" s="8"/>
    </row>
    <row r="178" spans="1:15" x14ac:dyDescent="0.2">
      <c r="A178" s="288"/>
      <c r="B178" s="251" t="s">
        <v>452</v>
      </c>
      <c r="C178" s="276">
        <v>81</v>
      </c>
      <c r="D178" s="253">
        <v>35.193827160493825</v>
      </c>
      <c r="E178" s="253">
        <v>15.380046697580379</v>
      </c>
      <c r="F178" s="253">
        <f>D178*Q6</f>
        <v>11.747640227576586</v>
      </c>
      <c r="G178" s="254">
        <f>E178*Q6</f>
        <v>5.1338336823259683</v>
      </c>
      <c r="H178" s="291"/>
      <c r="I178" s="294"/>
      <c r="K178" s="256">
        <f t="shared" si="3"/>
        <v>1.1747640227576586E-3</v>
      </c>
      <c r="L178" s="257">
        <f t="shared" si="3"/>
        <v>5.1338336823259683E-4</v>
      </c>
      <c r="M178" s="297"/>
      <c r="N178" s="294"/>
      <c r="O178" s="8"/>
    </row>
    <row r="179" spans="1:15" ht="17" thickBot="1" x14ac:dyDescent="0.25">
      <c r="A179" s="289"/>
      <c r="B179" s="262" t="s">
        <v>453</v>
      </c>
      <c r="C179" s="200">
        <v>1018</v>
      </c>
      <c r="D179" s="264">
        <v>191.44329076620824</v>
      </c>
      <c r="E179" s="264">
        <v>341.06516999562626</v>
      </c>
      <c r="F179" s="264">
        <f>D179*Q6</f>
        <v>63.903448000941758</v>
      </c>
      <c r="G179" s="265">
        <f>E179*Q6</f>
        <v>113.84697927264712</v>
      </c>
      <c r="H179" s="292"/>
      <c r="I179" s="295"/>
      <c r="K179" s="256">
        <f t="shared" si="3"/>
        <v>6.3903448000941759E-3</v>
      </c>
      <c r="L179" s="257">
        <f t="shared" si="3"/>
        <v>1.1384697927264712E-2</v>
      </c>
      <c r="M179" s="297"/>
      <c r="N179" s="295"/>
      <c r="O179" s="8"/>
    </row>
    <row r="180" spans="1:15" x14ac:dyDescent="0.2">
      <c r="A180" s="287" t="s">
        <v>454</v>
      </c>
      <c r="B180" s="240" t="s">
        <v>455</v>
      </c>
      <c r="C180" s="275">
        <v>629</v>
      </c>
      <c r="D180" s="243">
        <v>19.05828298887122</v>
      </c>
      <c r="E180" s="243">
        <v>81.117517769501518</v>
      </c>
      <c r="F180" s="243">
        <f>D180*Q6</f>
        <v>6.3616227609347771</v>
      </c>
      <c r="G180" s="244">
        <f>E180*Q6</f>
        <v>27.076890801460177</v>
      </c>
      <c r="H180" s="290">
        <f>AVERAGE(F180:F196)</f>
        <v>15.172829102158296</v>
      </c>
      <c r="I180" s="293">
        <f>AVERAGE(G180:G196)</f>
        <v>25.646671703333638</v>
      </c>
      <c r="J180" s="245"/>
      <c r="K180" s="246">
        <f t="shared" si="3"/>
        <v>6.3616227609347774E-4</v>
      </c>
      <c r="L180" s="247">
        <f t="shared" si="3"/>
        <v>2.7076890801460175E-3</v>
      </c>
      <c r="M180" s="303">
        <f>AVERAGE(K180:K196)</f>
        <v>1.51728291021583E-3</v>
      </c>
      <c r="N180" s="299">
        <f>AVERAGE(L180:L196)</f>
        <v>2.5646671703333629E-3</v>
      </c>
      <c r="O180" s="248"/>
    </row>
    <row r="181" spans="1:15" x14ac:dyDescent="0.2">
      <c r="A181" s="288"/>
      <c r="B181" s="251" t="s">
        <v>456</v>
      </c>
      <c r="C181" s="276">
        <v>406</v>
      </c>
      <c r="D181" s="253">
        <v>54.512881773399016</v>
      </c>
      <c r="E181" s="253">
        <v>92.82719140169398</v>
      </c>
      <c r="F181" s="253">
        <f>D181*Q6</f>
        <v>18.196308117384156</v>
      </c>
      <c r="G181" s="254">
        <f>E181*Q6</f>
        <v>30.985560136739334</v>
      </c>
      <c r="H181" s="291"/>
      <c r="I181" s="294"/>
      <c r="K181" s="256">
        <f t="shared" si="3"/>
        <v>1.8196308117384157E-3</v>
      </c>
      <c r="L181" s="257">
        <f t="shared" si="3"/>
        <v>3.0985560136739332E-3</v>
      </c>
      <c r="M181" s="304"/>
      <c r="N181" s="294"/>
      <c r="O181" s="8"/>
    </row>
    <row r="182" spans="1:15" x14ac:dyDescent="0.2">
      <c r="A182" s="288"/>
      <c r="B182" s="251" t="s">
        <v>457</v>
      </c>
      <c r="C182" s="276">
        <v>464</v>
      </c>
      <c r="D182" s="253">
        <v>143.97280172413798</v>
      </c>
      <c r="E182" s="253">
        <v>213.11899470182507</v>
      </c>
      <c r="F182" s="253">
        <f>D182*Q6</f>
        <v>48.057878715446265</v>
      </c>
      <c r="G182" s="254">
        <f>E182*Q6</f>
        <v>71.138761465256664</v>
      </c>
      <c r="H182" s="291"/>
      <c r="I182" s="294"/>
      <c r="K182" s="256">
        <f t="shared" si="3"/>
        <v>4.8057878715446261E-3</v>
      </c>
      <c r="L182" s="257">
        <f t="shared" si="3"/>
        <v>7.1138761465256665E-3</v>
      </c>
      <c r="M182" s="304"/>
      <c r="N182" s="294"/>
      <c r="O182" s="8"/>
    </row>
    <row r="183" spans="1:15" x14ac:dyDescent="0.2">
      <c r="A183" s="288"/>
      <c r="B183" s="251" t="s">
        <v>458</v>
      </c>
      <c r="C183" s="276">
        <v>533</v>
      </c>
      <c r="D183" s="253">
        <v>30.97512195121951</v>
      </c>
      <c r="E183" s="253">
        <v>106.85147799208136</v>
      </c>
      <c r="F183" s="253">
        <f>D183*Q6</f>
        <v>10.339443534481772</v>
      </c>
      <c r="G183" s="254">
        <f>E183*Q6</f>
        <v>35.66684337885394</v>
      </c>
      <c r="H183" s="291"/>
      <c r="I183" s="294"/>
      <c r="K183" s="256">
        <f t="shared" si="3"/>
        <v>1.0339443534481772E-3</v>
      </c>
      <c r="L183" s="257">
        <f t="shared" si="3"/>
        <v>3.5666843378853942E-3</v>
      </c>
      <c r="M183" s="304"/>
      <c r="N183" s="294"/>
      <c r="O183" s="8"/>
    </row>
    <row r="184" spans="1:15" x14ac:dyDescent="0.2">
      <c r="A184" s="288"/>
      <c r="B184" s="251" t="s">
        <v>459</v>
      </c>
      <c r="C184" s="276">
        <v>652</v>
      </c>
      <c r="D184" s="253">
        <v>14.828466257668714</v>
      </c>
      <c r="E184" s="253">
        <v>18.163715018303407</v>
      </c>
      <c r="F184" s="253">
        <f>D184*Q6</f>
        <v>4.9497170605359848</v>
      </c>
      <c r="G184" s="254">
        <f>E184*Q6</f>
        <v>6.0630174791215863</v>
      </c>
      <c r="H184" s="291"/>
      <c r="I184" s="294"/>
      <c r="K184" s="256">
        <f t="shared" si="3"/>
        <v>4.9497170605359848E-4</v>
      </c>
      <c r="L184" s="257">
        <f t="shared" si="3"/>
        <v>6.0630174791215859E-4</v>
      </c>
      <c r="M184" s="304"/>
      <c r="N184" s="294"/>
      <c r="O184" s="8"/>
    </row>
    <row r="185" spans="1:15" x14ac:dyDescent="0.2">
      <c r="A185" s="288"/>
      <c r="B185" s="251" t="s">
        <v>460</v>
      </c>
      <c r="C185" s="276">
        <v>529</v>
      </c>
      <c r="D185" s="253">
        <v>11.056767485822308</v>
      </c>
      <c r="E185" s="253">
        <v>92.423883719339074</v>
      </c>
      <c r="F185" s="253">
        <f>D185*Q6</f>
        <v>3.6907303633409216</v>
      </c>
      <c r="G185" s="254">
        <f>E185*Q6</f>
        <v>30.850936711679111</v>
      </c>
      <c r="H185" s="291"/>
      <c r="I185" s="294"/>
      <c r="K185" s="256">
        <f t="shared" si="3"/>
        <v>3.6907303633409218E-4</v>
      </c>
      <c r="L185" s="257">
        <f t="shared" si="3"/>
        <v>3.0850936711679113E-3</v>
      </c>
      <c r="M185" s="304"/>
      <c r="N185" s="294"/>
      <c r="O185" s="8"/>
    </row>
    <row r="186" spans="1:15" x14ac:dyDescent="0.2">
      <c r="A186" s="288"/>
      <c r="B186" s="251" t="s">
        <v>461</v>
      </c>
      <c r="C186" s="276">
        <v>299</v>
      </c>
      <c r="D186" s="253">
        <v>116.73709030100335</v>
      </c>
      <c r="E186" s="253">
        <v>233.10019486234009</v>
      </c>
      <c r="F186" s="253">
        <f>D186*Q6</f>
        <v>38.96664411677655</v>
      </c>
      <c r="G186" s="254">
        <f>F186*Q6</f>
        <v>13.007000172853083</v>
      </c>
      <c r="H186" s="291"/>
      <c r="I186" s="294"/>
      <c r="K186" s="256">
        <f t="shared" si="3"/>
        <v>3.8966644116776548E-3</v>
      </c>
      <c r="L186" s="257">
        <f t="shared" si="3"/>
        <v>1.3007000172853083E-3</v>
      </c>
      <c r="M186" s="304"/>
      <c r="N186" s="294"/>
      <c r="O186" s="8"/>
    </row>
    <row r="187" spans="1:15" x14ac:dyDescent="0.2">
      <c r="A187" s="288"/>
      <c r="B187" s="251" t="s">
        <v>462</v>
      </c>
      <c r="C187" s="276">
        <v>302</v>
      </c>
      <c r="D187" s="253">
        <v>4.6258443708609294</v>
      </c>
      <c r="E187" s="253">
        <v>5.991103852189986</v>
      </c>
      <c r="F187" s="253">
        <f>D187*Q6</f>
        <v>1.5440990594690425</v>
      </c>
      <c r="G187" s="254">
        <f>E187*Q6</f>
        <v>1.9998203747667824</v>
      </c>
      <c r="H187" s="291"/>
      <c r="I187" s="294"/>
      <c r="K187" s="256">
        <f t="shared" si="3"/>
        <v>1.5440990594690424E-4</v>
      </c>
      <c r="L187" s="257">
        <f t="shared" si="3"/>
        <v>1.9998203747667825E-4</v>
      </c>
      <c r="M187" s="304"/>
      <c r="N187" s="294"/>
      <c r="O187" s="8"/>
    </row>
    <row r="188" spans="1:15" x14ac:dyDescent="0.2">
      <c r="A188" s="288"/>
      <c r="B188" s="251" t="s">
        <v>463</v>
      </c>
      <c r="C188" s="276">
        <v>340</v>
      </c>
      <c r="D188" s="253">
        <v>27.782923529411757</v>
      </c>
      <c r="E188" s="253">
        <v>100.1776117628161</v>
      </c>
      <c r="F188" s="253">
        <f>D188*Q6</f>
        <v>9.2738930780502802</v>
      </c>
      <c r="G188" s="254">
        <f>E188*Q6</f>
        <v>33.439118072627785</v>
      </c>
      <c r="H188" s="291"/>
      <c r="I188" s="294"/>
      <c r="K188" s="256">
        <f t="shared" si="3"/>
        <v>9.2738930780502803E-4</v>
      </c>
      <c r="L188" s="257">
        <f t="shared" si="3"/>
        <v>3.3439118072627785E-3</v>
      </c>
      <c r="M188" s="304"/>
      <c r="N188" s="294"/>
      <c r="O188" s="8"/>
    </row>
    <row r="189" spans="1:15" x14ac:dyDescent="0.2">
      <c r="A189" s="288"/>
      <c r="B189" s="251" t="s">
        <v>464</v>
      </c>
      <c r="C189" s="276">
        <v>270</v>
      </c>
      <c r="D189" s="253">
        <v>189.54596296296299</v>
      </c>
      <c r="E189" s="253">
        <v>232.75899747102383</v>
      </c>
      <c r="F189" s="253">
        <f>D189*Q6</f>
        <v>63.270123175975762</v>
      </c>
      <c r="G189" s="254">
        <f>E189*Q6</f>
        <v>77.694561309047145</v>
      </c>
      <c r="H189" s="291"/>
      <c r="I189" s="294"/>
      <c r="K189" s="256">
        <f t="shared" si="3"/>
        <v>6.3270123175975758E-3</v>
      </c>
      <c r="L189" s="257">
        <f t="shared" si="3"/>
        <v>7.7694561309047143E-3</v>
      </c>
      <c r="M189" s="304"/>
      <c r="N189" s="294"/>
      <c r="O189" s="8"/>
    </row>
    <row r="190" spans="1:15" x14ac:dyDescent="0.2">
      <c r="A190" s="288"/>
      <c r="B190" s="251" t="s">
        <v>465</v>
      </c>
      <c r="C190" s="276">
        <v>308</v>
      </c>
      <c r="D190" s="253">
        <v>6.1699999999999955</v>
      </c>
      <c r="E190" s="253">
        <v>5.8301339512270944</v>
      </c>
      <c r="F190" s="253">
        <f>D190*Q6</f>
        <v>2.0595356075826801</v>
      </c>
      <c r="G190" s="254">
        <f>E190*Q6</f>
        <v>1.9460888929544431</v>
      </c>
      <c r="H190" s="291"/>
      <c r="I190" s="294"/>
      <c r="K190" s="256">
        <f t="shared" si="3"/>
        <v>2.0595356075826801E-4</v>
      </c>
      <c r="L190" s="257">
        <f t="shared" si="3"/>
        <v>1.9460888929544431E-4</v>
      </c>
      <c r="M190" s="304"/>
      <c r="N190" s="294"/>
      <c r="O190" s="8"/>
    </row>
    <row r="191" spans="1:15" x14ac:dyDescent="0.2">
      <c r="A191" s="288"/>
      <c r="B191" s="251" t="s">
        <v>466</v>
      </c>
      <c r="C191" s="276">
        <v>114</v>
      </c>
      <c r="D191" s="253">
        <v>52.468421052631584</v>
      </c>
      <c r="E191" s="253">
        <v>105.84526508468716</v>
      </c>
      <c r="F191" s="253">
        <f>D191*Q6</f>
        <v>17.513870572372049</v>
      </c>
      <c r="G191" s="254">
        <f>E191*Q6</f>
        <v>35.330971205176851</v>
      </c>
      <c r="H191" s="291"/>
      <c r="I191" s="294"/>
      <c r="K191" s="256">
        <f t="shared" si="3"/>
        <v>1.7513870572372049E-3</v>
      </c>
      <c r="L191" s="257">
        <f t="shared" si="3"/>
        <v>3.533097120517685E-3</v>
      </c>
      <c r="M191" s="304"/>
      <c r="N191" s="294"/>
      <c r="O191" s="8"/>
    </row>
    <row r="192" spans="1:15" x14ac:dyDescent="0.2">
      <c r="A192" s="288"/>
      <c r="B192" s="251" t="s">
        <v>467</v>
      </c>
      <c r="C192" s="276">
        <v>360</v>
      </c>
      <c r="D192" s="253">
        <v>13.768805555555554</v>
      </c>
      <c r="E192" s="253">
        <v>17.023123286414918</v>
      </c>
      <c r="F192" s="253">
        <f>D192*Q6</f>
        <v>4.5960041030063064</v>
      </c>
      <c r="G192" s="254">
        <f>E192*Q6</f>
        <v>5.682289880168792</v>
      </c>
      <c r="H192" s="291"/>
      <c r="I192" s="294"/>
      <c r="K192" s="256">
        <f t="shared" si="3"/>
        <v>4.5960041030063066E-4</v>
      </c>
      <c r="L192" s="257">
        <f t="shared" si="3"/>
        <v>5.6822898801687919E-4</v>
      </c>
      <c r="M192" s="304"/>
      <c r="N192" s="294"/>
      <c r="O192" s="8"/>
    </row>
    <row r="193" spans="1:15" x14ac:dyDescent="0.2">
      <c r="A193" s="288"/>
      <c r="B193" s="251" t="s">
        <v>468</v>
      </c>
      <c r="C193" s="276">
        <v>707</v>
      </c>
      <c r="D193" s="253">
        <v>10.724958981612446</v>
      </c>
      <c r="E193" s="253">
        <v>39.147808446972682</v>
      </c>
      <c r="F193" s="253">
        <f>D193*Q6</f>
        <v>3.5799732435161307</v>
      </c>
      <c r="G193" s="254">
        <f>E193*Q6</f>
        <v>13.067472521129064</v>
      </c>
      <c r="H193" s="291"/>
      <c r="I193" s="294"/>
      <c r="K193" s="256">
        <f t="shared" si="3"/>
        <v>3.5799732435161304E-4</v>
      </c>
      <c r="L193" s="257">
        <f t="shared" si="3"/>
        <v>1.3067472521129063E-3</v>
      </c>
      <c r="M193" s="304"/>
      <c r="N193" s="294"/>
      <c r="O193" s="8"/>
    </row>
    <row r="194" spans="1:15" x14ac:dyDescent="0.2">
      <c r="A194" s="288"/>
      <c r="B194" s="251" t="s">
        <v>469</v>
      </c>
      <c r="C194" s="276">
        <v>224</v>
      </c>
      <c r="D194" s="253">
        <v>12.038839285714289</v>
      </c>
      <c r="E194" s="253">
        <v>22.902289123080994</v>
      </c>
      <c r="F194" s="253">
        <f>D194*Q6</f>
        <v>4.018544275995759</v>
      </c>
      <c r="G194" s="254">
        <f>E194*Q6</f>
        <v>7.6447455338960868</v>
      </c>
      <c r="H194" s="291"/>
      <c r="I194" s="294"/>
      <c r="K194" s="256">
        <f t="shared" si="3"/>
        <v>4.0185442759957591E-4</v>
      </c>
      <c r="L194" s="257">
        <f t="shared" si="3"/>
        <v>7.6447455338960867E-4</v>
      </c>
      <c r="M194" s="304"/>
      <c r="N194" s="294"/>
      <c r="O194" s="8"/>
    </row>
    <row r="195" spans="1:15" x14ac:dyDescent="0.2">
      <c r="A195" s="288"/>
      <c r="B195" s="251" t="s">
        <v>470</v>
      </c>
      <c r="C195" s="276">
        <v>194</v>
      </c>
      <c r="D195" s="253">
        <v>50.272783505154671</v>
      </c>
      <c r="E195" s="253">
        <v>113.85787608512683</v>
      </c>
      <c r="F195" s="253">
        <f>D195*Q6</f>
        <v>16.780970457238467</v>
      </c>
      <c r="G195" s="254">
        <f>E195*Q6</f>
        <v>38.005567261111082</v>
      </c>
      <c r="H195" s="291"/>
      <c r="I195" s="294"/>
      <c r="K195" s="256">
        <f t="shared" si="3"/>
        <v>1.6780970457238467E-3</v>
      </c>
      <c r="L195" s="257">
        <f t="shared" si="3"/>
        <v>3.8005567261111084E-3</v>
      </c>
      <c r="M195" s="304"/>
      <c r="N195" s="294"/>
      <c r="O195" s="8"/>
    </row>
    <row r="196" spans="1:15" ht="17" thickBot="1" x14ac:dyDescent="0.25">
      <c r="A196" s="289"/>
      <c r="B196" s="262" t="s">
        <v>471</v>
      </c>
      <c r="C196" s="200">
        <v>192</v>
      </c>
      <c r="D196" s="264">
        <v>14.196406250000001</v>
      </c>
      <c r="E196" s="264">
        <v>19.154601626166318</v>
      </c>
      <c r="F196" s="264">
        <f>D196*Q6</f>
        <v>4.7387364945841703</v>
      </c>
      <c r="G196" s="265">
        <f>E196*Q6</f>
        <v>6.39377375982993</v>
      </c>
      <c r="H196" s="292"/>
      <c r="I196" s="295"/>
      <c r="J196" s="266"/>
      <c r="K196" s="267">
        <f t="shared" ref="K196:L254" si="4">F196/10000</f>
        <v>4.7387364945841704E-4</v>
      </c>
      <c r="L196" s="268">
        <f t="shared" si="4"/>
        <v>6.39377375982993E-4</v>
      </c>
      <c r="M196" s="305"/>
      <c r="N196" s="294"/>
      <c r="O196" s="8"/>
    </row>
    <row r="197" spans="1:15" x14ac:dyDescent="0.2">
      <c r="A197" s="287" t="s">
        <v>472</v>
      </c>
      <c r="B197" s="240" t="s">
        <v>473</v>
      </c>
      <c r="C197" s="275">
        <v>296</v>
      </c>
      <c r="D197" s="243">
        <v>325.55027027027029</v>
      </c>
      <c r="E197" s="243">
        <v>484.96501927171499</v>
      </c>
      <c r="F197" s="243">
        <f>D197*Q6</f>
        <v>108.66813187678888</v>
      </c>
      <c r="G197" s="244">
        <f>E197*Q6</f>
        <v>161.88050658381175</v>
      </c>
      <c r="H197" s="290">
        <f>AVERAGE(F197:F216)</f>
        <v>56.247723010093445</v>
      </c>
      <c r="I197" s="293">
        <f>AVERAGE(G197:G216)</f>
        <v>106.34272240484491</v>
      </c>
      <c r="J197" s="245"/>
      <c r="K197" s="246">
        <f t="shared" si="4"/>
        <v>1.0866813187678888E-2</v>
      </c>
      <c r="L197" s="247">
        <f t="shared" si="4"/>
        <v>1.6188050658381175E-2</v>
      </c>
      <c r="M197" s="296">
        <f>AVERAGE(K197:K216)</f>
        <v>5.624772301009346E-3</v>
      </c>
      <c r="N197" s="299">
        <f>AVERAGE(L197:L216)</f>
        <v>1.063427224048449E-2</v>
      </c>
      <c r="O197" s="248"/>
    </row>
    <row r="198" spans="1:15" x14ac:dyDescent="0.2">
      <c r="A198" s="288"/>
      <c r="B198" s="251" t="s">
        <v>474</v>
      </c>
      <c r="C198" s="276">
        <v>567</v>
      </c>
      <c r="D198" s="253">
        <v>122.18940035273366</v>
      </c>
      <c r="E198" s="253">
        <v>206.28558566205396</v>
      </c>
      <c r="F198" s="253">
        <f>D198*Q6</f>
        <v>40.786616028465289</v>
      </c>
      <c r="G198" s="254">
        <f>E198*Q6</f>
        <v>68.857781037609016</v>
      </c>
      <c r="H198" s="291"/>
      <c r="I198" s="294"/>
      <c r="K198" s="256">
        <f t="shared" si="4"/>
        <v>4.0786616028465287E-3</v>
      </c>
      <c r="L198" s="257">
        <f t="shared" si="4"/>
        <v>6.8857781037609013E-3</v>
      </c>
      <c r="M198" s="297"/>
      <c r="N198" s="294"/>
      <c r="O198" s="8"/>
    </row>
    <row r="199" spans="1:15" x14ac:dyDescent="0.2">
      <c r="A199" s="288"/>
      <c r="B199" s="251" t="s">
        <v>475</v>
      </c>
      <c r="C199" s="276">
        <v>3841</v>
      </c>
      <c r="D199" s="253">
        <v>353.51797448581124</v>
      </c>
      <c r="E199" s="253">
        <v>660.09564473919727</v>
      </c>
      <c r="F199" s="253">
        <f>D199*Q6</f>
        <v>118.00370443663439</v>
      </c>
      <c r="G199" s="254">
        <f>E199*Q6</f>
        <v>220.33881438421793</v>
      </c>
      <c r="H199" s="291"/>
      <c r="I199" s="294"/>
      <c r="K199" s="256">
        <f t="shared" si="4"/>
        <v>1.1800370443663439E-2</v>
      </c>
      <c r="L199" s="257">
        <f t="shared" si="4"/>
        <v>2.2033881438421794E-2</v>
      </c>
      <c r="M199" s="297"/>
      <c r="N199" s="294"/>
      <c r="O199" s="8"/>
    </row>
    <row r="200" spans="1:15" x14ac:dyDescent="0.2">
      <c r="A200" s="288"/>
      <c r="B200" s="251" t="s">
        <v>476</v>
      </c>
      <c r="C200" s="276">
        <v>1045</v>
      </c>
      <c r="D200" s="253">
        <v>285.72040191387566</v>
      </c>
      <c r="E200" s="253">
        <v>583.54727930964179</v>
      </c>
      <c r="F200" s="253">
        <f>D200*Q6</f>
        <v>95.372988906719925</v>
      </c>
      <c r="G200" s="254">
        <f>E200*Q6</f>
        <v>194.78709893779643</v>
      </c>
      <c r="H200" s="291"/>
      <c r="I200" s="294"/>
      <c r="K200" s="256">
        <f t="shared" si="4"/>
        <v>9.5372988906719924E-3</v>
      </c>
      <c r="L200" s="257">
        <f t="shared" si="4"/>
        <v>1.9478709893779644E-2</v>
      </c>
      <c r="M200" s="297"/>
      <c r="N200" s="294"/>
      <c r="O200" s="8"/>
    </row>
    <row r="201" spans="1:15" x14ac:dyDescent="0.2">
      <c r="A201" s="288"/>
      <c r="B201" s="251" t="s">
        <v>477</v>
      </c>
      <c r="C201" s="276">
        <v>404</v>
      </c>
      <c r="D201" s="253">
        <v>138.11014851485149</v>
      </c>
      <c r="E201" s="253">
        <v>227.39133400401775</v>
      </c>
      <c r="F201" s="253">
        <f>D201*Q6</f>
        <v>46.100934948925293</v>
      </c>
      <c r="G201" s="254">
        <f>E201*Q6</f>
        <v>75.90284428476518</v>
      </c>
      <c r="H201" s="291"/>
      <c r="I201" s="294"/>
      <c r="K201" s="256">
        <f t="shared" si="4"/>
        <v>4.6100934948925289E-3</v>
      </c>
      <c r="L201" s="257">
        <f t="shared" si="4"/>
        <v>7.5902844284765182E-3</v>
      </c>
      <c r="M201" s="297"/>
      <c r="N201" s="294"/>
      <c r="O201" s="8"/>
    </row>
    <row r="202" spans="1:15" x14ac:dyDescent="0.2">
      <c r="A202" s="288"/>
      <c r="B202" s="251" t="s">
        <v>478</v>
      </c>
      <c r="C202" s="276">
        <v>1224</v>
      </c>
      <c r="D202" s="253">
        <v>103.02343954248367</v>
      </c>
      <c r="E202" s="253">
        <v>186.83868295648023</v>
      </c>
      <c r="F202" s="253">
        <f>D202*Q6</f>
        <v>34.389050592121031</v>
      </c>
      <c r="G202" s="254">
        <f>E202*Q6</f>
        <v>62.366437669809159</v>
      </c>
      <c r="H202" s="291"/>
      <c r="I202" s="294"/>
      <c r="K202" s="256">
        <f t="shared" si="4"/>
        <v>3.438905059212103E-3</v>
      </c>
      <c r="L202" s="257">
        <f t="shared" si="4"/>
        <v>6.2366437669809155E-3</v>
      </c>
      <c r="M202" s="297"/>
      <c r="N202" s="294"/>
      <c r="O202" s="8"/>
    </row>
    <row r="203" spans="1:15" x14ac:dyDescent="0.2">
      <c r="A203" s="288"/>
      <c r="B203" s="251" t="s">
        <v>479</v>
      </c>
      <c r="C203" s="276">
        <v>183</v>
      </c>
      <c r="D203" s="253">
        <v>18.805956284153005</v>
      </c>
      <c r="E203" s="253">
        <v>74.972502146213657</v>
      </c>
      <c r="F203" s="253">
        <f>D203*Q6</f>
        <v>6.2773965319054152</v>
      </c>
      <c r="G203" s="254">
        <f>E203*Q6</f>
        <v>25.025694936741662</v>
      </c>
      <c r="H203" s="291"/>
      <c r="I203" s="294"/>
      <c r="K203" s="256">
        <f t="shared" si="4"/>
        <v>6.2773965319054157E-4</v>
      </c>
      <c r="L203" s="257">
        <f t="shared" si="4"/>
        <v>2.5025694936741663E-3</v>
      </c>
      <c r="M203" s="297"/>
      <c r="N203" s="294"/>
      <c r="O203" s="8"/>
    </row>
    <row r="204" spans="1:15" x14ac:dyDescent="0.2">
      <c r="A204" s="288"/>
      <c r="B204" s="251" t="s">
        <v>480</v>
      </c>
      <c r="C204" s="276">
        <v>531</v>
      </c>
      <c r="D204" s="253">
        <v>50.208192090395471</v>
      </c>
      <c r="E204" s="253">
        <v>87.370608639769628</v>
      </c>
      <c r="F204" s="253">
        <f>D204*Q6</f>
        <v>16.759409951786164</v>
      </c>
      <c r="G204" s="254">
        <f>E204*Q6</f>
        <v>29.164162001584543</v>
      </c>
      <c r="H204" s="291"/>
      <c r="I204" s="294"/>
      <c r="K204" s="256">
        <f t="shared" si="4"/>
        <v>1.6759409951786165E-3</v>
      </c>
      <c r="L204" s="257">
        <f t="shared" si="4"/>
        <v>2.9164162001584543E-3</v>
      </c>
      <c r="M204" s="297"/>
      <c r="N204" s="294"/>
      <c r="O204" s="8"/>
    </row>
    <row r="205" spans="1:15" x14ac:dyDescent="0.2">
      <c r="A205" s="288"/>
      <c r="B205" s="251" t="s">
        <v>481</v>
      </c>
      <c r="C205" s="276">
        <v>592</v>
      </c>
      <c r="D205" s="253">
        <v>117.57673986486483</v>
      </c>
      <c r="E205" s="253">
        <v>238.91011965121155</v>
      </c>
      <c r="F205" s="253">
        <f>D205*Q6</f>
        <v>39.246917726932786</v>
      </c>
      <c r="G205" s="254">
        <f>E205*Q6</f>
        <v>79.747795532173285</v>
      </c>
      <c r="H205" s="291"/>
      <c r="I205" s="294"/>
      <c r="K205" s="256">
        <f t="shared" si="4"/>
        <v>3.9246917726932784E-3</v>
      </c>
      <c r="L205" s="257">
        <f t="shared" si="4"/>
        <v>7.9747795532173291E-3</v>
      </c>
      <c r="M205" s="297"/>
      <c r="N205" s="294"/>
      <c r="O205" s="8"/>
    </row>
    <row r="206" spans="1:15" x14ac:dyDescent="0.2">
      <c r="A206" s="288"/>
      <c r="B206" s="251" t="s">
        <v>482</v>
      </c>
      <c r="C206" s="276">
        <v>211</v>
      </c>
      <c r="D206" s="253">
        <v>229.73412322274879</v>
      </c>
      <c r="E206" s="253">
        <v>374.51901201479359</v>
      </c>
      <c r="F206" s="253">
        <f>D206*Q6</f>
        <v>76.684863379909004</v>
      </c>
      <c r="G206" s="254">
        <f>F206*Q6</f>
        <v>25.597278232339679</v>
      </c>
      <c r="H206" s="291"/>
      <c r="I206" s="294"/>
      <c r="K206" s="256">
        <f t="shared" si="4"/>
        <v>7.6684863379909004E-3</v>
      </c>
      <c r="L206" s="257">
        <f t="shared" si="4"/>
        <v>2.5597278232339679E-3</v>
      </c>
      <c r="M206" s="297"/>
      <c r="N206" s="294"/>
      <c r="O206" s="8"/>
    </row>
    <row r="207" spans="1:15" x14ac:dyDescent="0.2">
      <c r="A207" s="288"/>
      <c r="B207" s="251" t="s">
        <v>483</v>
      </c>
      <c r="C207" s="276">
        <v>1197</v>
      </c>
      <c r="D207" s="253">
        <v>503.55031746031744</v>
      </c>
      <c r="E207" s="253">
        <v>870.17965337714702</v>
      </c>
      <c r="F207" s="253">
        <f>D207*Q6</f>
        <v>168.08424781508705</v>
      </c>
      <c r="G207" s="254">
        <f>E207*Q6</f>
        <v>290.46450261332086</v>
      </c>
      <c r="H207" s="291"/>
      <c r="I207" s="294"/>
      <c r="K207" s="256">
        <f t="shared" si="4"/>
        <v>1.6808424781508704E-2</v>
      </c>
      <c r="L207" s="257">
        <f t="shared" si="4"/>
        <v>2.9046450261332086E-2</v>
      </c>
      <c r="M207" s="297"/>
      <c r="N207" s="294"/>
      <c r="O207" s="8"/>
    </row>
    <row r="208" spans="1:15" x14ac:dyDescent="0.2">
      <c r="A208" s="288"/>
      <c r="B208" s="251" t="s">
        <v>484</v>
      </c>
      <c r="C208" s="276">
        <v>320</v>
      </c>
      <c r="D208" s="253">
        <v>179.90259374999999</v>
      </c>
      <c r="E208" s="253">
        <v>266.96736559127129</v>
      </c>
      <c r="F208" s="253">
        <f>D208*Q6</f>
        <v>60.051182775462976</v>
      </c>
      <c r="G208" s="254">
        <f>E208*Q6</f>
        <v>89.113256968843885</v>
      </c>
      <c r="H208" s="291"/>
      <c r="I208" s="294"/>
      <c r="K208" s="256">
        <f t="shared" si="4"/>
        <v>6.0051182775462978E-3</v>
      </c>
      <c r="L208" s="257">
        <f t="shared" si="4"/>
        <v>8.9113256968843882E-3</v>
      </c>
      <c r="M208" s="297"/>
      <c r="N208" s="294"/>
      <c r="O208" s="8"/>
    </row>
    <row r="209" spans="1:15" x14ac:dyDescent="0.2">
      <c r="A209" s="288"/>
      <c r="B209" s="251" t="s">
        <v>485</v>
      </c>
      <c r="C209" s="276">
        <v>248</v>
      </c>
      <c r="D209" s="253">
        <v>128.29375000000002</v>
      </c>
      <c r="E209" s="253">
        <v>239.86694253081009</v>
      </c>
      <c r="F209" s="253">
        <f>D209*Q6</f>
        <v>42.824237658883419</v>
      </c>
      <c r="G209" s="254">
        <f>E209*Q6</f>
        <v>80.067181397762099</v>
      </c>
      <c r="H209" s="291"/>
      <c r="I209" s="294"/>
      <c r="K209" s="256">
        <f t="shared" si="4"/>
        <v>4.2824237658883419E-3</v>
      </c>
      <c r="L209" s="257">
        <f t="shared" si="4"/>
        <v>8.0067181397762092E-3</v>
      </c>
      <c r="M209" s="297"/>
      <c r="N209" s="294"/>
      <c r="O209" s="8"/>
    </row>
    <row r="210" spans="1:15" x14ac:dyDescent="0.2">
      <c r="A210" s="288"/>
      <c r="B210" s="251" t="s">
        <v>486</v>
      </c>
      <c r="C210" s="276">
        <v>244</v>
      </c>
      <c r="D210" s="253">
        <v>146.72737704918032</v>
      </c>
      <c r="E210" s="253">
        <v>416.97863002905888</v>
      </c>
      <c r="F210" s="253">
        <f>D210*Q6</f>
        <v>48.977351319286356</v>
      </c>
      <c r="G210" s="254">
        <f>E210*Q6</f>
        <v>139.18676436724343</v>
      </c>
      <c r="H210" s="291"/>
      <c r="I210" s="294"/>
      <c r="K210" s="256">
        <f t="shared" si="4"/>
        <v>4.8977351319286358E-3</v>
      </c>
      <c r="L210" s="257">
        <f t="shared" si="4"/>
        <v>1.3918676436724342E-2</v>
      </c>
      <c r="M210" s="297"/>
      <c r="N210" s="294"/>
      <c r="O210" s="8"/>
    </row>
    <row r="211" spans="1:15" x14ac:dyDescent="0.2">
      <c r="A211" s="288"/>
      <c r="B211" s="251" t="s">
        <v>487</v>
      </c>
      <c r="C211" s="276">
        <v>883</v>
      </c>
      <c r="D211" s="253">
        <v>114.00445073612688</v>
      </c>
      <c r="E211" s="253">
        <v>333.88835083914938</v>
      </c>
      <c r="F211" s="253">
        <f>D211*Q6</f>
        <v>38.054493632732409</v>
      </c>
      <c r="G211" s="254">
        <f>E211*Q6</f>
        <v>111.45136912646468</v>
      </c>
      <c r="H211" s="291"/>
      <c r="I211" s="294"/>
      <c r="K211" s="256">
        <f t="shared" si="4"/>
        <v>3.8054493632732412E-3</v>
      </c>
      <c r="L211" s="257">
        <f t="shared" si="4"/>
        <v>1.1145136912646469E-2</v>
      </c>
      <c r="M211" s="297"/>
      <c r="N211" s="294"/>
      <c r="O211" s="8"/>
    </row>
    <row r="212" spans="1:15" x14ac:dyDescent="0.2">
      <c r="A212" s="288"/>
      <c r="B212" s="251" t="s">
        <v>488</v>
      </c>
      <c r="C212" s="276">
        <v>92</v>
      </c>
      <c r="D212" s="253">
        <v>87.998804347826095</v>
      </c>
      <c r="E212" s="253">
        <v>324.47471802440361</v>
      </c>
      <c r="F212" s="253">
        <f>D212*Q6</f>
        <v>29.373852670834609</v>
      </c>
      <c r="G212" s="254">
        <f>E212*Q6</f>
        <v>108.30911434872114</v>
      </c>
      <c r="H212" s="291"/>
      <c r="I212" s="294"/>
      <c r="K212" s="256">
        <f t="shared" si="4"/>
        <v>2.9373852670834611E-3</v>
      </c>
      <c r="L212" s="257">
        <f t="shared" si="4"/>
        <v>1.0830911434872114E-2</v>
      </c>
      <c r="M212" s="297"/>
      <c r="N212" s="294"/>
      <c r="O212" s="8"/>
    </row>
    <row r="213" spans="1:15" x14ac:dyDescent="0.2">
      <c r="A213" s="288"/>
      <c r="B213" s="251" t="s">
        <v>489</v>
      </c>
      <c r="C213" s="276">
        <v>509</v>
      </c>
      <c r="D213" s="253">
        <v>22.365324165029474</v>
      </c>
      <c r="E213" s="253">
        <v>190.36686464628988</v>
      </c>
      <c r="F213" s="253">
        <f>D213*Q6</f>
        <v>7.4655075353334865</v>
      </c>
      <c r="G213" s="254">
        <f>E213*Q6</f>
        <v>63.544138775187477</v>
      </c>
      <c r="H213" s="291"/>
      <c r="I213" s="294"/>
      <c r="K213" s="256">
        <f t="shared" si="4"/>
        <v>7.4655075353334869E-4</v>
      </c>
      <c r="L213" s="257">
        <f t="shared" si="4"/>
        <v>6.3544138775187475E-3</v>
      </c>
      <c r="M213" s="297"/>
      <c r="N213" s="294"/>
      <c r="O213" s="8"/>
    </row>
    <row r="214" spans="1:15" x14ac:dyDescent="0.2">
      <c r="A214" s="288"/>
      <c r="B214" s="251" t="s">
        <v>490</v>
      </c>
      <c r="C214" s="276">
        <v>2127</v>
      </c>
      <c r="D214" s="253">
        <v>236.78913963328614</v>
      </c>
      <c r="E214" s="253">
        <v>454.23471259805069</v>
      </c>
      <c r="F214" s="253">
        <f>D214*Q6</f>
        <v>79.039815974654843</v>
      </c>
      <c r="G214" s="254">
        <f>E214*Q6</f>
        <v>151.62278197662417</v>
      </c>
      <c r="H214" s="291"/>
      <c r="I214" s="294"/>
      <c r="K214" s="256">
        <f t="shared" si="4"/>
        <v>7.9039815974654842E-3</v>
      </c>
      <c r="L214" s="257">
        <f t="shared" si="4"/>
        <v>1.5162278197662417E-2</v>
      </c>
      <c r="M214" s="297"/>
      <c r="N214" s="294"/>
      <c r="O214" s="8"/>
    </row>
    <row r="215" spans="1:15" x14ac:dyDescent="0.2">
      <c r="A215" s="288"/>
      <c r="B215" s="251" t="s">
        <v>491</v>
      </c>
      <c r="C215" s="276">
        <v>399</v>
      </c>
      <c r="D215" s="253">
        <v>89.126716791979931</v>
      </c>
      <c r="E215" s="253">
        <v>237.50662686125744</v>
      </c>
      <c r="F215" s="253">
        <f>D215*Q6</f>
        <v>29.750347944897889</v>
      </c>
      <c r="G215" s="254">
        <f>E215*Q6</f>
        <v>79.279312002854638</v>
      </c>
      <c r="H215" s="291"/>
      <c r="I215" s="294"/>
      <c r="K215" s="256">
        <f t="shared" si="4"/>
        <v>2.9750347944897887E-3</v>
      </c>
      <c r="L215" s="257">
        <f t="shared" si="4"/>
        <v>7.9279312002854645E-3</v>
      </c>
      <c r="M215" s="297"/>
      <c r="N215" s="294"/>
      <c r="O215" s="8"/>
    </row>
    <row r="216" spans="1:15" ht="17" thickBot="1" x14ac:dyDescent="0.25">
      <c r="A216" s="289"/>
      <c r="B216" s="262" t="s">
        <v>492</v>
      </c>
      <c r="C216" s="200">
        <v>463</v>
      </c>
      <c r="D216" s="264">
        <v>116.96706263498923</v>
      </c>
      <c r="E216" s="264">
        <v>210.14969108419308</v>
      </c>
      <c r="F216" s="264">
        <f>D216*Q6</f>
        <v>39.043408494507965</v>
      </c>
      <c r="G216" s="265">
        <f>E216*Q6</f>
        <v>70.147612919026983</v>
      </c>
      <c r="H216" s="292"/>
      <c r="I216" s="295"/>
      <c r="J216" s="266"/>
      <c r="K216" s="267">
        <f t="shared" si="4"/>
        <v>3.9043408494507967E-3</v>
      </c>
      <c r="L216" s="268">
        <f t="shared" si="4"/>
        <v>7.0147612919026986E-3</v>
      </c>
      <c r="M216" s="298"/>
      <c r="N216" s="295"/>
      <c r="O216" s="8"/>
    </row>
    <row r="217" spans="1:15" x14ac:dyDescent="0.2">
      <c r="A217" s="287" t="s">
        <v>493</v>
      </c>
      <c r="B217" s="240" t="s">
        <v>494</v>
      </c>
      <c r="C217" s="275">
        <v>245</v>
      </c>
      <c r="D217" s="243">
        <v>616.99812244897964</v>
      </c>
      <c r="E217" s="243">
        <v>1747.7914510315352</v>
      </c>
      <c r="F217" s="243">
        <f>D217*Q6</f>
        <v>205.95293403490001</v>
      </c>
      <c r="G217" s="244">
        <f>E217*Q6</f>
        <v>583.40984246807932</v>
      </c>
      <c r="H217" s="290">
        <f>AVERAGE(F217:F234)</f>
        <v>36.960947110619315</v>
      </c>
      <c r="I217" s="293">
        <f>AVERAGE(G217:G234)</f>
        <v>63.542551620421463</v>
      </c>
      <c r="K217" s="256">
        <f t="shared" si="4"/>
        <v>2.0595293403490002E-2</v>
      </c>
      <c r="L217" s="257">
        <f t="shared" si="4"/>
        <v>5.8340984246807934E-2</v>
      </c>
      <c r="M217" s="301">
        <f>AVERAGE(K217:K234)</f>
        <v>3.6960947110619316E-3</v>
      </c>
      <c r="N217" s="302">
        <f>AVERAGE(L217:L234)</f>
        <v>6.3542551620421493E-3</v>
      </c>
      <c r="O217" s="248"/>
    </row>
    <row r="218" spans="1:15" x14ac:dyDescent="0.2">
      <c r="A218" s="288"/>
      <c r="B218" s="251" t="s">
        <v>495</v>
      </c>
      <c r="C218" s="1">
        <v>236</v>
      </c>
      <c r="D218" s="277">
        <v>20.609449152542386</v>
      </c>
      <c r="E218" s="277">
        <v>68.130912939671873</v>
      </c>
      <c r="F218" s="253">
        <f>D218*Q6</f>
        <v>6.8793994136670609</v>
      </c>
      <c r="G218" s="254">
        <f>E218*Q6</f>
        <v>22.741983983204197</v>
      </c>
      <c r="H218" s="291"/>
      <c r="I218" s="294"/>
      <c r="K218" s="256">
        <f t="shared" si="4"/>
        <v>6.8793994136670609E-4</v>
      </c>
      <c r="L218" s="257">
        <f t="shared" si="4"/>
        <v>2.2741983983204195E-3</v>
      </c>
      <c r="M218" s="297"/>
      <c r="N218" s="294"/>
      <c r="O218" s="8"/>
    </row>
    <row r="219" spans="1:15" x14ac:dyDescent="0.2">
      <c r="A219" s="288"/>
      <c r="B219" s="251" t="s">
        <v>496</v>
      </c>
      <c r="C219" s="1">
        <v>343</v>
      </c>
      <c r="D219" s="277">
        <v>74.486588921282788</v>
      </c>
      <c r="E219" s="277">
        <v>80.863893960887495</v>
      </c>
      <c r="F219" s="253">
        <f>D219*Q6</f>
        <v>24.863497920705932</v>
      </c>
      <c r="G219" s="254">
        <f>E219*Q6</f>
        <v>26.992231601335163</v>
      </c>
      <c r="H219" s="291"/>
      <c r="I219" s="294"/>
      <c r="K219" s="256">
        <f t="shared" si="4"/>
        <v>2.4863497920705933E-3</v>
      </c>
      <c r="L219" s="257">
        <f t="shared" si="4"/>
        <v>2.6992231601335164E-3</v>
      </c>
      <c r="M219" s="297"/>
      <c r="N219" s="294"/>
      <c r="O219" s="8"/>
    </row>
    <row r="220" spans="1:15" x14ac:dyDescent="0.2">
      <c r="A220" s="288"/>
      <c r="B220" s="251" t="s">
        <v>497</v>
      </c>
      <c r="C220" s="1">
        <v>145</v>
      </c>
      <c r="D220" s="277">
        <v>45.366620689655164</v>
      </c>
      <c r="E220" s="277">
        <v>84.383552737063269</v>
      </c>
      <c r="F220" s="253">
        <f>D220*Q6</f>
        <v>15.143301573102432</v>
      </c>
      <c r="G220" s="254">
        <f>E220*Q6</f>
        <v>28.167087772498032</v>
      </c>
      <c r="H220" s="291"/>
      <c r="I220" s="294"/>
      <c r="K220" s="256">
        <f t="shared" si="4"/>
        <v>1.5143301573102433E-3</v>
      </c>
      <c r="L220" s="257">
        <f t="shared" si="4"/>
        <v>2.8167087772498034E-3</v>
      </c>
      <c r="M220" s="297"/>
      <c r="N220" s="294"/>
      <c r="O220" s="8"/>
    </row>
    <row r="221" spans="1:15" x14ac:dyDescent="0.2">
      <c r="A221" s="288"/>
      <c r="B221" s="251" t="s">
        <v>498</v>
      </c>
      <c r="C221" s="1">
        <v>414</v>
      </c>
      <c r="D221" s="277">
        <v>15.516763285024151</v>
      </c>
      <c r="E221" s="277">
        <v>14.08669463605626</v>
      </c>
      <c r="F221" s="253">
        <f>D221*Q6</f>
        <v>5.1794694489366062</v>
      </c>
      <c r="G221" s="254">
        <f>E221*Q6</f>
        <v>4.7021149426421118</v>
      </c>
      <c r="H221" s="291"/>
      <c r="I221" s="294"/>
      <c r="K221" s="256">
        <f t="shared" si="4"/>
        <v>5.1794694489366063E-4</v>
      </c>
      <c r="L221" s="257">
        <f t="shared" si="4"/>
        <v>4.7021149426421116E-4</v>
      </c>
      <c r="M221" s="297"/>
      <c r="N221" s="294"/>
      <c r="O221" s="8"/>
    </row>
    <row r="222" spans="1:15" x14ac:dyDescent="0.2">
      <c r="A222" s="288"/>
      <c r="B222" s="251" t="s">
        <v>499</v>
      </c>
      <c r="C222" s="1">
        <v>364</v>
      </c>
      <c r="D222" s="277">
        <v>37.162499999999994</v>
      </c>
      <c r="E222" s="277">
        <v>31.863650655986085</v>
      </c>
      <c r="F222" s="253">
        <f>D222*Q6</f>
        <v>12.404779905476726</v>
      </c>
      <c r="G222" s="254">
        <f>E222*Q6</f>
        <v>10.636032919542725</v>
      </c>
      <c r="H222" s="291"/>
      <c r="I222" s="294"/>
      <c r="K222" s="256">
        <f t="shared" si="4"/>
        <v>1.2404779905476726E-3</v>
      </c>
      <c r="L222" s="257">
        <f t="shared" si="4"/>
        <v>1.0636032919542724E-3</v>
      </c>
      <c r="M222" s="297"/>
      <c r="N222" s="294"/>
      <c r="O222" s="8"/>
    </row>
    <row r="223" spans="1:15" x14ac:dyDescent="0.2">
      <c r="A223" s="288"/>
      <c r="B223" s="251" t="s">
        <v>500</v>
      </c>
      <c r="C223" s="1">
        <v>602</v>
      </c>
      <c r="D223" s="277">
        <v>121.80936877076411</v>
      </c>
      <c r="E223" s="277">
        <v>223.2376041644383</v>
      </c>
      <c r="F223" s="253">
        <f>D223*Q6</f>
        <v>40.659762126508681</v>
      </c>
      <c r="G223" s="254">
        <f>E223*Q6</f>
        <v>74.51633626063348</v>
      </c>
      <c r="H223" s="291"/>
      <c r="I223" s="294"/>
      <c r="K223" s="256">
        <f t="shared" si="4"/>
        <v>4.0659762126508681E-3</v>
      </c>
      <c r="L223" s="257">
        <f t="shared" si="4"/>
        <v>7.4516336260633479E-3</v>
      </c>
      <c r="M223" s="297"/>
      <c r="N223" s="294"/>
      <c r="O223" s="8"/>
    </row>
    <row r="224" spans="1:15" x14ac:dyDescent="0.2">
      <c r="A224" s="288"/>
      <c r="B224" s="251" t="s">
        <v>501</v>
      </c>
      <c r="C224" s="1">
        <v>269</v>
      </c>
      <c r="D224" s="277">
        <v>64.561115241635676</v>
      </c>
      <c r="E224" s="277">
        <v>44.254244659618649</v>
      </c>
      <c r="F224" s="253">
        <f>D224*Q6</f>
        <v>21.550391524375634</v>
      </c>
      <c r="G224" s="254">
        <f>E224*Q6</f>
        <v>14.77199232790281</v>
      </c>
      <c r="H224" s="291"/>
      <c r="I224" s="294"/>
      <c r="K224" s="256">
        <f t="shared" si="4"/>
        <v>2.1550391524375635E-3</v>
      </c>
      <c r="L224" s="257">
        <f t="shared" si="4"/>
        <v>1.477199232790281E-3</v>
      </c>
      <c r="M224" s="297"/>
      <c r="N224" s="294"/>
      <c r="O224" s="8"/>
    </row>
    <row r="225" spans="1:15" x14ac:dyDescent="0.2">
      <c r="A225" s="288"/>
      <c r="B225" s="251" t="s">
        <v>502</v>
      </c>
      <c r="C225" s="1">
        <v>344</v>
      </c>
      <c r="D225" s="277">
        <v>24.232122093023257</v>
      </c>
      <c r="E225" s="277">
        <v>57.118410243791374</v>
      </c>
      <c r="F225" s="253">
        <f>D225*Q6</f>
        <v>8.088641539363433</v>
      </c>
      <c r="G225" s="254">
        <f>E225*Q6</f>
        <v>19.066029132188611</v>
      </c>
      <c r="H225" s="291"/>
      <c r="I225" s="294"/>
      <c r="K225" s="256">
        <f t="shared" si="4"/>
        <v>8.0886415393634334E-4</v>
      </c>
      <c r="L225" s="257">
        <f t="shared" si="4"/>
        <v>1.9066029132188611E-3</v>
      </c>
      <c r="M225" s="297"/>
      <c r="N225" s="294"/>
      <c r="O225" s="8"/>
    </row>
    <row r="226" spans="1:15" x14ac:dyDescent="0.2">
      <c r="A226" s="288"/>
      <c r="B226" s="251" t="s">
        <v>503</v>
      </c>
      <c r="C226" s="1">
        <v>492</v>
      </c>
      <c r="D226" s="277">
        <v>265.73455284552841</v>
      </c>
      <c r="E226" s="277">
        <v>416.28145698668897</v>
      </c>
      <c r="F226" s="253">
        <f>D226*Q6</f>
        <v>88.701746150798641</v>
      </c>
      <c r="G226" s="254">
        <f>F226*Q6</f>
        <v>29.608493460669347</v>
      </c>
      <c r="H226" s="291"/>
      <c r="I226" s="294"/>
      <c r="K226" s="256">
        <f t="shared" si="4"/>
        <v>8.8701746150798635E-3</v>
      </c>
      <c r="L226" s="257">
        <f t="shared" si="4"/>
        <v>2.9608493460669349E-3</v>
      </c>
      <c r="M226" s="297"/>
      <c r="N226" s="294"/>
      <c r="O226" s="8"/>
    </row>
    <row r="227" spans="1:15" x14ac:dyDescent="0.2">
      <c r="A227" s="288"/>
      <c r="B227" s="251" t="s">
        <v>504</v>
      </c>
      <c r="C227" s="1">
        <v>199</v>
      </c>
      <c r="D227" s="277">
        <v>41.217989949748741</v>
      </c>
      <c r="E227" s="277">
        <v>48.072227885953978</v>
      </c>
      <c r="F227" s="253">
        <f>D227*Q6</f>
        <v>13.75849561985294</v>
      </c>
      <c r="G227" s="254">
        <f>E227*Q6</f>
        <v>16.046428698047222</v>
      </c>
      <c r="H227" s="291"/>
      <c r="I227" s="294"/>
      <c r="K227" s="256">
        <f t="shared" si="4"/>
        <v>1.375849561985294E-3</v>
      </c>
      <c r="L227" s="257">
        <f t="shared" si="4"/>
        <v>1.6046428698047223E-3</v>
      </c>
      <c r="M227" s="297"/>
      <c r="N227" s="294"/>
      <c r="O227" s="8"/>
    </row>
    <row r="228" spans="1:15" x14ac:dyDescent="0.2">
      <c r="A228" s="288"/>
      <c r="B228" s="251" t="s">
        <v>505</v>
      </c>
      <c r="C228" s="1">
        <v>693</v>
      </c>
      <c r="D228" s="277">
        <v>17.826435786435788</v>
      </c>
      <c r="E228" s="277">
        <v>19.438879657424376</v>
      </c>
      <c r="F228" s="253">
        <f>D228*Q6</f>
        <v>5.9504342396192369</v>
      </c>
      <c r="G228" s="254">
        <f>E228*Q6</f>
        <v>6.4886652878411901</v>
      </c>
      <c r="H228" s="291"/>
      <c r="I228" s="294"/>
      <c r="K228" s="256">
        <f t="shared" si="4"/>
        <v>5.9504342396192369E-4</v>
      </c>
      <c r="L228" s="257">
        <f t="shared" si="4"/>
        <v>6.4886652878411904E-4</v>
      </c>
      <c r="M228" s="297"/>
      <c r="N228" s="294"/>
      <c r="O228" s="8"/>
    </row>
    <row r="229" spans="1:15" x14ac:dyDescent="0.2">
      <c r="A229" s="288"/>
      <c r="B229" s="251" t="s">
        <v>506</v>
      </c>
      <c r="C229" s="1">
        <v>170</v>
      </c>
      <c r="D229" s="277">
        <v>401.2294117647059</v>
      </c>
      <c r="E229" s="277">
        <v>545.35696117878683</v>
      </c>
      <c r="F229" s="253">
        <f>D229*Q6</f>
        <v>133.92970183774159</v>
      </c>
      <c r="G229" s="254">
        <f>E229*Q6</f>
        <v>182.03923507144208</v>
      </c>
      <c r="H229" s="291"/>
      <c r="I229" s="294"/>
      <c r="K229" s="256">
        <f t="shared" si="4"/>
        <v>1.339297018377416E-2</v>
      </c>
      <c r="L229" s="257">
        <f t="shared" si="4"/>
        <v>1.8203923507144209E-2</v>
      </c>
      <c r="M229" s="297"/>
      <c r="N229" s="294"/>
      <c r="O229" s="8"/>
    </row>
    <row r="230" spans="1:15" x14ac:dyDescent="0.2">
      <c r="A230" s="288"/>
      <c r="B230" s="251" t="s">
        <v>507</v>
      </c>
      <c r="C230" s="1">
        <v>288</v>
      </c>
      <c r="D230" s="277">
        <v>85.742604166666666</v>
      </c>
      <c r="E230" s="277">
        <v>96.49421715710551</v>
      </c>
      <c r="F230" s="253">
        <f>D230*Q6</f>
        <v>28.620736850586258</v>
      </c>
      <c r="G230" s="254">
        <f>E230*Q6</f>
        <v>32.209607157354057</v>
      </c>
      <c r="H230" s="291"/>
      <c r="I230" s="294"/>
      <c r="K230" s="256">
        <f t="shared" si="4"/>
        <v>2.8620736850586258E-3</v>
      </c>
      <c r="L230" s="257">
        <f t="shared" si="4"/>
        <v>3.2209607157354055E-3</v>
      </c>
      <c r="M230" s="297"/>
      <c r="N230" s="294"/>
      <c r="O230" s="8"/>
    </row>
    <row r="231" spans="1:15" x14ac:dyDescent="0.2">
      <c r="A231" s="288"/>
      <c r="B231" s="251" t="s">
        <v>508</v>
      </c>
      <c r="C231" s="1">
        <v>276</v>
      </c>
      <c r="D231" s="277">
        <v>73.387101449275363</v>
      </c>
      <c r="E231" s="277">
        <v>102.36188439562061</v>
      </c>
      <c r="F231" s="253">
        <f>D231*Q6</f>
        <v>24.496490854467623</v>
      </c>
      <c r="G231" s="254">
        <f>E231*Q6</f>
        <v>34.168224598386175</v>
      </c>
      <c r="H231" s="291"/>
      <c r="I231" s="294"/>
      <c r="K231" s="256">
        <f t="shared" si="4"/>
        <v>2.4496490854467624E-3</v>
      </c>
      <c r="L231" s="257">
        <f t="shared" si="4"/>
        <v>3.4168224598386176E-3</v>
      </c>
      <c r="M231" s="297"/>
      <c r="N231" s="294"/>
      <c r="O231" s="8"/>
    </row>
    <row r="232" spans="1:15" x14ac:dyDescent="0.2">
      <c r="A232" s="288"/>
      <c r="B232" s="251" t="s">
        <v>509</v>
      </c>
      <c r="C232" s="1">
        <v>276</v>
      </c>
      <c r="D232" s="277">
        <v>22.95684782608696</v>
      </c>
      <c r="E232" s="277">
        <v>27.282847649133874</v>
      </c>
      <c r="F232" s="253">
        <f>D232*Q6</f>
        <v>7.6629571370637235</v>
      </c>
      <c r="G232" s="254">
        <f>E232*Q6</f>
        <v>9.1069685915145335</v>
      </c>
      <c r="H232" s="291"/>
      <c r="I232" s="294"/>
      <c r="K232" s="256">
        <f t="shared" si="4"/>
        <v>7.6629571370637238E-4</v>
      </c>
      <c r="L232" s="257">
        <f t="shared" si="4"/>
        <v>9.1069685915145333E-4</v>
      </c>
      <c r="M232" s="297"/>
      <c r="N232" s="294"/>
      <c r="O232" s="8"/>
    </row>
    <row r="233" spans="1:15" x14ac:dyDescent="0.2">
      <c r="A233" s="288"/>
      <c r="B233" s="251" t="s">
        <v>510</v>
      </c>
      <c r="C233" s="1">
        <v>295</v>
      </c>
      <c r="D233" s="277">
        <v>42.472169491525428</v>
      </c>
      <c r="E233" s="277">
        <v>118.84207664944317</v>
      </c>
      <c r="F233" s="253">
        <f>D233*Q6</f>
        <v>14.177138638425195</v>
      </c>
      <c r="G233" s="254">
        <f>E233*Q6</f>
        <v>39.669285014359573</v>
      </c>
      <c r="H233" s="291"/>
      <c r="I233" s="294"/>
      <c r="K233" s="256">
        <f t="shared" si="4"/>
        <v>1.4177138638425196E-3</v>
      </c>
      <c r="L233" s="257">
        <f t="shared" si="4"/>
        <v>3.9669285014359576E-3</v>
      </c>
      <c r="M233" s="297"/>
      <c r="N233" s="294"/>
      <c r="O233" s="8"/>
    </row>
    <row r="234" spans="1:15" ht="17" thickBot="1" x14ac:dyDescent="0.25">
      <c r="A234" s="289"/>
      <c r="B234" s="262" t="s">
        <v>511</v>
      </c>
      <c r="C234" s="278">
        <v>520</v>
      </c>
      <c r="D234" s="279">
        <v>21.801096153846157</v>
      </c>
      <c r="E234" s="279">
        <v>28.236720911819916</v>
      </c>
      <c r="F234" s="264">
        <f>D234*Q6</f>
        <v>7.2771691755559171</v>
      </c>
      <c r="G234" s="265">
        <f>E234*Q6</f>
        <v>9.4253698799461336</v>
      </c>
      <c r="H234" s="292"/>
      <c r="I234" s="295"/>
      <c r="K234" s="256">
        <f t="shared" si="4"/>
        <v>7.2771691755559172E-4</v>
      </c>
      <c r="L234" s="257">
        <f t="shared" si="4"/>
        <v>9.4253698799461332E-4</v>
      </c>
      <c r="M234" s="297"/>
      <c r="N234" s="294"/>
      <c r="O234" s="8"/>
    </row>
    <row r="235" spans="1:15" x14ac:dyDescent="0.2">
      <c r="A235" s="287" t="s">
        <v>512</v>
      </c>
      <c r="B235" s="240" t="s">
        <v>513</v>
      </c>
      <c r="C235" s="275">
        <v>819</v>
      </c>
      <c r="D235" s="243">
        <v>125.7498168498169</v>
      </c>
      <c r="E235" s="243">
        <v>257.86561481942709</v>
      </c>
      <c r="F235" s="243">
        <f>D235*Q6</f>
        <v>41.975077058216947</v>
      </c>
      <c r="G235" s="243">
        <f>E235*Q6</f>
        <v>86.075107891703496</v>
      </c>
      <c r="H235" s="290">
        <f>AVERAGE(F235:F254)</f>
        <v>125.61777323773624</v>
      </c>
      <c r="I235" s="293">
        <f>AVERAGE(G235:G254)</f>
        <v>149.11647675473188</v>
      </c>
      <c r="J235" s="245"/>
      <c r="K235" s="246">
        <f t="shared" si="4"/>
        <v>4.197507705821695E-3</v>
      </c>
      <c r="L235" s="247">
        <f t="shared" si="4"/>
        <v>8.6075107891703494E-3</v>
      </c>
      <c r="M235" s="296">
        <f>AVERAGE(K235:K254)</f>
        <v>1.2561777323773624E-2</v>
      </c>
      <c r="N235" s="299">
        <f>AVERAGE(L235:L254)</f>
        <v>1.4911647675473188E-2</v>
      </c>
      <c r="O235" s="248"/>
    </row>
    <row r="236" spans="1:15" x14ac:dyDescent="0.2">
      <c r="A236" s="288"/>
      <c r="B236" s="251" t="s">
        <v>514</v>
      </c>
      <c r="C236" s="276">
        <v>230</v>
      </c>
      <c r="D236" s="253">
        <v>195.47113043478262</v>
      </c>
      <c r="E236" s="253">
        <v>405.11672265873671</v>
      </c>
      <c r="F236" s="253">
        <f>D236*Q6</f>
        <v>65.247934098034619</v>
      </c>
      <c r="G236" s="253">
        <f>E236*Q6</f>
        <v>135.22727966659093</v>
      </c>
      <c r="H236" s="291"/>
      <c r="I236" s="294"/>
      <c r="K236" s="256">
        <f t="shared" si="4"/>
        <v>6.5247934098034621E-3</v>
      </c>
      <c r="L236" s="257">
        <f t="shared" si="4"/>
        <v>1.3522727966659093E-2</v>
      </c>
      <c r="M236" s="297"/>
      <c r="N236" s="294"/>
      <c r="O236" s="8"/>
    </row>
    <row r="237" spans="1:15" x14ac:dyDescent="0.2">
      <c r="A237" s="288"/>
      <c r="B237" s="251" t="s">
        <v>515</v>
      </c>
      <c r="C237" s="276">
        <v>548</v>
      </c>
      <c r="D237" s="253">
        <v>729.30255474452554</v>
      </c>
      <c r="E237" s="253">
        <v>771.86634125902822</v>
      </c>
      <c r="F237" s="253">
        <f>D237*Q6</f>
        <v>243.43996437558644</v>
      </c>
      <c r="G237" s="253">
        <f>E237*Q6</f>
        <v>257.64768462196662</v>
      </c>
      <c r="H237" s="291"/>
      <c r="I237" s="294"/>
      <c r="K237" s="256">
        <f t="shared" si="4"/>
        <v>2.4343996437558645E-2</v>
      </c>
      <c r="L237" s="257">
        <f t="shared" si="4"/>
        <v>2.5764768462196663E-2</v>
      </c>
      <c r="M237" s="297"/>
      <c r="N237" s="294"/>
      <c r="O237" s="8"/>
    </row>
    <row r="238" spans="1:15" x14ac:dyDescent="0.2">
      <c r="A238" s="288"/>
      <c r="B238" s="251" t="s">
        <v>516</v>
      </c>
      <c r="C238" s="276">
        <v>401</v>
      </c>
      <c r="D238" s="253">
        <v>169.11172069825437</v>
      </c>
      <c r="E238" s="253">
        <v>245.01301044491865</v>
      </c>
      <c r="F238" s="253">
        <f>D238*Q6</f>
        <v>56.449207526358521</v>
      </c>
      <c r="G238" s="253">
        <f>E238*Q6</f>
        <v>81.784930199730539</v>
      </c>
      <c r="H238" s="291"/>
      <c r="I238" s="294"/>
      <c r="K238" s="256">
        <f t="shared" si="4"/>
        <v>5.6449207526358524E-3</v>
      </c>
      <c r="L238" s="257">
        <f t="shared" si="4"/>
        <v>8.1784930199730547E-3</v>
      </c>
      <c r="M238" s="297"/>
      <c r="N238" s="294"/>
      <c r="O238" s="8"/>
    </row>
    <row r="239" spans="1:15" x14ac:dyDescent="0.2">
      <c r="A239" s="288"/>
      <c r="B239" s="251" t="s">
        <v>517</v>
      </c>
      <c r="C239" s="276">
        <v>468</v>
      </c>
      <c r="D239" s="253">
        <v>192.5566239316239</v>
      </c>
      <c r="E239" s="253">
        <v>243.08922582442491</v>
      </c>
      <c r="F239" s="253">
        <f>D239*Q6</f>
        <v>64.275076736318795</v>
      </c>
      <c r="G239" s="253">
        <f>E239*Q6</f>
        <v>81.142774133729446</v>
      </c>
      <c r="H239" s="291"/>
      <c r="I239" s="294"/>
      <c r="K239" s="256">
        <f t="shared" si="4"/>
        <v>6.4275076736318793E-3</v>
      </c>
      <c r="L239" s="257">
        <f t="shared" si="4"/>
        <v>8.1142774133729448E-3</v>
      </c>
      <c r="M239" s="297"/>
      <c r="N239" s="294"/>
      <c r="O239" s="8"/>
    </row>
    <row r="240" spans="1:15" x14ac:dyDescent="0.2">
      <c r="A240" s="288"/>
      <c r="B240" s="251" t="s">
        <v>518</v>
      </c>
      <c r="C240" s="276">
        <v>500</v>
      </c>
      <c r="D240" s="253">
        <v>134.1874</v>
      </c>
      <c r="E240" s="253">
        <v>184.35891646840085</v>
      </c>
      <c r="F240" s="253">
        <f>D240*Q6</f>
        <v>44.791528101935221</v>
      </c>
      <c r="G240" s="253">
        <f>E240*Q6</f>
        <v>61.538695792874037</v>
      </c>
      <c r="H240" s="291"/>
      <c r="I240" s="294"/>
      <c r="K240" s="256">
        <f t="shared" si="4"/>
        <v>4.4791528101935218E-3</v>
      </c>
      <c r="L240" s="257">
        <f t="shared" si="4"/>
        <v>6.1538695792874038E-3</v>
      </c>
      <c r="M240" s="297"/>
      <c r="N240" s="294"/>
      <c r="O240" s="8"/>
    </row>
    <row r="241" spans="1:15" x14ac:dyDescent="0.2">
      <c r="A241" s="288"/>
      <c r="B241" s="251" t="s">
        <v>519</v>
      </c>
      <c r="C241" s="276">
        <v>699</v>
      </c>
      <c r="D241" s="253">
        <v>419.59585121602288</v>
      </c>
      <c r="E241" s="253">
        <v>418.10432030995088</v>
      </c>
      <c r="F241" s="253">
        <f>D241*Q6</f>
        <v>140.06038839114493</v>
      </c>
      <c r="G241" s="253">
        <f>E241*Q6</f>
        <v>139.5625178869528</v>
      </c>
      <c r="H241" s="291"/>
      <c r="I241" s="294"/>
      <c r="K241" s="256">
        <f t="shared" si="4"/>
        <v>1.4006038839114493E-2</v>
      </c>
      <c r="L241" s="257">
        <f t="shared" si="4"/>
        <v>1.395625178869528E-2</v>
      </c>
      <c r="M241" s="297"/>
      <c r="N241" s="294"/>
      <c r="O241" s="8"/>
    </row>
    <row r="242" spans="1:15" x14ac:dyDescent="0.2">
      <c r="A242" s="288"/>
      <c r="B242" s="251" t="s">
        <v>520</v>
      </c>
      <c r="C242" s="276">
        <v>76</v>
      </c>
      <c r="D242" s="253">
        <v>182.29210526315788</v>
      </c>
      <c r="E242" s="253">
        <v>130.8446516682109</v>
      </c>
      <c r="F242" s="253">
        <f>D242*Q6</f>
        <v>60.848797693789955</v>
      </c>
      <c r="G242" s="253">
        <f>E242*Q6</f>
        <v>43.675724339130156</v>
      </c>
      <c r="H242" s="291"/>
      <c r="I242" s="294"/>
      <c r="K242" s="256">
        <f t="shared" si="4"/>
        <v>6.084879769378995E-3</v>
      </c>
      <c r="L242" s="257">
        <f t="shared" si="4"/>
        <v>4.3675724339130159E-3</v>
      </c>
      <c r="M242" s="297"/>
      <c r="N242" s="294"/>
      <c r="O242" s="8"/>
    </row>
    <row r="243" spans="1:15" x14ac:dyDescent="0.2">
      <c r="A243" s="288"/>
      <c r="B243" s="251" t="s">
        <v>521</v>
      </c>
      <c r="C243" s="276">
        <v>260</v>
      </c>
      <c r="D243" s="253">
        <v>216.70038461538462</v>
      </c>
      <c r="E243" s="253">
        <v>373.09892727871926</v>
      </c>
      <c r="F243" s="253">
        <f>D243*Q6</f>
        <v>72.334223386101613</v>
      </c>
      <c r="G243" s="253">
        <f>E243*Q6</f>
        <v>124.53979349779965</v>
      </c>
      <c r="H243" s="291"/>
      <c r="I243" s="294"/>
      <c r="K243" s="256">
        <f t="shared" si="4"/>
        <v>7.2334223386101614E-3</v>
      </c>
      <c r="L243" s="257">
        <f t="shared" si="4"/>
        <v>1.2453979349779966E-2</v>
      </c>
      <c r="M243" s="297"/>
      <c r="N243" s="294"/>
      <c r="O243" s="8"/>
    </row>
    <row r="244" spans="1:15" x14ac:dyDescent="0.2">
      <c r="A244" s="288"/>
      <c r="B244" s="251" t="s">
        <v>522</v>
      </c>
      <c r="C244" s="276">
        <v>196</v>
      </c>
      <c r="D244" s="253">
        <v>627.1670918367347</v>
      </c>
      <c r="E244" s="253">
        <v>1164.5622572126917</v>
      </c>
      <c r="F244" s="253">
        <f>D244*Q6</f>
        <v>209.34731888846562</v>
      </c>
      <c r="G244" s="253">
        <f>E244*Q6</f>
        <v>388.72891993134527</v>
      </c>
      <c r="H244" s="291"/>
      <c r="I244" s="294"/>
      <c r="K244" s="256">
        <f t="shared" si="4"/>
        <v>2.0934731888846564E-2</v>
      </c>
      <c r="L244" s="257">
        <f t="shared" si="4"/>
        <v>3.8872891993134526E-2</v>
      </c>
      <c r="M244" s="297"/>
      <c r="N244" s="294"/>
      <c r="O244" s="8"/>
    </row>
    <row r="245" spans="1:15" x14ac:dyDescent="0.2">
      <c r="A245" s="288"/>
      <c r="B245" s="251" t="s">
        <v>523</v>
      </c>
      <c r="C245" s="276">
        <v>288</v>
      </c>
      <c r="D245" s="253">
        <v>339.2208333333333</v>
      </c>
      <c r="E245" s="253">
        <v>465.07312652306331</v>
      </c>
      <c r="F245" s="253">
        <f>D245*Q6</f>
        <v>113.23134280127556</v>
      </c>
      <c r="G245" s="253">
        <f>E245*Q6</f>
        <v>155.24062628914984</v>
      </c>
      <c r="H245" s="291"/>
      <c r="I245" s="294"/>
      <c r="K245" s="256">
        <f t="shared" si="4"/>
        <v>1.1323134280127555E-2</v>
      </c>
      <c r="L245" s="257">
        <f t="shared" si="4"/>
        <v>1.5524062628914984E-2</v>
      </c>
      <c r="M245" s="297"/>
      <c r="N245" s="294"/>
      <c r="O245" s="8"/>
    </row>
    <row r="246" spans="1:15" x14ac:dyDescent="0.2">
      <c r="A246" s="288"/>
      <c r="B246" s="251" t="s">
        <v>524</v>
      </c>
      <c r="C246" s="276">
        <v>287</v>
      </c>
      <c r="D246" s="253">
        <v>223.75993031358882</v>
      </c>
      <c r="E246" s="253">
        <v>302.97409597086971</v>
      </c>
      <c r="F246" s="253">
        <f>D246*Q6</f>
        <v>74.690687849441758</v>
      </c>
      <c r="G246" s="253">
        <f>F246*Q6</f>
        <v>24.931625799152098</v>
      </c>
      <c r="H246" s="291"/>
      <c r="I246" s="294"/>
      <c r="K246" s="256">
        <f t="shared" si="4"/>
        <v>7.4690687849441762E-3</v>
      </c>
      <c r="L246" s="257">
        <f t="shared" si="4"/>
        <v>2.4931625799152098E-3</v>
      </c>
      <c r="M246" s="297"/>
      <c r="N246" s="294"/>
      <c r="O246" s="8"/>
    </row>
    <row r="247" spans="1:15" x14ac:dyDescent="0.2">
      <c r="A247" s="288"/>
      <c r="B247" s="251" t="s">
        <v>525</v>
      </c>
      <c r="C247" s="276">
        <v>172</v>
      </c>
      <c r="D247" s="253">
        <v>137.2021511627907</v>
      </c>
      <c r="E247" s="253">
        <v>170.75559128129589</v>
      </c>
      <c r="F247" s="253">
        <f>D247*Q6</f>
        <v>45.797846962189475</v>
      </c>
      <c r="G247" s="253">
        <f>E247*Q6</f>
        <v>56.997928758130271</v>
      </c>
      <c r="H247" s="291"/>
      <c r="I247" s="294"/>
      <c r="K247" s="256">
        <f t="shared" si="4"/>
        <v>4.5797846962189479E-3</v>
      </c>
      <c r="L247" s="257">
        <f t="shared" si="4"/>
        <v>5.6997928758130275E-3</v>
      </c>
      <c r="M247" s="297"/>
      <c r="N247" s="294"/>
      <c r="O247" s="8"/>
    </row>
    <row r="248" spans="1:15" x14ac:dyDescent="0.2">
      <c r="A248" s="288"/>
      <c r="B248" s="251" t="s">
        <v>526</v>
      </c>
      <c r="C248" s="276">
        <v>91</v>
      </c>
      <c r="D248" s="253">
        <v>357.234945054945</v>
      </c>
      <c r="E248" s="253">
        <v>354.2428468543817</v>
      </c>
      <c r="F248" s="253">
        <f>D248*Q6</f>
        <v>119.24442295194523</v>
      </c>
      <c r="G248" s="253">
        <f>E248*Q6</f>
        <v>118.24566561232704</v>
      </c>
      <c r="H248" s="291"/>
      <c r="I248" s="294"/>
      <c r="K248" s="256">
        <f t="shared" si="4"/>
        <v>1.1924442295194522E-2</v>
      </c>
      <c r="L248" s="257">
        <f t="shared" si="4"/>
        <v>1.1824566561232704E-2</v>
      </c>
      <c r="M248" s="297"/>
      <c r="N248" s="294"/>
      <c r="O248" s="8"/>
    </row>
    <row r="249" spans="1:15" x14ac:dyDescent="0.2">
      <c r="A249" s="288"/>
      <c r="B249" s="251" t="s">
        <v>527</v>
      </c>
      <c r="C249" s="276">
        <v>192</v>
      </c>
      <c r="D249" s="253">
        <v>185.6322395833333</v>
      </c>
      <c r="E249" s="253">
        <v>272.11844942212281</v>
      </c>
      <c r="F249" s="253">
        <f>D249*Q6</f>
        <v>61.963728903921279</v>
      </c>
      <c r="G249" s="253">
        <f>E249*Q6</f>
        <v>90.832680075372593</v>
      </c>
      <c r="H249" s="291"/>
      <c r="I249" s="294"/>
      <c r="K249" s="256">
        <f t="shared" si="4"/>
        <v>6.1963728903921276E-3</v>
      </c>
      <c r="L249" s="257">
        <f t="shared" si="4"/>
        <v>9.0832680075372593E-3</v>
      </c>
      <c r="M249" s="297"/>
      <c r="N249" s="294"/>
      <c r="O249" s="8"/>
    </row>
    <row r="250" spans="1:15" x14ac:dyDescent="0.2">
      <c r="A250" s="288"/>
      <c r="B250" s="251" t="s">
        <v>528</v>
      </c>
      <c r="C250" s="276">
        <v>266</v>
      </c>
      <c r="D250" s="253">
        <v>574.85176691729328</v>
      </c>
      <c r="E250" s="253">
        <v>674.41437031755811</v>
      </c>
      <c r="F250" s="253">
        <f>D250*Q6</f>
        <v>191.88455154748553</v>
      </c>
      <c r="G250" s="253">
        <f>E250*Q6</f>
        <v>225.11838086458081</v>
      </c>
      <c r="H250" s="291"/>
      <c r="I250" s="294"/>
      <c r="K250" s="256">
        <f t="shared" si="4"/>
        <v>1.9188455154748554E-2</v>
      </c>
      <c r="L250" s="257">
        <f t="shared" si="4"/>
        <v>2.2511838086458083E-2</v>
      </c>
      <c r="M250" s="297"/>
      <c r="N250" s="294"/>
      <c r="O250" s="8"/>
    </row>
    <row r="251" spans="1:15" x14ac:dyDescent="0.2">
      <c r="A251" s="288"/>
      <c r="B251" s="251" t="s">
        <v>529</v>
      </c>
      <c r="C251" s="276">
        <v>250</v>
      </c>
      <c r="D251" s="253">
        <v>380.41552000000001</v>
      </c>
      <c r="E251" s="253">
        <v>469.64724390499714</v>
      </c>
      <c r="F251" s="253">
        <f>D251*Q6</f>
        <v>126.98205982448651</v>
      </c>
      <c r="G251" s="253">
        <f>E251*Q6</f>
        <v>156.76745896684119</v>
      </c>
      <c r="H251" s="291"/>
      <c r="I251" s="294"/>
      <c r="K251" s="256">
        <f t="shared" si="4"/>
        <v>1.2698205982448651E-2</v>
      </c>
      <c r="L251" s="257">
        <f t="shared" si="4"/>
        <v>1.5676745896684118E-2</v>
      </c>
      <c r="M251" s="297"/>
      <c r="N251" s="294"/>
      <c r="O251" s="8"/>
    </row>
    <row r="252" spans="1:15" x14ac:dyDescent="0.2">
      <c r="A252" s="288"/>
      <c r="B252" s="251" t="s">
        <v>530</v>
      </c>
      <c r="C252" s="276">
        <v>91</v>
      </c>
      <c r="D252" s="253">
        <v>1320.7857142857142</v>
      </c>
      <c r="E252" s="253">
        <v>1202.2113298761328</v>
      </c>
      <c r="F252" s="253">
        <f>D252*Q6</f>
        <v>440.87604676790187</v>
      </c>
      <c r="G252" s="253">
        <f>E252*Q6</f>
        <v>401.29611697232173</v>
      </c>
      <c r="H252" s="291"/>
      <c r="I252" s="294"/>
      <c r="K252" s="256">
        <f t="shared" si="4"/>
        <v>4.4087604676790189E-2</v>
      </c>
      <c r="L252" s="257">
        <f t="shared" si="4"/>
        <v>4.012961169723217E-2</v>
      </c>
      <c r="M252" s="297"/>
      <c r="N252" s="294"/>
      <c r="O252" s="8"/>
    </row>
    <row r="253" spans="1:15" x14ac:dyDescent="0.2">
      <c r="A253" s="288"/>
      <c r="B253" s="251" t="s">
        <v>531</v>
      </c>
      <c r="C253" s="276">
        <v>89</v>
      </c>
      <c r="D253" s="253">
        <v>877.2044943820224</v>
      </c>
      <c r="E253" s="253">
        <v>807.68483895049076</v>
      </c>
      <c r="F253" s="253">
        <f>D253*Q6</f>
        <v>292.80938270848259</v>
      </c>
      <c r="G253" s="253">
        <f>E253*Q6</f>
        <v>269.60383882061905</v>
      </c>
      <c r="H253" s="291"/>
      <c r="I253" s="294"/>
      <c r="K253" s="256">
        <f t="shared" si="4"/>
        <v>2.928093827084826E-2</v>
      </c>
      <c r="L253" s="257">
        <f t="shared" si="4"/>
        <v>2.6960383882061904E-2</v>
      </c>
      <c r="M253" s="297"/>
      <c r="N253" s="294"/>
      <c r="O253" s="8"/>
    </row>
    <row r="254" spans="1:15" ht="17" thickBot="1" x14ac:dyDescent="0.25">
      <c r="A254" s="289"/>
      <c r="B254" s="262" t="s">
        <v>532</v>
      </c>
      <c r="C254" s="200">
        <v>589</v>
      </c>
      <c r="D254" s="264">
        <v>138.12495755517824</v>
      </c>
      <c r="E254" s="264">
        <v>249.76694328452223</v>
      </c>
      <c r="F254" s="264">
        <f>D254*Q6</f>
        <v>46.105878181642808</v>
      </c>
      <c r="G254" s="264">
        <f>E254*Q6</f>
        <v>83.371784974320533</v>
      </c>
      <c r="H254" s="292"/>
      <c r="I254" s="295"/>
      <c r="J254" s="266"/>
      <c r="K254" s="267">
        <f t="shared" si="4"/>
        <v>4.6105878181642804E-3</v>
      </c>
      <c r="L254" s="268">
        <f t="shared" si="4"/>
        <v>8.3371784974320528E-3</v>
      </c>
      <c r="M254" s="298"/>
      <c r="N254" s="295"/>
      <c r="O254" s="8"/>
    </row>
    <row r="255" spans="1:15" x14ac:dyDescent="0.2">
      <c r="A255"/>
      <c r="B255"/>
      <c r="C255"/>
      <c r="D255"/>
      <c r="E255"/>
      <c r="F255"/>
      <c r="G255"/>
      <c r="J255"/>
      <c r="K255"/>
      <c r="L255"/>
    </row>
    <row r="256" spans="1:15" x14ac:dyDescent="0.2">
      <c r="A256"/>
      <c r="B256"/>
      <c r="C256"/>
      <c r="D256"/>
      <c r="E256"/>
      <c r="F256"/>
      <c r="G256"/>
      <c r="J256"/>
      <c r="K256"/>
      <c r="L256"/>
    </row>
    <row r="257" spans="1:12" x14ac:dyDescent="0.2">
      <c r="A257"/>
      <c r="B257"/>
      <c r="C257"/>
      <c r="D257"/>
      <c r="E257"/>
      <c r="F257"/>
      <c r="G257"/>
      <c r="J257"/>
      <c r="K257"/>
      <c r="L257"/>
    </row>
    <row r="258" spans="1:12" x14ac:dyDescent="0.2">
      <c r="A258"/>
      <c r="B258"/>
      <c r="C258"/>
      <c r="D258"/>
      <c r="E258"/>
      <c r="F258"/>
      <c r="G258"/>
      <c r="J258"/>
      <c r="K258"/>
      <c r="L258"/>
    </row>
    <row r="259" spans="1:12" x14ac:dyDescent="0.2">
      <c r="A259"/>
      <c r="B259"/>
      <c r="C259"/>
      <c r="D259"/>
      <c r="E259"/>
      <c r="F259"/>
      <c r="G259"/>
      <c r="J259"/>
      <c r="K259"/>
      <c r="L259"/>
    </row>
    <row r="260" spans="1:12" x14ac:dyDescent="0.2">
      <c r="A260"/>
      <c r="B260"/>
      <c r="C260"/>
      <c r="D260"/>
      <c r="E260"/>
      <c r="F260"/>
      <c r="G260"/>
      <c r="J260"/>
      <c r="K260"/>
      <c r="L260"/>
    </row>
    <row r="261" spans="1:12" x14ac:dyDescent="0.2">
      <c r="A261"/>
      <c r="B261"/>
      <c r="C261"/>
      <c r="D261"/>
      <c r="E261"/>
      <c r="F261"/>
      <c r="G261"/>
      <c r="J261"/>
      <c r="K261"/>
      <c r="L261"/>
    </row>
    <row r="262" spans="1:12" x14ac:dyDescent="0.2">
      <c r="A262"/>
      <c r="B262"/>
      <c r="C262"/>
      <c r="D262"/>
      <c r="E262"/>
      <c r="F262"/>
      <c r="G262"/>
      <c r="J262"/>
      <c r="K262"/>
      <c r="L262"/>
    </row>
    <row r="263" spans="1:12" x14ac:dyDescent="0.2">
      <c r="A263"/>
      <c r="B263"/>
      <c r="C263"/>
      <c r="D263"/>
      <c r="E263"/>
      <c r="F263"/>
      <c r="G263"/>
      <c r="J263"/>
      <c r="K263"/>
      <c r="L263"/>
    </row>
    <row r="264" spans="1:12" x14ac:dyDescent="0.2">
      <c r="A264"/>
      <c r="B264"/>
      <c r="C264"/>
      <c r="D264"/>
      <c r="E264"/>
      <c r="F264"/>
      <c r="G264"/>
      <c r="J264"/>
      <c r="K264"/>
      <c r="L264"/>
    </row>
    <row r="265" spans="1:12" x14ac:dyDescent="0.2">
      <c r="A265"/>
      <c r="B265"/>
      <c r="C265"/>
      <c r="D265"/>
      <c r="E265"/>
      <c r="F265"/>
      <c r="G265"/>
      <c r="J265"/>
      <c r="K265"/>
      <c r="L265"/>
    </row>
    <row r="266" spans="1:12" x14ac:dyDescent="0.2">
      <c r="A266"/>
      <c r="B266"/>
      <c r="C266"/>
      <c r="D266"/>
      <c r="E266"/>
      <c r="F266"/>
      <c r="G266"/>
      <c r="J266"/>
      <c r="K266"/>
      <c r="L266"/>
    </row>
    <row r="267" spans="1:12" x14ac:dyDescent="0.2">
      <c r="A267"/>
      <c r="B267"/>
      <c r="C267"/>
      <c r="D267"/>
      <c r="E267"/>
      <c r="F267"/>
      <c r="G267"/>
      <c r="J267"/>
      <c r="K267"/>
      <c r="L267"/>
    </row>
    <row r="268" spans="1:12" x14ac:dyDescent="0.2">
      <c r="A268"/>
      <c r="B268"/>
      <c r="C268"/>
      <c r="D268"/>
      <c r="E268"/>
      <c r="F268"/>
      <c r="G268"/>
      <c r="J268"/>
      <c r="K268"/>
      <c r="L268"/>
    </row>
    <row r="269" spans="1:12" x14ac:dyDescent="0.2">
      <c r="A269"/>
      <c r="B269"/>
      <c r="C269"/>
      <c r="D269"/>
      <c r="E269"/>
      <c r="F269"/>
      <c r="G269"/>
      <c r="J269"/>
      <c r="K269"/>
      <c r="L269"/>
    </row>
    <row r="270" spans="1:12" x14ac:dyDescent="0.2">
      <c r="A270"/>
      <c r="B270"/>
      <c r="C270"/>
      <c r="D270"/>
      <c r="E270"/>
      <c r="F270"/>
      <c r="G270"/>
      <c r="J270"/>
      <c r="K270"/>
      <c r="L270"/>
    </row>
    <row r="271" spans="1:12" x14ac:dyDescent="0.2">
      <c r="A271"/>
      <c r="B271"/>
      <c r="C271"/>
      <c r="D271"/>
      <c r="E271"/>
      <c r="F271"/>
      <c r="G271"/>
      <c r="J271"/>
      <c r="K271"/>
      <c r="L271"/>
    </row>
    <row r="272" spans="1:12" x14ac:dyDescent="0.2">
      <c r="A272"/>
      <c r="B272"/>
      <c r="C272"/>
      <c r="D272"/>
      <c r="E272"/>
      <c r="F272"/>
      <c r="G272"/>
      <c r="J272"/>
      <c r="K272"/>
      <c r="L272"/>
    </row>
    <row r="273" spans="1:12" x14ac:dyDescent="0.2">
      <c r="A273"/>
      <c r="B273"/>
      <c r="C273"/>
      <c r="D273"/>
      <c r="E273"/>
      <c r="F273"/>
      <c r="G273"/>
      <c r="J273"/>
      <c r="K273"/>
      <c r="L273"/>
    </row>
    <row r="274" spans="1:12" x14ac:dyDescent="0.2">
      <c r="A274"/>
      <c r="B274"/>
      <c r="C274"/>
      <c r="D274"/>
      <c r="E274"/>
      <c r="F274"/>
      <c r="G274"/>
      <c r="J274"/>
      <c r="K274"/>
      <c r="L274"/>
    </row>
    <row r="275" spans="1:12" x14ac:dyDescent="0.2">
      <c r="A275"/>
      <c r="B275"/>
      <c r="C275"/>
      <c r="D275"/>
      <c r="E275"/>
      <c r="F275"/>
      <c r="G275"/>
      <c r="J275"/>
      <c r="K275"/>
      <c r="L275"/>
    </row>
    <row r="276" spans="1:12" x14ac:dyDescent="0.2">
      <c r="A276"/>
      <c r="B276"/>
      <c r="C276"/>
      <c r="D276"/>
      <c r="E276"/>
      <c r="F276"/>
      <c r="G276"/>
      <c r="J276"/>
      <c r="K276"/>
      <c r="L276"/>
    </row>
    <row r="277" spans="1:12" x14ac:dyDescent="0.2">
      <c r="A277"/>
      <c r="B277"/>
      <c r="C277"/>
      <c r="D277"/>
      <c r="E277"/>
      <c r="F277"/>
      <c r="G277"/>
      <c r="J277"/>
      <c r="K277"/>
      <c r="L277"/>
    </row>
    <row r="278" spans="1:12" x14ac:dyDescent="0.2">
      <c r="A278"/>
      <c r="B278"/>
      <c r="C278"/>
      <c r="D278"/>
      <c r="E278"/>
      <c r="F278"/>
      <c r="G278"/>
      <c r="J278"/>
      <c r="K278"/>
      <c r="L278"/>
    </row>
    <row r="279" spans="1:12" x14ac:dyDescent="0.2">
      <c r="A279"/>
      <c r="B279"/>
      <c r="C279"/>
      <c r="D279"/>
      <c r="E279"/>
      <c r="F279"/>
      <c r="G279"/>
      <c r="J279"/>
      <c r="K279"/>
      <c r="L279"/>
    </row>
    <row r="280" spans="1:12" x14ac:dyDescent="0.2">
      <c r="A280"/>
      <c r="B280"/>
      <c r="C280"/>
      <c r="D280"/>
      <c r="E280"/>
      <c r="F280"/>
      <c r="G280"/>
      <c r="J280"/>
      <c r="K280"/>
      <c r="L280"/>
    </row>
    <row r="281" spans="1:12" x14ac:dyDescent="0.2">
      <c r="A281"/>
      <c r="B281"/>
      <c r="C281"/>
      <c r="D281"/>
      <c r="E281"/>
      <c r="F281"/>
      <c r="G281"/>
      <c r="J281"/>
      <c r="K281"/>
      <c r="L281"/>
    </row>
    <row r="282" spans="1:12" x14ac:dyDescent="0.2">
      <c r="A282"/>
      <c r="B282"/>
      <c r="C282"/>
      <c r="D282"/>
      <c r="E282"/>
      <c r="F282"/>
      <c r="G282"/>
      <c r="J282"/>
      <c r="K282"/>
      <c r="L282"/>
    </row>
    <row r="283" spans="1:12" x14ac:dyDescent="0.2">
      <c r="A283"/>
      <c r="B283"/>
      <c r="C283"/>
      <c r="D283"/>
      <c r="E283"/>
      <c r="F283"/>
      <c r="G283"/>
      <c r="J283"/>
      <c r="K283"/>
      <c r="L283"/>
    </row>
    <row r="284" spans="1:12" x14ac:dyDescent="0.2">
      <c r="A284"/>
      <c r="B284"/>
      <c r="C284"/>
      <c r="D284"/>
      <c r="E284"/>
      <c r="F284"/>
      <c r="G284"/>
      <c r="J284"/>
      <c r="K284"/>
      <c r="L284"/>
    </row>
    <row r="285" spans="1:12" x14ac:dyDescent="0.2">
      <c r="A285"/>
      <c r="B285"/>
      <c r="C285"/>
      <c r="D285"/>
      <c r="E285"/>
      <c r="F285"/>
      <c r="G285"/>
      <c r="J285"/>
      <c r="K285"/>
      <c r="L285"/>
    </row>
    <row r="286" spans="1:12" x14ac:dyDescent="0.2">
      <c r="A286"/>
      <c r="B286"/>
      <c r="C286"/>
      <c r="D286"/>
      <c r="E286"/>
      <c r="F286"/>
      <c r="G286"/>
      <c r="J286"/>
      <c r="K286"/>
      <c r="L286"/>
    </row>
    <row r="287" spans="1:12" x14ac:dyDescent="0.2">
      <c r="A287"/>
      <c r="B287"/>
      <c r="C287"/>
      <c r="D287"/>
      <c r="E287"/>
      <c r="F287"/>
      <c r="G287"/>
      <c r="J287"/>
      <c r="K287"/>
      <c r="L287"/>
    </row>
    <row r="288" spans="1:12" x14ac:dyDescent="0.2">
      <c r="A288"/>
      <c r="B288"/>
      <c r="C288"/>
      <c r="D288"/>
      <c r="E288"/>
      <c r="F288"/>
      <c r="G288"/>
      <c r="J288"/>
      <c r="K288"/>
      <c r="L288"/>
    </row>
    <row r="289" spans="1:12" x14ac:dyDescent="0.2">
      <c r="A289"/>
      <c r="B289"/>
      <c r="C289"/>
      <c r="D289"/>
      <c r="E289"/>
      <c r="F289"/>
      <c r="G289"/>
      <c r="J289"/>
      <c r="K289"/>
      <c r="L289"/>
    </row>
    <row r="290" spans="1:12" x14ac:dyDescent="0.2">
      <c r="A290"/>
      <c r="B290"/>
      <c r="C290"/>
      <c r="D290"/>
      <c r="E290"/>
      <c r="F290"/>
      <c r="G290"/>
      <c r="J290"/>
      <c r="K290"/>
      <c r="L290"/>
    </row>
    <row r="291" spans="1:12" x14ac:dyDescent="0.2">
      <c r="A291"/>
      <c r="B291"/>
      <c r="C291"/>
      <c r="D291"/>
      <c r="E291"/>
      <c r="F291"/>
      <c r="G291"/>
      <c r="J291"/>
      <c r="K291"/>
      <c r="L291"/>
    </row>
    <row r="292" spans="1:12" x14ac:dyDescent="0.2">
      <c r="A292"/>
      <c r="B292"/>
      <c r="C292"/>
      <c r="D292"/>
      <c r="E292"/>
      <c r="F292"/>
      <c r="G292"/>
      <c r="J292"/>
      <c r="K292"/>
      <c r="L292"/>
    </row>
    <row r="293" spans="1:12" x14ac:dyDescent="0.2">
      <c r="A293"/>
      <c r="B293"/>
      <c r="C293"/>
      <c r="D293"/>
      <c r="E293"/>
      <c r="F293"/>
      <c r="G293"/>
      <c r="J293"/>
      <c r="K293"/>
      <c r="L293"/>
    </row>
    <row r="294" spans="1:12" x14ac:dyDescent="0.2">
      <c r="A294"/>
      <c r="B294"/>
      <c r="C294"/>
      <c r="D294"/>
      <c r="E294"/>
      <c r="F294"/>
      <c r="G294"/>
      <c r="J294"/>
      <c r="K294"/>
      <c r="L294"/>
    </row>
    <row r="295" spans="1:12" x14ac:dyDescent="0.2">
      <c r="A295"/>
      <c r="B295"/>
      <c r="C295"/>
      <c r="D295"/>
      <c r="E295"/>
      <c r="F295"/>
      <c r="G295"/>
      <c r="J295"/>
      <c r="K295"/>
      <c r="L295"/>
    </row>
    <row r="296" spans="1:12" x14ac:dyDescent="0.2">
      <c r="A296"/>
      <c r="B296"/>
      <c r="C296"/>
      <c r="D296"/>
      <c r="E296"/>
      <c r="F296"/>
      <c r="G296"/>
      <c r="J296"/>
      <c r="K296"/>
      <c r="L296"/>
    </row>
    <row r="297" spans="1:12" x14ac:dyDescent="0.2">
      <c r="A297"/>
      <c r="B297"/>
      <c r="C297"/>
      <c r="D297"/>
      <c r="E297"/>
      <c r="F297"/>
      <c r="G297"/>
      <c r="J297"/>
      <c r="K297"/>
      <c r="L297"/>
    </row>
    <row r="298" spans="1:12" x14ac:dyDescent="0.2">
      <c r="A298"/>
      <c r="B298"/>
      <c r="C298"/>
      <c r="D298"/>
      <c r="E298"/>
      <c r="F298"/>
      <c r="G298"/>
      <c r="J298"/>
      <c r="K298"/>
      <c r="L298"/>
    </row>
    <row r="299" spans="1:12" x14ac:dyDescent="0.2">
      <c r="A299"/>
      <c r="B299"/>
      <c r="C299"/>
      <c r="D299"/>
      <c r="E299"/>
      <c r="F299"/>
      <c r="G299"/>
      <c r="J299"/>
      <c r="K299"/>
      <c r="L299"/>
    </row>
    <row r="300" spans="1:12" x14ac:dyDescent="0.2">
      <c r="A300"/>
      <c r="B300"/>
      <c r="C300"/>
      <c r="D300"/>
      <c r="E300"/>
      <c r="F300"/>
      <c r="G300"/>
      <c r="J300"/>
      <c r="K300"/>
      <c r="L300"/>
    </row>
    <row r="301" spans="1:12" x14ac:dyDescent="0.2">
      <c r="A301"/>
      <c r="B301"/>
      <c r="C301"/>
      <c r="D301"/>
      <c r="E301"/>
      <c r="F301"/>
      <c r="G301"/>
      <c r="J301"/>
      <c r="K301"/>
      <c r="L301"/>
    </row>
    <row r="302" spans="1:12" x14ac:dyDescent="0.2">
      <c r="A302"/>
      <c r="B302"/>
      <c r="C302"/>
      <c r="D302"/>
      <c r="E302"/>
      <c r="F302"/>
      <c r="G302"/>
      <c r="J302"/>
      <c r="K302"/>
      <c r="L302"/>
    </row>
    <row r="303" spans="1:12" x14ac:dyDescent="0.2">
      <c r="A303"/>
      <c r="B303"/>
      <c r="C303"/>
      <c r="D303"/>
      <c r="E303"/>
      <c r="F303"/>
      <c r="G303"/>
      <c r="J303"/>
      <c r="K303"/>
      <c r="L303"/>
    </row>
    <row r="304" spans="1:12" x14ac:dyDescent="0.2">
      <c r="A304"/>
      <c r="B304"/>
      <c r="C304"/>
      <c r="D304"/>
      <c r="E304"/>
      <c r="F304"/>
      <c r="G304"/>
      <c r="J304"/>
      <c r="K304"/>
      <c r="L304"/>
    </row>
    <row r="305" spans="1:12" x14ac:dyDescent="0.2">
      <c r="A305"/>
      <c r="B305"/>
      <c r="C305"/>
      <c r="D305"/>
      <c r="E305"/>
      <c r="F305"/>
      <c r="G305"/>
      <c r="J305"/>
      <c r="K305"/>
      <c r="L305"/>
    </row>
    <row r="306" spans="1:12" x14ac:dyDescent="0.2">
      <c r="A306"/>
      <c r="B306"/>
      <c r="C306"/>
      <c r="D306"/>
      <c r="E306"/>
      <c r="F306"/>
      <c r="G306"/>
      <c r="J306"/>
      <c r="K306"/>
      <c r="L306"/>
    </row>
    <row r="307" spans="1:12" x14ac:dyDescent="0.2">
      <c r="A307"/>
      <c r="B307"/>
      <c r="C307"/>
      <c r="D307"/>
      <c r="E307"/>
      <c r="F307"/>
      <c r="G307"/>
      <c r="J307"/>
      <c r="K307"/>
      <c r="L307"/>
    </row>
    <row r="308" spans="1:12" x14ac:dyDescent="0.2">
      <c r="A308"/>
      <c r="B308"/>
      <c r="C308"/>
      <c r="D308"/>
      <c r="E308"/>
      <c r="F308"/>
      <c r="G308"/>
      <c r="J308"/>
      <c r="K308"/>
      <c r="L308"/>
    </row>
    <row r="309" spans="1:12" x14ac:dyDescent="0.2">
      <c r="A309"/>
      <c r="B309"/>
      <c r="C309"/>
      <c r="D309"/>
      <c r="E309"/>
      <c r="F309"/>
      <c r="G309"/>
      <c r="J309"/>
      <c r="K309"/>
      <c r="L309"/>
    </row>
    <row r="310" spans="1:12" x14ac:dyDescent="0.2">
      <c r="A310"/>
      <c r="B310"/>
      <c r="C310"/>
      <c r="D310"/>
      <c r="E310"/>
      <c r="F310"/>
      <c r="G310"/>
      <c r="J310"/>
      <c r="K310"/>
      <c r="L310"/>
    </row>
    <row r="311" spans="1:12" x14ac:dyDescent="0.2">
      <c r="A311"/>
      <c r="B311"/>
      <c r="C311"/>
      <c r="D311"/>
      <c r="E311"/>
      <c r="F311"/>
      <c r="G311"/>
      <c r="J311"/>
      <c r="K311"/>
      <c r="L311"/>
    </row>
    <row r="312" spans="1:12" x14ac:dyDescent="0.2">
      <c r="A312"/>
      <c r="B312"/>
      <c r="C312"/>
      <c r="D312"/>
      <c r="E312"/>
      <c r="F312"/>
      <c r="G312"/>
      <c r="J312"/>
      <c r="K312"/>
      <c r="L312"/>
    </row>
    <row r="313" spans="1:12" x14ac:dyDescent="0.2">
      <c r="A313"/>
      <c r="B313"/>
      <c r="C313"/>
      <c r="D313"/>
      <c r="E313"/>
      <c r="F313"/>
      <c r="G313"/>
      <c r="J313"/>
      <c r="K313"/>
      <c r="L313"/>
    </row>
    <row r="314" spans="1:12" x14ac:dyDescent="0.2">
      <c r="A314"/>
      <c r="B314"/>
      <c r="C314"/>
      <c r="D314"/>
      <c r="E314"/>
      <c r="F314"/>
      <c r="G314"/>
      <c r="J314"/>
      <c r="K314"/>
      <c r="L314"/>
    </row>
    <row r="315" spans="1:12" x14ac:dyDescent="0.2">
      <c r="A315"/>
      <c r="B315"/>
      <c r="C315"/>
      <c r="D315"/>
      <c r="E315"/>
      <c r="F315"/>
      <c r="G315"/>
      <c r="J315"/>
      <c r="K315"/>
      <c r="L315"/>
    </row>
    <row r="316" spans="1:12" x14ac:dyDescent="0.2">
      <c r="A316"/>
      <c r="B316"/>
      <c r="C316"/>
      <c r="D316"/>
      <c r="E316"/>
      <c r="F316"/>
      <c r="G316"/>
      <c r="J316"/>
      <c r="K316"/>
      <c r="L316"/>
    </row>
    <row r="317" spans="1:12" x14ac:dyDescent="0.2">
      <c r="A317"/>
      <c r="B317"/>
      <c r="C317"/>
      <c r="D317"/>
      <c r="E317"/>
      <c r="F317"/>
      <c r="G317"/>
      <c r="J317"/>
      <c r="K317"/>
      <c r="L317"/>
    </row>
    <row r="318" spans="1:12" x14ac:dyDescent="0.2">
      <c r="A318"/>
      <c r="B318"/>
      <c r="C318"/>
      <c r="D318"/>
      <c r="E318"/>
      <c r="F318"/>
      <c r="G318"/>
      <c r="J318"/>
      <c r="K318"/>
      <c r="L318"/>
    </row>
    <row r="319" spans="1:12" x14ac:dyDescent="0.2">
      <c r="A319"/>
      <c r="B319"/>
      <c r="C319"/>
      <c r="D319"/>
      <c r="E319"/>
      <c r="F319"/>
      <c r="G319"/>
      <c r="J319"/>
      <c r="K319"/>
      <c r="L319"/>
    </row>
    <row r="320" spans="1:12" x14ac:dyDescent="0.2">
      <c r="A320"/>
      <c r="B320"/>
      <c r="C320"/>
      <c r="D320"/>
      <c r="E320"/>
      <c r="F320"/>
      <c r="G320"/>
      <c r="J320"/>
      <c r="K320"/>
      <c r="L320"/>
    </row>
    <row r="321" spans="1:12" x14ac:dyDescent="0.2">
      <c r="A321"/>
      <c r="B321"/>
      <c r="C321"/>
      <c r="D321"/>
      <c r="E321"/>
      <c r="F321"/>
      <c r="G321"/>
      <c r="J321"/>
      <c r="K321"/>
      <c r="L321"/>
    </row>
    <row r="322" spans="1:12" x14ac:dyDescent="0.2">
      <c r="A322"/>
      <c r="B322"/>
      <c r="C322"/>
      <c r="D322"/>
      <c r="E322"/>
      <c r="F322"/>
      <c r="G322"/>
      <c r="J322"/>
      <c r="K322"/>
      <c r="L322"/>
    </row>
    <row r="323" spans="1:12" x14ac:dyDescent="0.2">
      <c r="A323"/>
      <c r="B323"/>
      <c r="C323"/>
      <c r="D323"/>
      <c r="E323"/>
      <c r="F323"/>
      <c r="G323"/>
      <c r="J323"/>
      <c r="K323"/>
      <c r="L323"/>
    </row>
    <row r="324" spans="1:12" x14ac:dyDescent="0.2">
      <c r="A324"/>
      <c r="B324"/>
      <c r="C324"/>
      <c r="D324"/>
      <c r="E324"/>
      <c r="F324"/>
      <c r="G324"/>
      <c r="J324"/>
      <c r="K324"/>
      <c r="L324"/>
    </row>
    <row r="325" spans="1:12" x14ac:dyDescent="0.2">
      <c r="A325"/>
      <c r="B325"/>
      <c r="C325"/>
      <c r="D325"/>
      <c r="E325"/>
      <c r="F325"/>
      <c r="G325"/>
      <c r="J325"/>
      <c r="K325"/>
      <c r="L325"/>
    </row>
    <row r="326" spans="1:12" x14ac:dyDescent="0.2">
      <c r="A326"/>
      <c r="B326"/>
      <c r="C326"/>
      <c r="D326"/>
      <c r="E326"/>
      <c r="F326"/>
      <c r="G326"/>
      <c r="J326"/>
      <c r="K326"/>
      <c r="L326"/>
    </row>
    <row r="327" spans="1:12" x14ac:dyDescent="0.2">
      <c r="A327"/>
      <c r="B327"/>
      <c r="C327"/>
      <c r="D327"/>
      <c r="E327"/>
      <c r="F327"/>
      <c r="G327"/>
      <c r="J327"/>
      <c r="K327"/>
      <c r="L327"/>
    </row>
    <row r="328" spans="1:12" x14ac:dyDescent="0.2">
      <c r="A328"/>
      <c r="B328"/>
      <c r="C328"/>
      <c r="D328"/>
      <c r="E328"/>
      <c r="F328"/>
      <c r="G328"/>
      <c r="J328"/>
      <c r="K328"/>
      <c r="L328"/>
    </row>
    <row r="329" spans="1:12" x14ac:dyDescent="0.2">
      <c r="A329"/>
      <c r="B329"/>
      <c r="C329"/>
      <c r="D329"/>
      <c r="E329"/>
      <c r="F329"/>
      <c r="G329"/>
      <c r="J329"/>
      <c r="K329"/>
      <c r="L329"/>
    </row>
    <row r="330" spans="1:12" x14ac:dyDescent="0.2">
      <c r="A330"/>
      <c r="B330"/>
      <c r="C330"/>
      <c r="D330"/>
      <c r="E330"/>
      <c r="F330"/>
      <c r="G330"/>
      <c r="J330"/>
      <c r="K330"/>
      <c r="L330"/>
    </row>
    <row r="331" spans="1:12" x14ac:dyDescent="0.2">
      <c r="A331"/>
      <c r="B331"/>
      <c r="C331"/>
      <c r="D331"/>
      <c r="E331"/>
      <c r="F331"/>
      <c r="G331"/>
      <c r="J331"/>
      <c r="K331"/>
      <c r="L331"/>
    </row>
    <row r="332" spans="1:12" x14ac:dyDescent="0.2">
      <c r="A332"/>
      <c r="B332"/>
      <c r="C332"/>
      <c r="D332"/>
      <c r="E332"/>
      <c r="F332"/>
      <c r="G332"/>
      <c r="J332"/>
      <c r="K332"/>
      <c r="L332"/>
    </row>
    <row r="333" spans="1:12" x14ac:dyDescent="0.2">
      <c r="A333"/>
      <c r="B333"/>
      <c r="C333"/>
      <c r="D333"/>
      <c r="E333"/>
      <c r="F333"/>
      <c r="G333"/>
      <c r="J333"/>
      <c r="K333"/>
      <c r="L333"/>
    </row>
    <row r="334" spans="1:12" x14ac:dyDescent="0.2">
      <c r="A334"/>
      <c r="B334"/>
      <c r="C334"/>
      <c r="D334"/>
      <c r="E334"/>
      <c r="F334"/>
      <c r="G334"/>
      <c r="J334"/>
      <c r="K334"/>
      <c r="L334"/>
    </row>
    <row r="335" spans="1:12" x14ac:dyDescent="0.2">
      <c r="A335"/>
      <c r="B335"/>
      <c r="C335"/>
      <c r="D335"/>
      <c r="E335"/>
      <c r="F335"/>
      <c r="G335"/>
      <c r="J335"/>
      <c r="K335"/>
      <c r="L335"/>
    </row>
    <row r="336" spans="1:12" x14ac:dyDescent="0.2">
      <c r="A336"/>
      <c r="B336"/>
      <c r="C336"/>
      <c r="D336"/>
      <c r="E336"/>
      <c r="F336"/>
      <c r="G336"/>
      <c r="J336"/>
      <c r="K336"/>
      <c r="L336"/>
    </row>
    <row r="337" spans="1:12" x14ac:dyDescent="0.2">
      <c r="A337"/>
      <c r="B337"/>
      <c r="C337"/>
      <c r="D337"/>
      <c r="E337"/>
      <c r="F337"/>
      <c r="G337"/>
      <c r="J337"/>
      <c r="K337"/>
      <c r="L337"/>
    </row>
    <row r="338" spans="1:12" x14ac:dyDescent="0.2">
      <c r="A338"/>
      <c r="B338"/>
      <c r="C338"/>
      <c r="D338"/>
      <c r="E338"/>
      <c r="F338"/>
      <c r="G338"/>
      <c r="J338"/>
      <c r="K338"/>
      <c r="L338"/>
    </row>
    <row r="339" spans="1:12" x14ac:dyDescent="0.2">
      <c r="A339"/>
      <c r="B339"/>
      <c r="C339"/>
      <c r="D339"/>
      <c r="E339"/>
      <c r="F339"/>
      <c r="G339"/>
      <c r="J339"/>
      <c r="K339"/>
      <c r="L339"/>
    </row>
    <row r="340" spans="1:12" x14ac:dyDescent="0.2">
      <c r="A340"/>
      <c r="B340"/>
      <c r="C340"/>
      <c r="D340"/>
      <c r="E340"/>
      <c r="F340"/>
      <c r="G340"/>
      <c r="J340"/>
      <c r="K340"/>
      <c r="L340"/>
    </row>
    <row r="341" spans="1:12" x14ac:dyDescent="0.2">
      <c r="A341"/>
      <c r="B341"/>
      <c r="C341"/>
      <c r="D341"/>
      <c r="E341"/>
      <c r="F341"/>
      <c r="G341"/>
      <c r="J341"/>
      <c r="K341"/>
      <c r="L341"/>
    </row>
    <row r="342" spans="1:12" x14ac:dyDescent="0.2">
      <c r="A342"/>
      <c r="B342"/>
      <c r="C342"/>
      <c r="D342"/>
      <c r="E342"/>
      <c r="F342"/>
      <c r="G342"/>
      <c r="J342"/>
      <c r="K342"/>
      <c r="L342"/>
    </row>
    <row r="343" spans="1:12" x14ac:dyDescent="0.2">
      <c r="A343"/>
      <c r="B343"/>
      <c r="C343"/>
      <c r="D343"/>
      <c r="E343"/>
      <c r="F343"/>
      <c r="G343"/>
      <c r="J343"/>
      <c r="K343"/>
      <c r="L343"/>
    </row>
    <row r="344" spans="1:12" x14ac:dyDescent="0.2">
      <c r="A344"/>
      <c r="B344"/>
      <c r="C344"/>
      <c r="D344"/>
      <c r="E344"/>
      <c r="F344"/>
      <c r="G344"/>
      <c r="J344"/>
      <c r="K344"/>
      <c r="L344"/>
    </row>
    <row r="345" spans="1:12" x14ac:dyDescent="0.2">
      <c r="A345"/>
      <c r="B345"/>
      <c r="C345"/>
      <c r="D345"/>
      <c r="E345"/>
      <c r="F345"/>
      <c r="G345"/>
      <c r="J345"/>
      <c r="K345"/>
      <c r="L345"/>
    </row>
    <row r="346" spans="1:12" x14ac:dyDescent="0.2">
      <c r="A346"/>
      <c r="B346"/>
      <c r="C346"/>
      <c r="D346"/>
      <c r="E346"/>
      <c r="F346"/>
      <c r="G346"/>
      <c r="J346"/>
      <c r="K346"/>
      <c r="L346"/>
    </row>
    <row r="347" spans="1:12" x14ac:dyDescent="0.2">
      <c r="A347"/>
      <c r="B347"/>
      <c r="C347"/>
      <c r="D347"/>
      <c r="E347"/>
      <c r="F347"/>
      <c r="G347"/>
      <c r="J347"/>
      <c r="K347"/>
      <c r="L347"/>
    </row>
    <row r="348" spans="1:12" x14ac:dyDescent="0.2">
      <c r="A348"/>
      <c r="B348"/>
      <c r="C348"/>
      <c r="D348"/>
      <c r="E348"/>
      <c r="F348"/>
      <c r="G348"/>
      <c r="J348"/>
      <c r="K348"/>
      <c r="L348"/>
    </row>
    <row r="349" spans="1:12" x14ac:dyDescent="0.2">
      <c r="A349"/>
      <c r="B349"/>
      <c r="C349"/>
      <c r="D349"/>
      <c r="E349"/>
      <c r="F349"/>
      <c r="G349"/>
      <c r="J349"/>
      <c r="K349"/>
      <c r="L349"/>
    </row>
    <row r="350" spans="1:12" x14ac:dyDescent="0.2">
      <c r="A350"/>
      <c r="B350"/>
      <c r="C350"/>
      <c r="D350"/>
      <c r="E350"/>
      <c r="F350"/>
      <c r="G350"/>
      <c r="J350"/>
      <c r="K350"/>
      <c r="L350"/>
    </row>
    <row r="351" spans="1:12" x14ac:dyDescent="0.2">
      <c r="A351"/>
      <c r="B351"/>
      <c r="C351"/>
      <c r="D351"/>
      <c r="E351"/>
      <c r="F351"/>
      <c r="G351"/>
      <c r="J351"/>
      <c r="K351"/>
      <c r="L351"/>
    </row>
    <row r="352" spans="1:12" x14ac:dyDescent="0.2">
      <c r="A352"/>
      <c r="B352"/>
      <c r="C352"/>
      <c r="D352"/>
      <c r="E352"/>
      <c r="F352"/>
      <c r="G352"/>
      <c r="J352"/>
      <c r="K352"/>
      <c r="L352"/>
    </row>
    <row r="353" spans="1:12" x14ac:dyDescent="0.2">
      <c r="A353"/>
      <c r="B353"/>
      <c r="C353"/>
      <c r="D353"/>
      <c r="E353"/>
      <c r="F353"/>
      <c r="G353"/>
      <c r="J353"/>
      <c r="K353"/>
      <c r="L353"/>
    </row>
    <row r="354" spans="1:12" x14ac:dyDescent="0.2">
      <c r="A354"/>
      <c r="B354"/>
      <c r="C354"/>
      <c r="D354"/>
      <c r="E354"/>
      <c r="F354"/>
      <c r="G354"/>
      <c r="J354"/>
      <c r="K354"/>
      <c r="L354"/>
    </row>
    <row r="355" spans="1:12" x14ac:dyDescent="0.2">
      <c r="A355"/>
      <c r="B355"/>
      <c r="C355"/>
      <c r="D355"/>
      <c r="E355"/>
      <c r="F355"/>
      <c r="G355"/>
      <c r="J355"/>
      <c r="K355"/>
      <c r="L355"/>
    </row>
    <row r="356" spans="1:12" x14ac:dyDescent="0.2">
      <c r="A356"/>
      <c r="B356"/>
      <c r="C356"/>
      <c r="D356"/>
      <c r="E356"/>
      <c r="F356"/>
      <c r="G356"/>
      <c r="J356"/>
      <c r="K356"/>
      <c r="L356"/>
    </row>
    <row r="357" spans="1:12" x14ac:dyDescent="0.2">
      <c r="A357"/>
      <c r="B357"/>
      <c r="C357"/>
      <c r="D357"/>
      <c r="E357"/>
      <c r="F357"/>
      <c r="G357"/>
      <c r="J357"/>
      <c r="K357"/>
      <c r="L357"/>
    </row>
    <row r="358" spans="1:12" x14ac:dyDescent="0.2">
      <c r="A358"/>
      <c r="B358"/>
      <c r="C358"/>
      <c r="D358"/>
      <c r="E358"/>
      <c r="F358"/>
      <c r="G358"/>
      <c r="J358"/>
      <c r="K358"/>
      <c r="L358"/>
    </row>
    <row r="359" spans="1:12" x14ac:dyDescent="0.2">
      <c r="A359"/>
      <c r="B359"/>
      <c r="C359"/>
      <c r="D359"/>
      <c r="E359"/>
      <c r="F359"/>
      <c r="G359"/>
      <c r="J359"/>
      <c r="K359"/>
      <c r="L359"/>
    </row>
    <row r="360" spans="1:12" x14ac:dyDescent="0.2">
      <c r="A360"/>
      <c r="B360"/>
      <c r="C360"/>
      <c r="D360"/>
      <c r="E360"/>
      <c r="F360"/>
      <c r="G360"/>
      <c r="J360"/>
      <c r="K360"/>
      <c r="L360"/>
    </row>
    <row r="361" spans="1:12" x14ac:dyDescent="0.2">
      <c r="A361"/>
      <c r="B361"/>
      <c r="C361"/>
      <c r="D361"/>
      <c r="E361"/>
      <c r="F361"/>
      <c r="G361"/>
      <c r="J361"/>
      <c r="K361"/>
      <c r="L361"/>
    </row>
    <row r="362" spans="1:12" x14ac:dyDescent="0.2">
      <c r="A362"/>
      <c r="B362"/>
      <c r="C362"/>
      <c r="D362"/>
      <c r="E362"/>
      <c r="F362"/>
      <c r="G362"/>
      <c r="J362"/>
      <c r="K362"/>
      <c r="L362"/>
    </row>
    <row r="363" spans="1:12" x14ac:dyDescent="0.2">
      <c r="A363"/>
      <c r="B363"/>
      <c r="C363"/>
      <c r="D363"/>
      <c r="E363"/>
      <c r="F363"/>
      <c r="G363"/>
      <c r="J363"/>
      <c r="K363"/>
      <c r="L363"/>
    </row>
    <row r="364" spans="1:12" x14ac:dyDescent="0.2">
      <c r="A364"/>
      <c r="B364"/>
      <c r="C364"/>
      <c r="D364"/>
      <c r="E364"/>
      <c r="F364"/>
      <c r="G364"/>
      <c r="J364"/>
      <c r="K364"/>
      <c r="L364"/>
    </row>
    <row r="365" spans="1:12" x14ac:dyDescent="0.2">
      <c r="A365"/>
      <c r="B365"/>
      <c r="C365"/>
      <c r="D365"/>
      <c r="E365"/>
      <c r="F365"/>
      <c r="G365"/>
      <c r="J365"/>
      <c r="K365"/>
      <c r="L365"/>
    </row>
    <row r="366" spans="1:12" x14ac:dyDescent="0.2">
      <c r="A366"/>
      <c r="B366"/>
      <c r="C366"/>
      <c r="D366"/>
      <c r="E366"/>
      <c r="F366"/>
      <c r="G366"/>
      <c r="J366"/>
      <c r="K366"/>
      <c r="L366"/>
    </row>
    <row r="367" spans="1:12" x14ac:dyDescent="0.2">
      <c r="A367"/>
      <c r="B367"/>
      <c r="C367"/>
      <c r="D367"/>
      <c r="E367"/>
      <c r="F367"/>
      <c r="G367"/>
      <c r="J367"/>
      <c r="K367"/>
      <c r="L367"/>
    </row>
    <row r="368" spans="1:12" x14ac:dyDescent="0.2">
      <c r="A368"/>
      <c r="B368"/>
      <c r="C368"/>
      <c r="D368"/>
      <c r="E368"/>
      <c r="F368"/>
      <c r="G368"/>
      <c r="J368"/>
      <c r="K368"/>
      <c r="L368"/>
    </row>
    <row r="369" spans="1:12" x14ac:dyDescent="0.2">
      <c r="A369"/>
      <c r="B369"/>
      <c r="C369"/>
      <c r="D369"/>
      <c r="E369"/>
      <c r="F369"/>
      <c r="G369"/>
      <c r="J369"/>
      <c r="K369"/>
      <c r="L369"/>
    </row>
    <row r="370" spans="1:12" x14ac:dyDescent="0.2">
      <c r="A370"/>
      <c r="B370"/>
      <c r="C370"/>
      <c r="D370"/>
      <c r="E370"/>
      <c r="F370"/>
      <c r="G370"/>
      <c r="J370"/>
      <c r="K370"/>
      <c r="L370"/>
    </row>
    <row r="371" spans="1:12" x14ac:dyDescent="0.2">
      <c r="A371"/>
      <c r="B371"/>
      <c r="C371"/>
      <c r="D371"/>
      <c r="E371"/>
      <c r="F371"/>
      <c r="G371"/>
      <c r="J371"/>
      <c r="K371"/>
      <c r="L371"/>
    </row>
    <row r="372" spans="1:12" x14ac:dyDescent="0.2">
      <c r="A372"/>
      <c r="B372"/>
      <c r="C372"/>
      <c r="D372"/>
      <c r="E372"/>
      <c r="F372"/>
      <c r="G372"/>
      <c r="J372"/>
      <c r="K372"/>
      <c r="L372"/>
    </row>
    <row r="373" spans="1:12" x14ac:dyDescent="0.2">
      <c r="A373"/>
      <c r="B373"/>
      <c r="C373"/>
      <c r="D373"/>
      <c r="E373"/>
      <c r="F373"/>
      <c r="G373"/>
      <c r="J373"/>
      <c r="K373"/>
      <c r="L373"/>
    </row>
    <row r="374" spans="1:12" x14ac:dyDescent="0.2">
      <c r="A374"/>
      <c r="B374"/>
      <c r="C374"/>
      <c r="D374"/>
      <c r="E374"/>
      <c r="F374"/>
      <c r="G374"/>
      <c r="J374"/>
      <c r="K374"/>
      <c r="L374"/>
    </row>
    <row r="375" spans="1:12" x14ac:dyDescent="0.2">
      <c r="A375"/>
      <c r="B375"/>
      <c r="C375"/>
      <c r="D375"/>
      <c r="E375"/>
      <c r="F375"/>
      <c r="G375"/>
      <c r="J375"/>
      <c r="K375"/>
      <c r="L375"/>
    </row>
    <row r="376" spans="1:12" x14ac:dyDescent="0.2">
      <c r="A376"/>
      <c r="B376"/>
      <c r="C376"/>
      <c r="D376"/>
      <c r="E376"/>
      <c r="F376"/>
      <c r="G376"/>
      <c r="J376"/>
      <c r="K376"/>
      <c r="L376"/>
    </row>
    <row r="377" spans="1:12" x14ac:dyDescent="0.2">
      <c r="A377"/>
      <c r="B377"/>
      <c r="C377"/>
      <c r="D377"/>
      <c r="E377"/>
      <c r="F377"/>
      <c r="G377"/>
      <c r="J377"/>
      <c r="K377"/>
      <c r="L377"/>
    </row>
    <row r="378" spans="1:12" x14ac:dyDescent="0.2">
      <c r="A378"/>
      <c r="B378"/>
      <c r="C378"/>
      <c r="D378"/>
      <c r="E378"/>
      <c r="F378"/>
      <c r="G378"/>
      <c r="J378"/>
      <c r="K378"/>
      <c r="L378"/>
    </row>
    <row r="379" spans="1:12" x14ac:dyDescent="0.2">
      <c r="A379"/>
      <c r="B379"/>
      <c r="C379"/>
      <c r="D379"/>
      <c r="E379"/>
      <c r="F379"/>
      <c r="G379"/>
      <c r="J379"/>
      <c r="K379"/>
      <c r="L379"/>
    </row>
    <row r="380" spans="1:12" x14ac:dyDescent="0.2">
      <c r="A380"/>
      <c r="B380"/>
      <c r="C380"/>
      <c r="D380"/>
      <c r="E380"/>
      <c r="F380"/>
      <c r="G380"/>
      <c r="J380"/>
      <c r="K380"/>
      <c r="L380"/>
    </row>
    <row r="381" spans="1:12" x14ac:dyDescent="0.2">
      <c r="A381"/>
      <c r="B381"/>
      <c r="C381"/>
      <c r="D381"/>
      <c r="E381"/>
      <c r="F381"/>
      <c r="G381"/>
      <c r="J381"/>
      <c r="K381"/>
      <c r="L381"/>
    </row>
    <row r="382" spans="1:12" x14ac:dyDescent="0.2">
      <c r="A382"/>
      <c r="B382"/>
      <c r="C382"/>
      <c r="D382"/>
      <c r="E382"/>
      <c r="F382"/>
      <c r="G382"/>
      <c r="J382"/>
      <c r="K382"/>
      <c r="L382"/>
    </row>
    <row r="383" spans="1:12" x14ac:dyDescent="0.2">
      <c r="A383"/>
      <c r="B383"/>
      <c r="C383"/>
      <c r="D383"/>
      <c r="E383"/>
      <c r="F383"/>
      <c r="G383"/>
      <c r="J383"/>
      <c r="K383"/>
      <c r="L383"/>
    </row>
    <row r="384" spans="1:12" x14ac:dyDescent="0.2">
      <c r="A384"/>
      <c r="B384"/>
      <c r="C384"/>
      <c r="D384"/>
      <c r="E384"/>
      <c r="F384"/>
      <c r="G384"/>
      <c r="J384"/>
      <c r="K384"/>
      <c r="L384"/>
    </row>
    <row r="385" spans="1:12" x14ac:dyDescent="0.2">
      <c r="A385"/>
      <c r="B385"/>
      <c r="C385"/>
      <c r="D385"/>
      <c r="E385"/>
      <c r="F385"/>
      <c r="G385"/>
      <c r="J385"/>
      <c r="K385"/>
      <c r="L385"/>
    </row>
    <row r="386" spans="1:12" x14ac:dyDescent="0.2">
      <c r="A386"/>
      <c r="B386"/>
      <c r="C386"/>
      <c r="D386"/>
      <c r="E386"/>
      <c r="F386"/>
      <c r="G386"/>
      <c r="J386"/>
      <c r="K386"/>
      <c r="L386"/>
    </row>
    <row r="387" spans="1:12" x14ac:dyDescent="0.2">
      <c r="A387"/>
      <c r="B387"/>
      <c r="C387"/>
      <c r="D387"/>
      <c r="E387"/>
      <c r="F387"/>
      <c r="G387"/>
      <c r="J387"/>
      <c r="K387"/>
      <c r="L387"/>
    </row>
    <row r="388" spans="1:12" x14ac:dyDescent="0.2">
      <c r="A388"/>
      <c r="B388"/>
      <c r="C388"/>
      <c r="D388"/>
      <c r="E388"/>
      <c r="F388"/>
      <c r="G388"/>
      <c r="J388"/>
      <c r="K388"/>
      <c r="L388"/>
    </row>
    <row r="389" spans="1:12" x14ac:dyDescent="0.2">
      <c r="A389"/>
      <c r="B389"/>
      <c r="C389"/>
      <c r="D389"/>
      <c r="E389"/>
      <c r="F389"/>
      <c r="G389"/>
      <c r="J389"/>
      <c r="K389"/>
      <c r="L389"/>
    </row>
    <row r="390" spans="1:12" x14ac:dyDescent="0.2">
      <c r="A390"/>
      <c r="B390"/>
      <c r="C390"/>
      <c r="D390"/>
      <c r="E390"/>
      <c r="F390"/>
      <c r="G390"/>
      <c r="J390"/>
      <c r="K390"/>
      <c r="L390"/>
    </row>
    <row r="391" spans="1:12" x14ac:dyDescent="0.2">
      <c r="A391"/>
      <c r="B391"/>
      <c r="C391"/>
      <c r="D391"/>
      <c r="E391"/>
      <c r="F391"/>
      <c r="G391"/>
      <c r="J391"/>
      <c r="K391"/>
      <c r="L391"/>
    </row>
    <row r="392" spans="1:12" x14ac:dyDescent="0.2">
      <c r="A392"/>
      <c r="B392"/>
      <c r="C392"/>
      <c r="D392"/>
      <c r="E392"/>
      <c r="F392"/>
      <c r="G392"/>
      <c r="J392"/>
      <c r="K392"/>
      <c r="L392"/>
    </row>
    <row r="393" spans="1:12" x14ac:dyDescent="0.2">
      <c r="A393"/>
      <c r="B393"/>
      <c r="C393"/>
      <c r="D393"/>
      <c r="E393"/>
      <c r="F393"/>
      <c r="G393"/>
      <c r="J393"/>
      <c r="K393"/>
      <c r="L393"/>
    </row>
    <row r="394" spans="1:12" x14ac:dyDescent="0.2">
      <c r="A394"/>
      <c r="B394"/>
      <c r="C394"/>
      <c r="D394"/>
      <c r="E394"/>
      <c r="F394"/>
      <c r="G394"/>
      <c r="J394"/>
      <c r="K394"/>
      <c r="L394"/>
    </row>
    <row r="395" spans="1:12" x14ac:dyDescent="0.2">
      <c r="A395"/>
      <c r="B395"/>
      <c r="C395"/>
      <c r="D395"/>
      <c r="E395"/>
      <c r="F395"/>
      <c r="G395"/>
      <c r="J395"/>
      <c r="K395"/>
      <c r="L395"/>
    </row>
    <row r="396" spans="1:12" x14ac:dyDescent="0.2">
      <c r="A396"/>
      <c r="B396"/>
      <c r="C396"/>
      <c r="D396"/>
      <c r="E396"/>
      <c r="F396"/>
      <c r="G396"/>
      <c r="J396"/>
      <c r="K396"/>
      <c r="L396"/>
    </row>
    <row r="397" spans="1:12" x14ac:dyDescent="0.2">
      <c r="A397"/>
      <c r="B397"/>
      <c r="C397"/>
      <c r="D397"/>
      <c r="E397"/>
      <c r="F397"/>
      <c r="G397"/>
      <c r="J397"/>
      <c r="K397"/>
      <c r="L397"/>
    </row>
    <row r="398" spans="1:12" x14ac:dyDescent="0.2">
      <c r="A398"/>
      <c r="B398"/>
      <c r="C398"/>
      <c r="D398"/>
      <c r="E398"/>
      <c r="F398"/>
      <c r="G398"/>
      <c r="J398"/>
      <c r="K398"/>
      <c r="L398"/>
    </row>
    <row r="399" spans="1:12" x14ac:dyDescent="0.2">
      <c r="A399"/>
      <c r="B399"/>
      <c r="C399"/>
      <c r="D399"/>
      <c r="E399"/>
      <c r="F399"/>
      <c r="G399"/>
      <c r="J399"/>
      <c r="K399"/>
      <c r="L399"/>
    </row>
    <row r="400" spans="1:12" x14ac:dyDescent="0.2">
      <c r="A400"/>
      <c r="B400"/>
      <c r="C400"/>
      <c r="D400"/>
      <c r="E400"/>
      <c r="F400"/>
      <c r="G400"/>
      <c r="J400"/>
      <c r="K400"/>
      <c r="L400"/>
    </row>
    <row r="401" spans="1:12" x14ac:dyDescent="0.2">
      <c r="A401"/>
      <c r="B401"/>
      <c r="C401"/>
      <c r="D401"/>
      <c r="E401"/>
      <c r="F401"/>
      <c r="G401"/>
      <c r="J401"/>
      <c r="K401"/>
      <c r="L401"/>
    </row>
    <row r="402" spans="1:12" x14ac:dyDescent="0.2">
      <c r="A402"/>
      <c r="B402"/>
      <c r="C402"/>
      <c r="D402"/>
      <c r="E402"/>
      <c r="F402"/>
      <c r="G402"/>
      <c r="J402"/>
      <c r="K402"/>
      <c r="L402"/>
    </row>
    <row r="403" spans="1:12" x14ac:dyDescent="0.2">
      <c r="A403"/>
      <c r="B403"/>
      <c r="C403"/>
      <c r="D403"/>
      <c r="E403"/>
      <c r="F403"/>
      <c r="G403"/>
      <c r="J403"/>
      <c r="K403"/>
      <c r="L403"/>
    </row>
    <row r="404" spans="1:12" x14ac:dyDescent="0.2">
      <c r="A404"/>
      <c r="B404"/>
      <c r="C404"/>
      <c r="D404"/>
      <c r="E404"/>
      <c r="F404"/>
      <c r="G404"/>
      <c r="J404"/>
      <c r="K404"/>
      <c r="L404"/>
    </row>
    <row r="405" spans="1:12" x14ac:dyDescent="0.2">
      <c r="A405"/>
      <c r="B405"/>
      <c r="C405"/>
      <c r="D405"/>
      <c r="E405"/>
      <c r="F405"/>
      <c r="G405"/>
      <c r="J405"/>
      <c r="K405"/>
      <c r="L405"/>
    </row>
    <row r="406" spans="1:12" x14ac:dyDescent="0.2">
      <c r="A406"/>
      <c r="B406"/>
      <c r="C406"/>
      <c r="D406"/>
      <c r="E406"/>
      <c r="F406"/>
      <c r="G406"/>
      <c r="J406"/>
      <c r="K406"/>
      <c r="L406"/>
    </row>
    <row r="407" spans="1:12" x14ac:dyDescent="0.2">
      <c r="A407"/>
      <c r="B407"/>
      <c r="C407"/>
      <c r="D407"/>
      <c r="E407"/>
      <c r="F407"/>
      <c r="G407"/>
      <c r="J407"/>
      <c r="K407"/>
      <c r="L407"/>
    </row>
    <row r="408" spans="1:12" x14ac:dyDescent="0.2">
      <c r="A408"/>
      <c r="B408"/>
      <c r="C408"/>
      <c r="D408"/>
      <c r="E408"/>
      <c r="F408"/>
      <c r="G408"/>
      <c r="J408"/>
      <c r="K408"/>
      <c r="L408"/>
    </row>
    <row r="409" spans="1:12" x14ac:dyDescent="0.2">
      <c r="A409"/>
      <c r="B409"/>
      <c r="C409"/>
      <c r="D409"/>
      <c r="E409"/>
      <c r="F409"/>
      <c r="G409"/>
      <c r="J409"/>
      <c r="K409"/>
      <c r="L409"/>
    </row>
    <row r="410" spans="1:12" x14ac:dyDescent="0.2">
      <c r="A410"/>
      <c r="B410"/>
      <c r="C410"/>
      <c r="D410"/>
      <c r="E410"/>
      <c r="F410"/>
      <c r="G410"/>
      <c r="J410"/>
      <c r="K410"/>
      <c r="L410"/>
    </row>
    <row r="411" spans="1:12" x14ac:dyDescent="0.2">
      <c r="A411"/>
      <c r="B411"/>
      <c r="C411"/>
      <c r="D411"/>
      <c r="E411"/>
      <c r="F411"/>
      <c r="G411"/>
      <c r="J411"/>
      <c r="K411"/>
      <c r="L411"/>
    </row>
    <row r="412" spans="1:12" x14ac:dyDescent="0.2">
      <c r="A412"/>
      <c r="B412"/>
      <c r="C412"/>
      <c r="D412"/>
      <c r="E412"/>
      <c r="F412"/>
      <c r="G412"/>
      <c r="J412"/>
      <c r="K412"/>
      <c r="L412"/>
    </row>
    <row r="413" spans="1:12" x14ac:dyDescent="0.2">
      <c r="A413"/>
      <c r="B413"/>
      <c r="C413"/>
      <c r="D413"/>
      <c r="E413"/>
      <c r="F413"/>
      <c r="G413"/>
      <c r="J413"/>
      <c r="K413"/>
      <c r="L413"/>
    </row>
    <row r="414" spans="1:12" x14ac:dyDescent="0.2">
      <c r="A414"/>
      <c r="B414"/>
      <c r="C414"/>
      <c r="D414"/>
      <c r="E414"/>
      <c r="F414"/>
      <c r="G414"/>
      <c r="J414"/>
      <c r="K414"/>
      <c r="L414"/>
    </row>
    <row r="415" spans="1:12" x14ac:dyDescent="0.2">
      <c r="A415"/>
      <c r="B415"/>
      <c r="C415"/>
      <c r="D415"/>
      <c r="E415"/>
      <c r="F415"/>
      <c r="G415"/>
      <c r="J415"/>
      <c r="K415"/>
      <c r="L415"/>
    </row>
    <row r="416" spans="1:12" x14ac:dyDescent="0.2">
      <c r="A416"/>
      <c r="B416"/>
      <c r="C416"/>
      <c r="D416"/>
      <c r="E416"/>
      <c r="F416"/>
      <c r="G416"/>
      <c r="J416"/>
      <c r="K416"/>
      <c r="L416"/>
    </row>
    <row r="417" spans="1:12" x14ac:dyDescent="0.2">
      <c r="A417"/>
      <c r="B417"/>
      <c r="C417"/>
      <c r="D417"/>
      <c r="E417"/>
      <c r="F417"/>
      <c r="G417"/>
      <c r="J417"/>
      <c r="K417"/>
      <c r="L417"/>
    </row>
    <row r="418" spans="1:12" x14ac:dyDescent="0.2">
      <c r="A418"/>
      <c r="B418"/>
      <c r="C418"/>
      <c r="D418"/>
      <c r="E418"/>
      <c r="F418"/>
      <c r="G418"/>
      <c r="J418"/>
      <c r="K418"/>
      <c r="L418"/>
    </row>
    <row r="419" spans="1:12" x14ac:dyDescent="0.2">
      <c r="A419"/>
      <c r="B419"/>
      <c r="C419"/>
      <c r="D419"/>
      <c r="E419"/>
      <c r="F419"/>
      <c r="G419"/>
      <c r="J419"/>
      <c r="K419"/>
      <c r="L419"/>
    </row>
    <row r="420" spans="1:12" x14ac:dyDescent="0.2">
      <c r="A420"/>
      <c r="B420"/>
      <c r="C420"/>
      <c r="D420"/>
      <c r="E420"/>
      <c r="F420"/>
      <c r="G420"/>
      <c r="J420"/>
      <c r="K420"/>
      <c r="L420"/>
    </row>
    <row r="421" spans="1:12" x14ac:dyDescent="0.2">
      <c r="A421"/>
      <c r="B421"/>
      <c r="C421"/>
      <c r="D421"/>
      <c r="E421"/>
      <c r="F421"/>
      <c r="G421"/>
      <c r="J421"/>
      <c r="K421"/>
      <c r="L421"/>
    </row>
    <row r="422" spans="1:12" x14ac:dyDescent="0.2">
      <c r="A422"/>
      <c r="B422"/>
      <c r="C422"/>
      <c r="D422"/>
      <c r="E422"/>
      <c r="F422"/>
      <c r="G422"/>
      <c r="J422"/>
      <c r="K422"/>
      <c r="L422"/>
    </row>
    <row r="423" spans="1:12" x14ac:dyDescent="0.2">
      <c r="A423"/>
      <c r="B423"/>
      <c r="C423"/>
      <c r="D423"/>
      <c r="E423"/>
      <c r="F423"/>
      <c r="G423"/>
      <c r="J423"/>
      <c r="K423"/>
      <c r="L423"/>
    </row>
    <row r="424" spans="1:12" x14ac:dyDescent="0.2">
      <c r="A424"/>
      <c r="B424"/>
      <c r="C424"/>
      <c r="D424"/>
      <c r="E424"/>
      <c r="F424"/>
      <c r="G424"/>
      <c r="J424"/>
      <c r="K424"/>
      <c r="L424"/>
    </row>
    <row r="425" spans="1:12" x14ac:dyDescent="0.2">
      <c r="A425"/>
      <c r="B425"/>
      <c r="C425"/>
      <c r="D425"/>
      <c r="E425"/>
      <c r="F425"/>
      <c r="G425"/>
      <c r="J425"/>
      <c r="K425"/>
      <c r="L425"/>
    </row>
    <row r="426" spans="1:12" x14ac:dyDescent="0.2">
      <c r="A426"/>
      <c r="B426"/>
      <c r="C426"/>
      <c r="D426"/>
      <c r="E426"/>
      <c r="F426"/>
      <c r="G426"/>
      <c r="J426"/>
      <c r="K426"/>
      <c r="L426"/>
    </row>
    <row r="427" spans="1:12" x14ac:dyDescent="0.2">
      <c r="A427"/>
      <c r="B427"/>
      <c r="C427"/>
      <c r="D427"/>
      <c r="E427"/>
      <c r="F427"/>
      <c r="G427"/>
      <c r="J427"/>
      <c r="K427"/>
      <c r="L427"/>
    </row>
    <row r="428" spans="1:12" x14ac:dyDescent="0.2">
      <c r="A428"/>
      <c r="B428"/>
      <c r="C428"/>
      <c r="D428"/>
      <c r="E428"/>
      <c r="F428"/>
      <c r="G428"/>
      <c r="J428"/>
      <c r="K428"/>
      <c r="L428"/>
    </row>
    <row r="429" spans="1:12" x14ac:dyDescent="0.2">
      <c r="A429"/>
      <c r="B429"/>
      <c r="C429"/>
      <c r="D429"/>
      <c r="E429"/>
      <c r="F429"/>
      <c r="G429"/>
      <c r="J429"/>
      <c r="K429"/>
      <c r="L429"/>
    </row>
    <row r="430" spans="1:12" x14ac:dyDescent="0.2">
      <c r="A430"/>
      <c r="B430"/>
      <c r="C430"/>
      <c r="D430"/>
      <c r="E430"/>
      <c r="F430"/>
      <c r="G430"/>
      <c r="J430"/>
      <c r="K430"/>
      <c r="L430"/>
    </row>
    <row r="431" spans="1:12" x14ac:dyDescent="0.2">
      <c r="A431"/>
      <c r="B431"/>
      <c r="C431"/>
      <c r="D431"/>
      <c r="E431"/>
      <c r="F431"/>
      <c r="G431"/>
      <c r="J431"/>
      <c r="K431"/>
      <c r="L431"/>
    </row>
    <row r="432" spans="1:12" x14ac:dyDescent="0.2">
      <c r="A432"/>
      <c r="B432"/>
      <c r="C432"/>
      <c r="D432"/>
      <c r="E432"/>
      <c r="F432"/>
      <c r="G432"/>
      <c r="J432"/>
      <c r="K432"/>
      <c r="L432"/>
    </row>
    <row r="433" spans="1:12" x14ac:dyDescent="0.2">
      <c r="A433"/>
      <c r="B433"/>
      <c r="C433"/>
      <c r="D433"/>
      <c r="E433"/>
      <c r="F433"/>
      <c r="G433"/>
      <c r="J433"/>
      <c r="K433"/>
      <c r="L433"/>
    </row>
    <row r="434" spans="1:12" x14ac:dyDescent="0.2">
      <c r="A434"/>
      <c r="B434"/>
      <c r="C434"/>
      <c r="D434"/>
      <c r="E434"/>
      <c r="F434"/>
      <c r="G434"/>
      <c r="J434"/>
      <c r="K434"/>
      <c r="L434"/>
    </row>
    <row r="435" spans="1:12" x14ac:dyDescent="0.2">
      <c r="A435"/>
      <c r="B435"/>
      <c r="C435"/>
      <c r="D435"/>
      <c r="E435"/>
      <c r="F435"/>
      <c r="G435"/>
      <c r="J435"/>
      <c r="K435"/>
      <c r="L435"/>
    </row>
    <row r="436" spans="1:12" x14ac:dyDescent="0.2">
      <c r="A436"/>
      <c r="B436"/>
      <c r="C436"/>
      <c r="D436"/>
      <c r="E436"/>
      <c r="F436"/>
      <c r="G436"/>
      <c r="J436"/>
      <c r="K436"/>
      <c r="L436"/>
    </row>
    <row r="437" spans="1:12" x14ac:dyDescent="0.2">
      <c r="A437"/>
      <c r="B437"/>
      <c r="C437"/>
      <c r="D437"/>
      <c r="E437"/>
      <c r="F437"/>
      <c r="G437"/>
      <c r="J437"/>
      <c r="K437"/>
      <c r="L437"/>
    </row>
    <row r="438" spans="1:12" x14ac:dyDescent="0.2">
      <c r="A438"/>
      <c r="B438"/>
      <c r="C438"/>
      <c r="D438"/>
      <c r="E438"/>
      <c r="F438"/>
      <c r="G438"/>
      <c r="J438"/>
      <c r="K438"/>
      <c r="L438"/>
    </row>
    <row r="439" spans="1:12" x14ac:dyDescent="0.2">
      <c r="A439"/>
      <c r="B439"/>
      <c r="C439"/>
      <c r="D439"/>
      <c r="E439"/>
      <c r="F439"/>
      <c r="G439"/>
      <c r="J439"/>
      <c r="K439"/>
      <c r="L439"/>
    </row>
    <row r="440" spans="1:12" x14ac:dyDescent="0.2">
      <c r="A440"/>
      <c r="B440"/>
      <c r="C440"/>
      <c r="D440"/>
      <c r="E440"/>
      <c r="F440"/>
      <c r="G440"/>
      <c r="J440"/>
      <c r="K440"/>
      <c r="L440"/>
    </row>
    <row r="441" spans="1:12" x14ac:dyDescent="0.2">
      <c r="A441"/>
      <c r="B441"/>
      <c r="C441"/>
      <c r="D441"/>
      <c r="E441"/>
      <c r="F441"/>
      <c r="G441"/>
      <c r="J441"/>
      <c r="K441"/>
      <c r="L441"/>
    </row>
    <row r="442" spans="1:12" x14ac:dyDescent="0.2">
      <c r="A442"/>
      <c r="B442"/>
      <c r="C442"/>
      <c r="D442"/>
      <c r="E442"/>
      <c r="F442"/>
      <c r="G442"/>
      <c r="J442"/>
      <c r="K442"/>
      <c r="L442"/>
    </row>
    <row r="443" spans="1:12" x14ac:dyDescent="0.2">
      <c r="A443"/>
      <c r="B443"/>
      <c r="C443"/>
      <c r="D443"/>
      <c r="E443"/>
      <c r="F443"/>
      <c r="G443"/>
      <c r="J443"/>
      <c r="K443"/>
      <c r="L443"/>
    </row>
    <row r="444" spans="1:12" x14ac:dyDescent="0.2">
      <c r="A444"/>
      <c r="B444"/>
      <c r="C444"/>
      <c r="D444"/>
      <c r="E444"/>
      <c r="F444"/>
      <c r="G444"/>
      <c r="J444"/>
      <c r="K444"/>
      <c r="L444"/>
    </row>
    <row r="445" spans="1:12" x14ac:dyDescent="0.2">
      <c r="A445"/>
      <c r="B445"/>
      <c r="C445"/>
      <c r="D445"/>
      <c r="E445"/>
      <c r="F445"/>
      <c r="G445"/>
      <c r="J445"/>
      <c r="K445"/>
      <c r="L445"/>
    </row>
    <row r="446" spans="1:12" x14ac:dyDescent="0.2">
      <c r="A446"/>
      <c r="B446"/>
      <c r="C446"/>
      <c r="D446"/>
      <c r="E446"/>
      <c r="F446"/>
      <c r="G446"/>
      <c r="J446"/>
      <c r="K446"/>
      <c r="L446"/>
    </row>
    <row r="447" spans="1:12" x14ac:dyDescent="0.2">
      <c r="A447"/>
      <c r="B447"/>
      <c r="C447"/>
      <c r="D447"/>
      <c r="E447"/>
      <c r="F447"/>
      <c r="G447"/>
      <c r="J447"/>
      <c r="K447"/>
      <c r="L447"/>
    </row>
    <row r="448" spans="1:12" x14ac:dyDescent="0.2">
      <c r="A448"/>
      <c r="B448"/>
      <c r="C448"/>
      <c r="D448"/>
      <c r="E448"/>
      <c r="F448"/>
      <c r="G448"/>
      <c r="J448"/>
      <c r="K448"/>
      <c r="L448"/>
    </row>
    <row r="449" spans="1:12" x14ac:dyDescent="0.2">
      <c r="A449"/>
      <c r="B449"/>
      <c r="C449"/>
      <c r="D449"/>
      <c r="E449"/>
      <c r="F449"/>
      <c r="G449"/>
      <c r="J449"/>
      <c r="K449"/>
      <c r="L449"/>
    </row>
    <row r="450" spans="1:12" x14ac:dyDescent="0.2">
      <c r="A450"/>
      <c r="B450"/>
      <c r="C450"/>
      <c r="D450"/>
      <c r="E450"/>
      <c r="F450"/>
      <c r="G450"/>
      <c r="J450"/>
      <c r="K450"/>
      <c r="L450"/>
    </row>
    <row r="451" spans="1:12" x14ac:dyDescent="0.2">
      <c r="A451"/>
      <c r="B451"/>
      <c r="C451"/>
      <c r="D451"/>
      <c r="E451"/>
      <c r="F451"/>
      <c r="G451"/>
      <c r="J451"/>
      <c r="K451"/>
      <c r="L451"/>
    </row>
    <row r="452" spans="1:12" x14ac:dyDescent="0.2">
      <c r="A452"/>
      <c r="B452"/>
      <c r="C452"/>
      <c r="D452"/>
      <c r="E452"/>
      <c r="F452"/>
      <c r="G452"/>
      <c r="J452"/>
      <c r="K452"/>
      <c r="L452"/>
    </row>
    <row r="453" spans="1:12" x14ac:dyDescent="0.2">
      <c r="A453"/>
      <c r="B453"/>
      <c r="C453"/>
      <c r="D453"/>
      <c r="E453"/>
      <c r="F453"/>
      <c r="G453"/>
      <c r="J453"/>
      <c r="K453"/>
      <c r="L453"/>
    </row>
    <row r="454" spans="1:12" x14ac:dyDescent="0.2">
      <c r="A454"/>
      <c r="B454"/>
      <c r="C454"/>
      <c r="D454"/>
      <c r="E454"/>
      <c r="F454"/>
      <c r="G454"/>
      <c r="J454"/>
      <c r="K454"/>
      <c r="L454"/>
    </row>
    <row r="455" spans="1:12" x14ac:dyDescent="0.2">
      <c r="A455"/>
      <c r="B455"/>
      <c r="C455"/>
      <c r="D455"/>
      <c r="E455"/>
      <c r="F455"/>
      <c r="G455"/>
      <c r="J455"/>
      <c r="K455"/>
      <c r="L455"/>
    </row>
    <row r="456" spans="1:12" x14ac:dyDescent="0.2">
      <c r="A456"/>
      <c r="B456"/>
      <c r="C456"/>
      <c r="D456"/>
      <c r="E456"/>
      <c r="F456"/>
      <c r="G456"/>
      <c r="J456"/>
      <c r="K456"/>
      <c r="L456"/>
    </row>
    <row r="457" spans="1:12" x14ac:dyDescent="0.2">
      <c r="A457"/>
      <c r="B457"/>
      <c r="C457"/>
      <c r="D457"/>
      <c r="E457"/>
      <c r="F457"/>
      <c r="G457"/>
      <c r="J457"/>
      <c r="K457"/>
      <c r="L457"/>
    </row>
    <row r="458" spans="1:12" x14ac:dyDescent="0.2">
      <c r="A458"/>
      <c r="B458"/>
      <c r="C458"/>
      <c r="D458"/>
      <c r="E458"/>
      <c r="F458"/>
      <c r="G458"/>
      <c r="J458"/>
      <c r="K458"/>
      <c r="L458"/>
    </row>
    <row r="459" spans="1:12" x14ac:dyDescent="0.2">
      <c r="A459"/>
      <c r="B459"/>
      <c r="C459"/>
      <c r="D459"/>
      <c r="E459"/>
      <c r="F459"/>
      <c r="G459"/>
      <c r="J459"/>
      <c r="K459"/>
      <c r="L459"/>
    </row>
    <row r="460" spans="1:12" x14ac:dyDescent="0.2">
      <c r="A460"/>
      <c r="B460"/>
      <c r="C460"/>
      <c r="D460"/>
      <c r="E460"/>
      <c r="F460"/>
      <c r="G460"/>
      <c r="J460"/>
      <c r="K460"/>
      <c r="L460"/>
    </row>
    <row r="461" spans="1:12" x14ac:dyDescent="0.2">
      <c r="A461"/>
      <c r="B461"/>
      <c r="C461"/>
      <c r="D461"/>
      <c r="E461"/>
      <c r="F461"/>
      <c r="G461"/>
      <c r="J461"/>
      <c r="K461"/>
      <c r="L461"/>
    </row>
    <row r="462" spans="1:12" x14ac:dyDescent="0.2">
      <c r="A462"/>
      <c r="B462"/>
      <c r="C462"/>
      <c r="D462"/>
      <c r="E462"/>
      <c r="F462"/>
      <c r="G462"/>
      <c r="J462"/>
      <c r="K462"/>
      <c r="L462"/>
    </row>
    <row r="463" spans="1:12" x14ac:dyDescent="0.2">
      <c r="A463"/>
      <c r="B463"/>
      <c r="C463"/>
      <c r="D463"/>
      <c r="E463"/>
      <c r="F463"/>
      <c r="G463"/>
      <c r="J463"/>
      <c r="K463"/>
      <c r="L463"/>
    </row>
    <row r="464" spans="1:12" x14ac:dyDescent="0.2">
      <c r="A464"/>
      <c r="B464"/>
      <c r="C464"/>
      <c r="D464"/>
      <c r="E464"/>
      <c r="F464"/>
      <c r="G464"/>
      <c r="J464"/>
      <c r="K464"/>
      <c r="L464"/>
    </row>
    <row r="465" spans="1:12" x14ac:dyDescent="0.2">
      <c r="A465"/>
      <c r="B465"/>
      <c r="C465"/>
      <c r="D465"/>
      <c r="E465"/>
      <c r="F465"/>
      <c r="G465"/>
      <c r="J465"/>
      <c r="K465"/>
      <c r="L465"/>
    </row>
    <row r="466" spans="1:12" x14ac:dyDescent="0.2">
      <c r="A466"/>
      <c r="B466"/>
      <c r="C466"/>
      <c r="D466"/>
      <c r="E466"/>
      <c r="F466"/>
      <c r="G466"/>
      <c r="J466"/>
      <c r="K466"/>
      <c r="L466"/>
    </row>
    <row r="467" spans="1:12" x14ac:dyDescent="0.2">
      <c r="A467"/>
      <c r="B467"/>
      <c r="C467"/>
      <c r="D467"/>
      <c r="E467"/>
      <c r="F467"/>
      <c r="G467"/>
      <c r="J467"/>
      <c r="K467"/>
      <c r="L467"/>
    </row>
    <row r="468" spans="1:12" x14ac:dyDescent="0.2">
      <c r="A468"/>
      <c r="B468"/>
      <c r="C468"/>
      <c r="D468"/>
      <c r="E468"/>
      <c r="F468"/>
      <c r="G468"/>
      <c r="J468"/>
      <c r="K468"/>
      <c r="L468"/>
    </row>
    <row r="469" spans="1:12" x14ac:dyDescent="0.2">
      <c r="A469"/>
      <c r="B469"/>
      <c r="C469"/>
      <c r="D469"/>
      <c r="E469"/>
      <c r="F469"/>
      <c r="G469"/>
      <c r="J469"/>
      <c r="K469"/>
      <c r="L469"/>
    </row>
    <row r="470" spans="1:12" x14ac:dyDescent="0.2">
      <c r="A470"/>
      <c r="B470"/>
      <c r="C470"/>
      <c r="D470"/>
      <c r="E470"/>
      <c r="F470"/>
      <c r="G470"/>
      <c r="J470"/>
      <c r="K470"/>
      <c r="L470"/>
    </row>
    <row r="471" spans="1:12" x14ac:dyDescent="0.2">
      <c r="A471"/>
      <c r="B471"/>
      <c r="C471"/>
      <c r="D471"/>
      <c r="E471"/>
      <c r="F471"/>
      <c r="G471"/>
      <c r="J471"/>
      <c r="K471"/>
      <c r="L471"/>
    </row>
    <row r="472" spans="1:12" x14ac:dyDescent="0.2">
      <c r="A472"/>
      <c r="B472"/>
      <c r="C472"/>
      <c r="D472"/>
      <c r="E472"/>
      <c r="F472"/>
      <c r="G472"/>
      <c r="J472"/>
      <c r="K472"/>
      <c r="L472"/>
    </row>
    <row r="473" spans="1:12" x14ac:dyDescent="0.2">
      <c r="A473"/>
      <c r="B473"/>
      <c r="C473"/>
      <c r="D473"/>
      <c r="E473"/>
      <c r="F473"/>
      <c r="G473"/>
      <c r="J473"/>
      <c r="K473"/>
      <c r="L473"/>
    </row>
    <row r="474" spans="1:12" x14ac:dyDescent="0.2">
      <c r="A474"/>
      <c r="B474"/>
      <c r="C474"/>
      <c r="D474"/>
      <c r="E474"/>
      <c r="F474"/>
      <c r="G474"/>
      <c r="J474"/>
      <c r="K474"/>
      <c r="L474"/>
    </row>
    <row r="475" spans="1:12" x14ac:dyDescent="0.2">
      <c r="A475"/>
      <c r="B475"/>
      <c r="C475"/>
      <c r="D475"/>
      <c r="E475"/>
      <c r="F475"/>
      <c r="G475"/>
      <c r="J475"/>
      <c r="K475"/>
      <c r="L475"/>
    </row>
    <row r="476" spans="1:12" x14ac:dyDescent="0.2">
      <c r="A476"/>
      <c r="B476"/>
      <c r="C476"/>
      <c r="D476"/>
      <c r="E476"/>
      <c r="F476"/>
      <c r="G476"/>
      <c r="J476"/>
      <c r="K476"/>
      <c r="L476"/>
    </row>
    <row r="477" spans="1:12" x14ac:dyDescent="0.2">
      <c r="A477"/>
      <c r="B477"/>
      <c r="C477"/>
      <c r="D477"/>
      <c r="E477"/>
      <c r="F477"/>
      <c r="G477"/>
      <c r="J477"/>
      <c r="K477"/>
      <c r="L477"/>
    </row>
    <row r="478" spans="1:12" x14ac:dyDescent="0.2">
      <c r="A478"/>
      <c r="B478"/>
      <c r="C478"/>
      <c r="D478"/>
      <c r="E478"/>
      <c r="F478"/>
      <c r="G478"/>
      <c r="J478"/>
      <c r="K478"/>
      <c r="L478"/>
    </row>
    <row r="479" spans="1:12" x14ac:dyDescent="0.2">
      <c r="A479"/>
      <c r="B479"/>
      <c r="C479"/>
      <c r="D479"/>
      <c r="E479"/>
      <c r="F479"/>
      <c r="G479"/>
      <c r="J479"/>
      <c r="K479"/>
      <c r="L479"/>
    </row>
    <row r="480" spans="1:12" x14ac:dyDescent="0.2">
      <c r="A480"/>
      <c r="B480"/>
      <c r="C480"/>
      <c r="D480"/>
      <c r="E480"/>
      <c r="F480"/>
      <c r="G480"/>
      <c r="J480"/>
      <c r="K480"/>
      <c r="L480"/>
    </row>
    <row r="481" spans="1:12" x14ac:dyDescent="0.2">
      <c r="A481"/>
      <c r="B481"/>
      <c r="C481"/>
      <c r="D481"/>
      <c r="E481"/>
      <c r="F481"/>
      <c r="G481"/>
      <c r="J481"/>
      <c r="K481"/>
      <c r="L481"/>
    </row>
    <row r="482" spans="1:12" x14ac:dyDescent="0.2">
      <c r="A482"/>
      <c r="B482"/>
      <c r="C482"/>
      <c r="D482"/>
      <c r="E482"/>
      <c r="F482"/>
      <c r="G482"/>
      <c r="J482"/>
      <c r="K482"/>
      <c r="L482"/>
    </row>
    <row r="483" spans="1:12" x14ac:dyDescent="0.2">
      <c r="A483"/>
      <c r="B483"/>
      <c r="C483"/>
      <c r="D483"/>
      <c r="E483"/>
      <c r="F483"/>
      <c r="G483"/>
      <c r="J483"/>
      <c r="K483"/>
      <c r="L483"/>
    </row>
    <row r="484" spans="1:12" x14ac:dyDescent="0.2">
      <c r="A484"/>
      <c r="B484"/>
      <c r="C484"/>
      <c r="D484"/>
      <c r="E484"/>
      <c r="F484"/>
      <c r="G484"/>
      <c r="J484"/>
      <c r="K484"/>
      <c r="L484"/>
    </row>
    <row r="485" spans="1:12" x14ac:dyDescent="0.2">
      <c r="A485"/>
      <c r="B485"/>
      <c r="C485"/>
      <c r="D485"/>
      <c r="E485"/>
      <c r="F485"/>
      <c r="G485"/>
      <c r="J485"/>
      <c r="K485"/>
      <c r="L485"/>
    </row>
    <row r="486" spans="1:12" x14ac:dyDescent="0.2">
      <c r="A486"/>
      <c r="B486"/>
      <c r="C486"/>
      <c r="D486"/>
      <c r="E486"/>
      <c r="F486"/>
      <c r="G486"/>
      <c r="J486"/>
      <c r="K486"/>
      <c r="L486"/>
    </row>
    <row r="487" spans="1:12" x14ac:dyDescent="0.2">
      <c r="A487"/>
      <c r="B487"/>
      <c r="C487"/>
      <c r="D487"/>
      <c r="E487"/>
      <c r="F487"/>
      <c r="G487"/>
      <c r="J487"/>
      <c r="K487"/>
      <c r="L487"/>
    </row>
    <row r="488" spans="1:12" x14ac:dyDescent="0.2">
      <c r="A488"/>
      <c r="B488"/>
      <c r="C488"/>
      <c r="D488"/>
      <c r="E488"/>
      <c r="F488"/>
      <c r="G488"/>
      <c r="J488"/>
      <c r="K488"/>
      <c r="L488"/>
    </row>
    <row r="489" spans="1:12" x14ac:dyDescent="0.2">
      <c r="A489"/>
      <c r="B489"/>
      <c r="C489"/>
      <c r="D489"/>
      <c r="E489"/>
      <c r="F489"/>
      <c r="G489"/>
      <c r="J489"/>
      <c r="K489"/>
      <c r="L489"/>
    </row>
    <row r="490" spans="1:12" x14ac:dyDescent="0.2">
      <c r="A490"/>
      <c r="B490"/>
      <c r="C490"/>
      <c r="D490"/>
      <c r="E490"/>
      <c r="F490"/>
      <c r="G490"/>
      <c r="J490"/>
      <c r="K490"/>
      <c r="L490"/>
    </row>
    <row r="491" spans="1:12" x14ac:dyDescent="0.2">
      <c r="A491"/>
      <c r="B491"/>
      <c r="C491"/>
      <c r="D491"/>
      <c r="E491"/>
      <c r="F491"/>
      <c r="G491"/>
      <c r="J491"/>
      <c r="K491"/>
      <c r="L491"/>
    </row>
    <row r="492" spans="1:12" x14ac:dyDescent="0.2">
      <c r="A492"/>
      <c r="B492"/>
      <c r="C492"/>
      <c r="D492"/>
      <c r="E492"/>
      <c r="F492"/>
      <c r="G492"/>
      <c r="J492"/>
      <c r="K492"/>
      <c r="L492"/>
    </row>
    <row r="493" spans="1:12" x14ac:dyDescent="0.2">
      <c r="A493"/>
      <c r="B493"/>
      <c r="C493"/>
      <c r="D493"/>
      <c r="E493"/>
      <c r="F493"/>
      <c r="G493"/>
      <c r="J493"/>
      <c r="K493"/>
      <c r="L493"/>
    </row>
    <row r="494" spans="1:12" x14ac:dyDescent="0.2">
      <c r="A494"/>
      <c r="B494"/>
      <c r="C494"/>
      <c r="D494"/>
      <c r="E494"/>
      <c r="F494"/>
      <c r="G494"/>
      <c r="J494"/>
      <c r="K494"/>
      <c r="L494"/>
    </row>
    <row r="495" spans="1:12" x14ac:dyDescent="0.2">
      <c r="A495"/>
      <c r="B495"/>
      <c r="C495"/>
      <c r="D495"/>
      <c r="E495"/>
      <c r="F495"/>
      <c r="G495"/>
      <c r="J495"/>
      <c r="K495"/>
      <c r="L495"/>
    </row>
    <row r="496" spans="1:12" x14ac:dyDescent="0.2">
      <c r="A496"/>
      <c r="B496"/>
      <c r="C496"/>
      <c r="D496"/>
      <c r="E496"/>
      <c r="F496"/>
      <c r="G496"/>
      <c r="J496"/>
      <c r="K496"/>
      <c r="L496"/>
    </row>
    <row r="497" spans="1:12" x14ac:dyDescent="0.2">
      <c r="A497"/>
      <c r="B497"/>
      <c r="C497"/>
      <c r="D497"/>
      <c r="E497"/>
      <c r="F497"/>
      <c r="G497"/>
      <c r="J497"/>
      <c r="K497"/>
      <c r="L497"/>
    </row>
    <row r="498" spans="1:12" x14ac:dyDescent="0.2">
      <c r="A498"/>
      <c r="B498"/>
      <c r="C498"/>
      <c r="D498"/>
      <c r="E498"/>
      <c r="F498"/>
      <c r="G498"/>
      <c r="J498"/>
      <c r="K498"/>
      <c r="L498"/>
    </row>
    <row r="499" spans="1:12" x14ac:dyDescent="0.2">
      <c r="A499"/>
      <c r="B499"/>
      <c r="C499"/>
      <c r="D499"/>
      <c r="E499"/>
      <c r="F499"/>
      <c r="G499"/>
      <c r="J499"/>
      <c r="K499"/>
      <c r="L499"/>
    </row>
    <row r="500" spans="1:12" x14ac:dyDescent="0.2">
      <c r="A500"/>
      <c r="B500"/>
      <c r="C500"/>
      <c r="D500"/>
      <c r="E500"/>
      <c r="F500"/>
      <c r="G500"/>
      <c r="J500"/>
      <c r="K500"/>
      <c r="L500"/>
    </row>
    <row r="501" spans="1:12" x14ac:dyDescent="0.2">
      <c r="A501"/>
      <c r="B501"/>
      <c r="C501"/>
      <c r="D501"/>
      <c r="E501"/>
      <c r="F501"/>
      <c r="G501"/>
      <c r="J501"/>
      <c r="K501"/>
      <c r="L501"/>
    </row>
    <row r="502" spans="1:12" x14ac:dyDescent="0.2">
      <c r="A502"/>
      <c r="B502"/>
      <c r="C502"/>
      <c r="D502"/>
      <c r="E502"/>
      <c r="F502"/>
      <c r="G502"/>
      <c r="J502"/>
      <c r="K502"/>
      <c r="L502"/>
    </row>
    <row r="503" spans="1:12" x14ac:dyDescent="0.2">
      <c r="A503"/>
      <c r="B503"/>
      <c r="C503"/>
      <c r="D503"/>
      <c r="E503"/>
      <c r="F503"/>
      <c r="G503"/>
      <c r="J503"/>
      <c r="K503"/>
      <c r="L503"/>
    </row>
    <row r="504" spans="1:12" x14ac:dyDescent="0.2">
      <c r="A504"/>
      <c r="B504"/>
      <c r="C504"/>
      <c r="D504"/>
      <c r="E504"/>
      <c r="F504"/>
      <c r="G504"/>
      <c r="J504"/>
      <c r="K504"/>
      <c r="L504"/>
    </row>
    <row r="505" spans="1:12" x14ac:dyDescent="0.2">
      <c r="A505"/>
      <c r="B505"/>
      <c r="C505"/>
      <c r="D505"/>
      <c r="E505"/>
      <c r="F505"/>
      <c r="G505"/>
      <c r="J505"/>
      <c r="K505"/>
      <c r="L505"/>
    </row>
    <row r="506" spans="1:12" x14ac:dyDescent="0.2">
      <c r="A506"/>
      <c r="B506"/>
      <c r="C506"/>
      <c r="D506"/>
      <c r="E506"/>
      <c r="F506"/>
      <c r="G506"/>
      <c r="J506"/>
      <c r="K506"/>
      <c r="L506"/>
    </row>
    <row r="507" spans="1:12" x14ac:dyDescent="0.2">
      <c r="A507"/>
      <c r="B507"/>
      <c r="C507"/>
      <c r="D507"/>
      <c r="E507"/>
      <c r="F507"/>
      <c r="G507"/>
      <c r="J507"/>
      <c r="K507"/>
      <c r="L507"/>
    </row>
    <row r="508" spans="1:12" x14ac:dyDescent="0.2">
      <c r="A508"/>
      <c r="B508"/>
      <c r="C508"/>
      <c r="D508"/>
      <c r="E508"/>
      <c r="F508"/>
      <c r="G508"/>
      <c r="J508"/>
      <c r="K508"/>
      <c r="L508"/>
    </row>
    <row r="509" spans="1:12" x14ac:dyDescent="0.2">
      <c r="A509"/>
      <c r="B509"/>
      <c r="C509"/>
      <c r="D509"/>
      <c r="E509"/>
      <c r="F509"/>
      <c r="G509"/>
      <c r="J509"/>
      <c r="K509"/>
      <c r="L509"/>
    </row>
    <row r="510" spans="1:12" x14ac:dyDescent="0.2">
      <c r="A510"/>
      <c r="B510"/>
      <c r="C510"/>
      <c r="D510"/>
      <c r="E510"/>
      <c r="F510"/>
      <c r="G510"/>
      <c r="J510"/>
      <c r="K510"/>
      <c r="L510"/>
    </row>
    <row r="511" spans="1:12" x14ac:dyDescent="0.2">
      <c r="A511"/>
      <c r="B511"/>
      <c r="C511"/>
      <c r="D511"/>
      <c r="E511"/>
      <c r="F511"/>
      <c r="G511"/>
      <c r="J511"/>
      <c r="K511"/>
      <c r="L511"/>
    </row>
    <row r="512" spans="1:12" x14ac:dyDescent="0.2">
      <c r="A512"/>
      <c r="B512"/>
      <c r="C512"/>
      <c r="D512"/>
      <c r="E512"/>
      <c r="F512"/>
      <c r="G512"/>
      <c r="J512"/>
      <c r="K512"/>
      <c r="L512"/>
    </row>
    <row r="513" spans="1:12" x14ac:dyDescent="0.2">
      <c r="A513"/>
      <c r="B513"/>
      <c r="C513"/>
      <c r="D513"/>
      <c r="E513"/>
      <c r="F513"/>
      <c r="G513"/>
      <c r="J513"/>
      <c r="K513"/>
      <c r="L513"/>
    </row>
    <row r="514" spans="1:12" x14ac:dyDescent="0.2">
      <c r="A514"/>
      <c r="B514"/>
      <c r="C514"/>
      <c r="D514"/>
      <c r="E514"/>
      <c r="F514"/>
      <c r="G514"/>
      <c r="J514"/>
      <c r="K514"/>
      <c r="L514"/>
    </row>
    <row r="515" spans="1:12" x14ac:dyDescent="0.2">
      <c r="A515"/>
      <c r="B515"/>
      <c r="C515"/>
      <c r="D515"/>
      <c r="E515"/>
      <c r="F515"/>
      <c r="G515"/>
      <c r="J515"/>
      <c r="K515"/>
      <c r="L515"/>
    </row>
    <row r="516" spans="1:12" x14ac:dyDescent="0.2">
      <c r="A516"/>
      <c r="B516"/>
      <c r="C516"/>
      <c r="D516"/>
      <c r="E516"/>
      <c r="F516"/>
      <c r="G516"/>
      <c r="J516"/>
      <c r="K516"/>
      <c r="L516"/>
    </row>
    <row r="517" spans="1:12" x14ac:dyDescent="0.2">
      <c r="A517"/>
      <c r="B517"/>
      <c r="C517"/>
      <c r="D517"/>
      <c r="E517"/>
      <c r="F517"/>
      <c r="G517"/>
      <c r="J517"/>
      <c r="K517"/>
      <c r="L517"/>
    </row>
    <row r="518" spans="1:12" x14ac:dyDescent="0.2">
      <c r="A518"/>
      <c r="B518"/>
      <c r="C518"/>
      <c r="D518"/>
      <c r="E518"/>
      <c r="F518"/>
      <c r="G518"/>
      <c r="J518"/>
      <c r="K518"/>
      <c r="L518"/>
    </row>
    <row r="519" spans="1:12" x14ac:dyDescent="0.2">
      <c r="A519"/>
      <c r="B519"/>
      <c r="C519"/>
      <c r="D519"/>
      <c r="E519"/>
      <c r="F519"/>
      <c r="G519"/>
      <c r="J519"/>
      <c r="K519"/>
      <c r="L519"/>
    </row>
    <row r="520" spans="1:12" x14ac:dyDescent="0.2">
      <c r="A520"/>
      <c r="B520"/>
      <c r="C520"/>
      <c r="D520"/>
      <c r="E520"/>
      <c r="F520"/>
      <c r="G520"/>
      <c r="J520"/>
      <c r="K520"/>
      <c r="L520"/>
    </row>
    <row r="521" spans="1:12" x14ac:dyDescent="0.2">
      <c r="A521"/>
      <c r="B521"/>
      <c r="C521"/>
      <c r="D521"/>
      <c r="E521"/>
      <c r="F521"/>
      <c r="G521"/>
      <c r="J521"/>
      <c r="K521"/>
      <c r="L521"/>
    </row>
    <row r="522" spans="1:12" x14ac:dyDescent="0.2">
      <c r="A522"/>
      <c r="B522"/>
      <c r="C522"/>
      <c r="D522"/>
      <c r="E522"/>
      <c r="F522"/>
      <c r="G522"/>
      <c r="J522"/>
      <c r="K522"/>
      <c r="L522"/>
    </row>
    <row r="523" spans="1:12" x14ac:dyDescent="0.2">
      <c r="A523"/>
      <c r="B523"/>
      <c r="C523"/>
      <c r="D523"/>
      <c r="E523"/>
      <c r="F523"/>
      <c r="G523"/>
      <c r="J523"/>
      <c r="K523"/>
      <c r="L523"/>
    </row>
    <row r="524" spans="1:12" x14ac:dyDescent="0.2">
      <c r="A524"/>
      <c r="B524"/>
      <c r="C524"/>
      <c r="D524"/>
      <c r="E524"/>
      <c r="F524"/>
      <c r="G524"/>
      <c r="J524"/>
      <c r="K524"/>
      <c r="L524"/>
    </row>
    <row r="525" spans="1:12" x14ac:dyDescent="0.2">
      <c r="A525"/>
      <c r="B525"/>
      <c r="C525"/>
      <c r="D525"/>
      <c r="E525"/>
      <c r="F525"/>
      <c r="G525"/>
      <c r="J525"/>
      <c r="K525"/>
      <c r="L525"/>
    </row>
    <row r="526" spans="1:12" x14ac:dyDescent="0.2">
      <c r="A526"/>
      <c r="B526"/>
      <c r="C526"/>
      <c r="D526"/>
      <c r="E526"/>
      <c r="F526"/>
      <c r="G526"/>
      <c r="J526"/>
      <c r="K526"/>
      <c r="L526"/>
    </row>
    <row r="527" spans="1:12" x14ac:dyDescent="0.2">
      <c r="A527"/>
      <c r="B527"/>
      <c r="C527"/>
      <c r="D527"/>
      <c r="E527"/>
      <c r="F527"/>
      <c r="G527"/>
      <c r="J527"/>
      <c r="K527"/>
      <c r="L527"/>
    </row>
    <row r="528" spans="1:12" x14ac:dyDescent="0.2">
      <c r="A528"/>
      <c r="B528"/>
      <c r="C528"/>
      <c r="D528"/>
      <c r="E528"/>
      <c r="F528"/>
      <c r="G528"/>
      <c r="J528"/>
      <c r="K528"/>
      <c r="L528"/>
    </row>
    <row r="529" spans="1:12" x14ac:dyDescent="0.2">
      <c r="A529"/>
      <c r="B529"/>
      <c r="C529"/>
      <c r="D529"/>
      <c r="E529"/>
      <c r="F529"/>
      <c r="G529"/>
      <c r="J529"/>
      <c r="K529"/>
      <c r="L529"/>
    </row>
    <row r="530" spans="1:12" x14ac:dyDescent="0.2">
      <c r="A530"/>
      <c r="B530"/>
      <c r="C530"/>
      <c r="D530"/>
      <c r="E530"/>
      <c r="F530"/>
      <c r="G530"/>
      <c r="J530"/>
      <c r="K530"/>
      <c r="L530"/>
    </row>
    <row r="531" spans="1:12" x14ac:dyDescent="0.2">
      <c r="A531"/>
      <c r="B531"/>
      <c r="C531"/>
      <c r="D531"/>
      <c r="E531"/>
      <c r="F531"/>
      <c r="G531"/>
      <c r="J531"/>
      <c r="K531"/>
      <c r="L531"/>
    </row>
    <row r="532" spans="1:12" x14ac:dyDescent="0.2">
      <c r="A532"/>
      <c r="B532"/>
      <c r="C532"/>
      <c r="D532"/>
      <c r="E532"/>
      <c r="F532"/>
      <c r="G532"/>
      <c r="J532"/>
      <c r="K532"/>
      <c r="L532"/>
    </row>
    <row r="533" spans="1:12" x14ac:dyDescent="0.2">
      <c r="A533"/>
      <c r="B533"/>
      <c r="C533"/>
      <c r="D533"/>
      <c r="E533"/>
      <c r="F533"/>
      <c r="G533"/>
      <c r="J533"/>
      <c r="K533"/>
      <c r="L533"/>
    </row>
    <row r="534" spans="1:12" x14ac:dyDescent="0.2">
      <c r="A534"/>
      <c r="B534"/>
      <c r="C534"/>
      <c r="D534"/>
      <c r="E534"/>
      <c r="F534"/>
      <c r="G534"/>
      <c r="J534"/>
      <c r="K534"/>
      <c r="L534"/>
    </row>
    <row r="535" spans="1:12" x14ac:dyDescent="0.2">
      <c r="A535"/>
      <c r="B535"/>
      <c r="C535"/>
      <c r="D535"/>
      <c r="E535"/>
      <c r="F535"/>
      <c r="G535"/>
      <c r="J535"/>
      <c r="K535"/>
      <c r="L535"/>
    </row>
    <row r="536" spans="1:12" x14ac:dyDescent="0.2">
      <c r="A536"/>
      <c r="B536"/>
      <c r="C536"/>
      <c r="D536"/>
      <c r="E536"/>
      <c r="F536"/>
      <c r="G536"/>
      <c r="J536"/>
      <c r="K536"/>
      <c r="L536"/>
    </row>
    <row r="537" spans="1:12" x14ac:dyDescent="0.2">
      <c r="A537"/>
      <c r="B537"/>
      <c r="C537"/>
      <c r="D537"/>
      <c r="E537"/>
      <c r="F537"/>
      <c r="G537"/>
      <c r="J537"/>
      <c r="K537"/>
      <c r="L537"/>
    </row>
    <row r="538" spans="1:12" x14ac:dyDescent="0.2">
      <c r="A538"/>
      <c r="B538"/>
      <c r="C538"/>
      <c r="D538"/>
      <c r="E538"/>
      <c r="F538"/>
      <c r="G538"/>
      <c r="J538"/>
      <c r="K538"/>
      <c r="L538"/>
    </row>
    <row r="539" spans="1:12" x14ac:dyDescent="0.2">
      <c r="A539"/>
      <c r="B539"/>
      <c r="C539"/>
      <c r="D539"/>
      <c r="E539"/>
      <c r="F539"/>
      <c r="G539"/>
      <c r="J539"/>
      <c r="K539"/>
      <c r="L539"/>
    </row>
    <row r="540" spans="1:12" x14ac:dyDescent="0.2">
      <c r="A540"/>
      <c r="B540"/>
      <c r="C540"/>
      <c r="D540"/>
      <c r="E540"/>
      <c r="F540"/>
      <c r="G540"/>
      <c r="J540"/>
      <c r="K540"/>
      <c r="L540"/>
    </row>
    <row r="541" spans="1:12" x14ac:dyDescent="0.2">
      <c r="A541"/>
      <c r="B541"/>
      <c r="C541"/>
      <c r="D541"/>
      <c r="E541"/>
      <c r="F541"/>
      <c r="G541"/>
      <c r="J541"/>
      <c r="K541"/>
      <c r="L541"/>
    </row>
    <row r="542" spans="1:12" x14ac:dyDescent="0.2">
      <c r="A542"/>
      <c r="B542"/>
      <c r="C542"/>
      <c r="D542"/>
      <c r="E542"/>
      <c r="F542"/>
      <c r="G542"/>
      <c r="J542"/>
      <c r="K542"/>
      <c r="L542"/>
    </row>
    <row r="543" spans="1:12" x14ac:dyDescent="0.2">
      <c r="A543"/>
      <c r="B543"/>
      <c r="C543"/>
      <c r="D543"/>
      <c r="E543"/>
      <c r="F543"/>
      <c r="G543"/>
      <c r="J543"/>
      <c r="K543"/>
      <c r="L543"/>
    </row>
    <row r="544" spans="1:12" x14ac:dyDescent="0.2">
      <c r="A544"/>
      <c r="B544"/>
      <c r="C544"/>
      <c r="D544"/>
      <c r="E544"/>
      <c r="F544"/>
      <c r="G544"/>
      <c r="J544"/>
      <c r="K544"/>
      <c r="L544"/>
    </row>
    <row r="545" spans="1:12" x14ac:dyDescent="0.2">
      <c r="A545"/>
      <c r="B545"/>
      <c r="C545"/>
      <c r="D545"/>
      <c r="E545"/>
      <c r="F545"/>
      <c r="G545"/>
      <c r="J545"/>
      <c r="K545"/>
      <c r="L545"/>
    </row>
    <row r="546" spans="1:12" x14ac:dyDescent="0.2">
      <c r="A546"/>
      <c r="B546"/>
      <c r="C546"/>
      <c r="D546"/>
      <c r="E546"/>
      <c r="F546"/>
      <c r="G546"/>
      <c r="J546"/>
      <c r="K546"/>
      <c r="L546"/>
    </row>
    <row r="547" spans="1:12" x14ac:dyDescent="0.2">
      <c r="A547"/>
      <c r="B547"/>
      <c r="C547"/>
      <c r="D547"/>
      <c r="E547"/>
      <c r="F547"/>
      <c r="G547"/>
      <c r="J547"/>
      <c r="K547"/>
      <c r="L547"/>
    </row>
    <row r="548" spans="1:12" x14ac:dyDescent="0.2">
      <c r="A548"/>
      <c r="B548"/>
      <c r="C548"/>
      <c r="D548"/>
      <c r="E548"/>
      <c r="F548"/>
      <c r="G548"/>
      <c r="J548"/>
      <c r="K548"/>
      <c r="L548"/>
    </row>
    <row r="549" spans="1:12" x14ac:dyDescent="0.2">
      <c r="A549"/>
      <c r="B549"/>
      <c r="C549"/>
      <c r="D549"/>
      <c r="E549"/>
      <c r="F549"/>
      <c r="G549"/>
      <c r="J549"/>
      <c r="K549"/>
      <c r="L549"/>
    </row>
    <row r="550" spans="1:12" x14ac:dyDescent="0.2">
      <c r="A550"/>
      <c r="B550"/>
      <c r="C550"/>
      <c r="D550"/>
      <c r="E550"/>
      <c r="F550"/>
      <c r="G550"/>
      <c r="J550"/>
      <c r="K550"/>
      <c r="L550"/>
    </row>
    <row r="551" spans="1:12" x14ac:dyDescent="0.2">
      <c r="A551"/>
      <c r="B551"/>
      <c r="C551"/>
      <c r="D551"/>
      <c r="E551"/>
      <c r="F551"/>
      <c r="G551"/>
      <c r="J551"/>
      <c r="K551"/>
      <c r="L551"/>
    </row>
    <row r="552" spans="1:12" x14ac:dyDescent="0.2">
      <c r="A552"/>
      <c r="B552"/>
      <c r="C552"/>
      <c r="D552"/>
      <c r="E552"/>
      <c r="F552"/>
      <c r="G552"/>
      <c r="J552"/>
      <c r="K552"/>
      <c r="L552"/>
    </row>
    <row r="553" spans="1:12" x14ac:dyDescent="0.2">
      <c r="A553"/>
      <c r="B553"/>
      <c r="C553"/>
      <c r="D553"/>
      <c r="E553"/>
      <c r="F553"/>
      <c r="G553"/>
      <c r="J553"/>
      <c r="K553"/>
      <c r="L553"/>
    </row>
    <row r="554" spans="1:12" x14ac:dyDescent="0.2">
      <c r="A554"/>
      <c r="B554"/>
      <c r="C554"/>
      <c r="D554"/>
      <c r="E554"/>
      <c r="F554"/>
      <c r="G554"/>
      <c r="J554"/>
      <c r="K554"/>
      <c r="L554"/>
    </row>
    <row r="555" spans="1:12" x14ac:dyDescent="0.2">
      <c r="A555"/>
      <c r="B555"/>
      <c r="C555"/>
      <c r="D555"/>
      <c r="E555"/>
      <c r="F555"/>
      <c r="G555"/>
      <c r="J555"/>
      <c r="K555"/>
      <c r="L555"/>
    </row>
    <row r="556" spans="1:12" x14ac:dyDescent="0.2">
      <c r="A556"/>
      <c r="B556"/>
      <c r="C556"/>
      <c r="D556"/>
      <c r="E556"/>
      <c r="F556"/>
      <c r="G556"/>
      <c r="J556"/>
      <c r="K556"/>
      <c r="L556"/>
    </row>
    <row r="557" spans="1:12" x14ac:dyDescent="0.2">
      <c r="A557"/>
      <c r="B557"/>
      <c r="C557"/>
      <c r="D557"/>
      <c r="E557"/>
      <c r="F557"/>
      <c r="G557"/>
      <c r="J557"/>
      <c r="K557"/>
      <c r="L557"/>
    </row>
    <row r="558" spans="1:12" x14ac:dyDescent="0.2">
      <c r="A558"/>
      <c r="B558"/>
      <c r="C558"/>
      <c r="D558"/>
      <c r="E558"/>
      <c r="F558"/>
      <c r="G558"/>
      <c r="J558"/>
      <c r="K558"/>
      <c r="L558"/>
    </row>
    <row r="559" spans="1:12" x14ac:dyDescent="0.2">
      <c r="A559"/>
      <c r="B559"/>
      <c r="C559"/>
      <c r="D559"/>
      <c r="E559"/>
      <c r="F559"/>
      <c r="G559"/>
      <c r="J559"/>
      <c r="K559"/>
      <c r="L559"/>
    </row>
    <row r="560" spans="1:12" x14ac:dyDescent="0.2">
      <c r="A560"/>
      <c r="B560"/>
      <c r="C560"/>
      <c r="D560"/>
      <c r="E560"/>
      <c r="F560"/>
      <c r="G560"/>
      <c r="J560"/>
      <c r="K560"/>
      <c r="L560"/>
    </row>
    <row r="561" spans="1:12" x14ac:dyDescent="0.2">
      <c r="A561"/>
      <c r="B561"/>
      <c r="C561"/>
      <c r="D561"/>
      <c r="E561"/>
      <c r="F561"/>
      <c r="G561"/>
      <c r="J561"/>
      <c r="K561"/>
      <c r="L561"/>
    </row>
    <row r="562" spans="1:12" x14ac:dyDescent="0.2">
      <c r="A562"/>
      <c r="B562"/>
      <c r="C562"/>
      <c r="D562"/>
      <c r="E562"/>
      <c r="F562"/>
      <c r="G562"/>
      <c r="J562"/>
      <c r="K562"/>
      <c r="L562"/>
    </row>
    <row r="563" spans="1:12" x14ac:dyDescent="0.2">
      <c r="A563"/>
      <c r="B563"/>
      <c r="C563"/>
      <c r="D563"/>
      <c r="E563"/>
      <c r="F563"/>
      <c r="G563"/>
      <c r="J563"/>
      <c r="K563"/>
      <c r="L563"/>
    </row>
    <row r="564" spans="1:12" x14ac:dyDescent="0.2">
      <c r="A564"/>
      <c r="B564"/>
      <c r="C564"/>
      <c r="D564"/>
      <c r="E564"/>
      <c r="F564"/>
      <c r="G564"/>
      <c r="J564"/>
      <c r="K564"/>
      <c r="L564"/>
    </row>
    <row r="565" spans="1:12" x14ac:dyDescent="0.2">
      <c r="A565"/>
      <c r="B565"/>
      <c r="C565"/>
      <c r="D565"/>
      <c r="E565"/>
      <c r="F565"/>
      <c r="G565"/>
      <c r="J565"/>
      <c r="K565"/>
      <c r="L565"/>
    </row>
    <row r="566" spans="1:12" x14ac:dyDescent="0.2">
      <c r="A566"/>
      <c r="B566"/>
      <c r="C566"/>
      <c r="D566"/>
      <c r="E566"/>
      <c r="F566"/>
      <c r="G566"/>
      <c r="J566"/>
      <c r="K566"/>
      <c r="L566"/>
    </row>
    <row r="567" spans="1:12" x14ac:dyDescent="0.2">
      <c r="A567"/>
      <c r="B567"/>
      <c r="C567"/>
      <c r="D567"/>
      <c r="E567"/>
      <c r="F567"/>
      <c r="G567"/>
      <c r="J567"/>
      <c r="K567"/>
      <c r="L567"/>
    </row>
    <row r="568" spans="1:12" x14ac:dyDescent="0.2">
      <c r="A568"/>
      <c r="B568"/>
      <c r="C568"/>
      <c r="D568"/>
      <c r="E568"/>
      <c r="F568"/>
      <c r="G568"/>
      <c r="J568"/>
      <c r="K568"/>
      <c r="L568"/>
    </row>
    <row r="569" spans="1:12" x14ac:dyDescent="0.2">
      <c r="A569"/>
      <c r="B569"/>
      <c r="C569"/>
      <c r="D569"/>
      <c r="E569"/>
      <c r="F569"/>
      <c r="G569"/>
      <c r="J569"/>
      <c r="K569"/>
      <c r="L569"/>
    </row>
    <row r="570" spans="1:12" x14ac:dyDescent="0.2">
      <c r="A570"/>
      <c r="B570"/>
      <c r="C570"/>
      <c r="D570"/>
      <c r="E570"/>
      <c r="F570"/>
      <c r="G570"/>
      <c r="J570"/>
      <c r="K570"/>
      <c r="L570"/>
    </row>
    <row r="571" spans="1:12" x14ac:dyDescent="0.2">
      <c r="A571"/>
      <c r="B571"/>
      <c r="C571"/>
      <c r="D571"/>
      <c r="E571"/>
      <c r="F571"/>
      <c r="G571"/>
      <c r="J571"/>
      <c r="K571"/>
      <c r="L571"/>
    </row>
    <row r="572" spans="1:12" x14ac:dyDescent="0.2">
      <c r="A572"/>
      <c r="B572"/>
      <c r="C572"/>
      <c r="D572"/>
      <c r="E572"/>
      <c r="F572"/>
      <c r="G572"/>
      <c r="J572"/>
      <c r="K572"/>
      <c r="L572"/>
    </row>
    <row r="573" spans="1:12" x14ac:dyDescent="0.2">
      <c r="A573"/>
      <c r="B573"/>
      <c r="C573"/>
      <c r="D573"/>
      <c r="E573"/>
      <c r="F573"/>
      <c r="G573"/>
      <c r="J573"/>
      <c r="K573"/>
      <c r="L573"/>
    </row>
    <row r="574" spans="1:12" x14ac:dyDescent="0.2">
      <c r="A574"/>
      <c r="B574"/>
      <c r="C574"/>
      <c r="D574"/>
      <c r="E574"/>
      <c r="F574"/>
      <c r="G574"/>
      <c r="J574"/>
      <c r="K574"/>
      <c r="L574"/>
    </row>
    <row r="575" spans="1:12" x14ac:dyDescent="0.2">
      <c r="A575"/>
      <c r="B575"/>
      <c r="C575"/>
      <c r="D575"/>
      <c r="E575"/>
      <c r="F575"/>
      <c r="G575"/>
      <c r="J575"/>
      <c r="K575"/>
      <c r="L575"/>
    </row>
    <row r="576" spans="1:12" x14ac:dyDescent="0.2">
      <c r="A576"/>
      <c r="B576"/>
      <c r="C576"/>
      <c r="D576"/>
      <c r="E576"/>
      <c r="F576"/>
      <c r="G576"/>
      <c r="J576"/>
      <c r="K576"/>
      <c r="L576"/>
    </row>
    <row r="577" spans="1:12" x14ac:dyDescent="0.2">
      <c r="A577"/>
      <c r="B577"/>
      <c r="C577"/>
      <c r="D577"/>
      <c r="E577"/>
      <c r="F577"/>
      <c r="G577"/>
      <c r="J577"/>
      <c r="K577"/>
      <c r="L577"/>
    </row>
    <row r="578" spans="1:12" x14ac:dyDescent="0.2">
      <c r="A578"/>
      <c r="B578"/>
      <c r="C578"/>
      <c r="D578"/>
      <c r="E578"/>
      <c r="F578"/>
      <c r="G578"/>
      <c r="J578"/>
      <c r="K578"/>
      <c r="L578"/>
    </row>
    <row r="579" spans="1:12" x14ac:dyDescent="0.2">
      <c r="A579"/>
      <c r="B579"/>
      <c r="C579"/>
      <c r="D579"/>
      <c r="E579"/>
      <c r="F579"/>
      <c r="G579"/>
      <c r="J579"/>
      <c r="K579"/>
      <c r="L579"/>
    </row>
    <row r="580" spans="1:12" x14ac:dyDescent="0.2">
      <c r="A580"/>
      <c r="B580"/>
      <c r="C580"/>
      <c r="D580"/>
      <c r="E580"/>
      <c r="F580"/>
      <c r="G580"/>
      <c r="J580"/>
      <c r="K580"/>
      <c r="L580"/>
    </row>
    <row r="581" spans="1:12" x14ac:dyDescent="0.2">
      <c r="A581"/>
      <c r="B581"/>
      <c r="C581"/>
      <c r="D581"/>
      <c r="E581"/>
      <c r="F581"/>
      <c r="G581"/>
      <c r="J581"/>
      <c r="K581"/>
      <c r="L581"/>
    </row>
    <row r="582" spans="1:12" x14ac:dyDescent="0.2">
      <c r="A582"/>
      <c r="B582"/>
      <c r="C582"/>
      <c r="D582"/>
      <c r="E582"/>
      <c r="F582"/>
      <c r="G582"/>
      <c r="J582"/>
      <c r="K582"/>
      <c r="L582"/>
    </row>
    <row r="583" spans="1:12" x14ac:dyDescent="0.2">
      <c r="A583"/>
      <c r="B583"/>
      <c r="C583"/>
      <c r="D583"/>
      <c r="E583"/>
      <c r="F583"/>
      <c r="G583"/>
      <c r="J583"/>
      <c r="K583"/>
      <c r="L583"/>
    </row>
    <row r="584" spans="1:12" x14ac:dyDescent="0.2">
      <c r="A584"/>
      <c r="B584"/>
      <c r="C584"/>
      <c r="D584"/>
      <c r="E584"/>
      <c r="F584"/>
      <c r="G584"/>
      <c r="J584"/>
      <c r="K584"/>
      <c r="L584"/>
    </row>
    <row r="585" spans="1:12" x14ac:dyDescent="0.2">
      <c r="A585"/>
      <c r="B585"/>
      <c r="C585"/>
      <c r="D585"/>
      <c r="E585"/>
      <c r="F585"/>
      <c r="G585"/>
      <c r="J585"/>
      <c r="K585"/>
      <c r="L585"/>
    </row>
    <row r="586" spans="1:12" x14ac:dyDescent="0.2">
      <c r="A586"/>
      <c r="B586"/>
      <c r="C586"/>
      <c r="D586"/>
      <c r="E586"/>
      <c r="F586"/>
      <c r="G586"/>
      <c r="J586"/>
      <c r="K586"/>
      <c r="L586"/>
    </row>
    <row r="587" spans="1:12" x14ac:dyDescent="0.2">
      <c r="A587"/>
      <c r="B587"/>
      <c r="C587"/>
      <c r="D587"/>
      <c r="E587"/>
      <c r="F587"/>
      <c r="G587"/>
      <c r="J587"/>
      <c r="K587"/>
      <c r="L587"/>
    </row>
    <row r="588" spans="1:12" x14ac:dyDescent="0.2">
      <c r="A588"/>
      <c r="B588"/>
      <c r="C588"/>
      <c r="D588"/>
      <c r="E588"/>
      <c r="F588"/>
      <c r="G588"/>
      <c r="J588"/>
      <c r="K588"/>
      <c r="L588"/>
    </row>
    <row r="589" spans="1:12" x14ac:dyDescent="0.2">
      <c r="A589"/>
      <c r="B589"/>
      <c r="C589"/>
      <c r="D589"/>
      <c r="E589"/>
      <c r="F589"/>
      <c r="G589"/>
      <c r="J589"/>
      <c r="K589"/>
      <c r="L589"/>
    </row>
    <row r="590" spans="1:12" x14ac:dyDescent="0.2">
      <c r="A590"/>
      <c r="B590"/>
      <c r="C590"/>
      <c r="D590"/>
      <c r="E590"/>
      <c r="F590"/>
      <c r="G590"/>
      <c r="J590"/>
      <c r="K590"/>
      <c r="L590"/>
    </row>
    <row r="591" spans="1:12" x14ac:dyDescent="0.2">
      <c r="A591"/>
      <c r="B591"/>
      <c r="C591"/>
      <c r="D591"/>
      <c r="E591"/>
      <c r="F591"/>
      <c r="G591"/>
      <c r="J591"/>
      <c r="K591"/>
      <c r="L591"/>
    </row>
    <row r="592" spans="1:12" x14ac:dyDescent="0.2">
      <c r="A592"/>
      <c r="B592"/>
      <c r="C592"/>
      <c r="D592"/>
      <c r="E592"/>
      <c r="F592"/>
      <c r="G592"/>
      <c r="J592"/>
      <c r="K592"/>
      <c r="L592"/>
    </row>
    <row r="593" spans="1:12" x14ac:dyDescent="0.2">
      <c r="A593"/>
      <c r="B593"/>
      <c r="C593"/>
      <c r="D593"/>
      <c r="E593"/>
      <c r="F593"/>
      <c r="G593"/>
      <c r="J593"/>
      <c r="K593"/>
      <c r="L593"/>
    </row>
    <row r="594" spans="1:12" x14ac:dyDescent="0.2">
      <c r="A594"/>
      <c r="B594"/>
      <c r="C594"/>
      <c r="D594"/>
      <c r="E594"/>
      <c r="F594"/>
      <c r="G594"/>
      <c r="J594"/>
      <c r="K594"/>
      <c r="L594"/>
    </row>
    <row r="595" spans="1:12" x14ac:dyDescent="0.2">
      <c r="A595"/>
      <c r="B595"/>
      <c r="C595"/>
      <c r="D595"/>
      <c r="E595"/>
      <c r="F595"/>
      <c r="G595"/>
      <c r="J595"/>
      <c r="K595"/>
      <c r="L595"/>
    </row>
    <row r="596" spans="1:12" x14ac:dyDescent="0.2">
      <c r="A596"/>
      <c r="B596"/>
      <c r="C596"/>
      <c r="D596"/>
      <c r="E596"/>
      <c r="F596"/>
      <c r="G596"/>
      <c r="J596"/>
      <c r="K596"/>
      <c r="L596"/>
    </row>
    <row r="597" spans="1:12" x14ac:dyDescent="0.2">
      <c r="A597"/>
      <c r="B597"/>
      <c r="C597"/>
      <c r="D597"/>
      <c r="E597"/>
      <c r="F597"/>
      <c r="G597"/>
      <c r="J597"/>
      <c r="K597"/>
      <c r="L597"/>
    </row>
    <row r="598" spans="1:12" x14ac:dyDescent="0.2">
      <c r="A598"/>
      <c r="B598"/>
      <c r="C598"/>
      <c r="D598"/>
      <c r="E598"/>
      <c r="F598"/>
      <c r="G598"/>
      <c r="J598"/>
      <c r="K598"/>
      <c r="L598"/>
    </row>
    <row r="599" spans="1:12" x14ac:dyDescent="0.2">
      <c r="A599"/>
      <c r="B599"/>
      <c r="C599"/>
      <c r="D599"/>
      <c r="E599"/>
      <c r="F599"/>
      <c r="G599"/>
      <c r="J599"/>
      <c r="K599"/>
      <c r="L599"/>
    </row>
    <row r="600" spans="1:12" x14ac:dyDescent="0.2">
      <c r="A600"/>
      <c r="B600"/>
      <c r="C600"/>
      <c r="D600"/>
      <c r="E600"/>
      <c r="F600"/>
      <c r="G600"/>
      <c r="J600"/>
      <c r="K600"/>
      <c r="L600"/>
    </row>
    <row r="601" spans="1:12" x14ac:dyDescent="0.2">
      <c r="A601"/>
      <c r="B601"/>
      <c r="C601"/>
      <c r="D601"/>
      <c r="E601"/>
      <c r="F601"/>
      <c r="G601"/>
      <c r="J601"/>
      <c r="K601"/>
      <c r="L601"/>
    </row>
    <row r="602" spans="1:12" x14ac:dyDescent="0.2">
      <c r="A602"/>
      <c r="B602"/>
      <c r="C602"/>
      <c r="D602"/>
      <c r="E602"/>
      <c r="F602"/>
      <c r="G602"/>
      <c r="J602"/>
      <c r="K602"/>
      <c r="L602"/>
    </row>
    <row r="603" spans="1:12" x14ac:dyDescent="0.2">
      <c r="A603"/>
      <c r="B603"/>
      <c r="C603"/>
      <c r="D603"/>
      <c r="E603"/>
      <c r="F603"/>
      <c r="G603"/>
      <c r="J603"/>
      <c r="K603"/>
      <c r="L603"/>
    </row>
    <row r="604" spans="1:12" x14ac:dyDescent="0.2">
      <c r="A604"/>
      <c r="B604"/>
      <c r="C604"/>
      <c r="D604"/>
      <c r="E604"/>
      <c r="F604"/>
      <c r="G604"/>
      <c r="J604"/>
      <c r="K604"/>
      <c r="L604"/>
    </row>
    <row r="605" spans="1:12" x14ac:dyDescent="0.2">
      <c r="A605"/>
      <c r="B605"/>
      <c r="C605"/>
      <c r="D605"/>
      <c r="E605"/>
      <c r="F605"/>
      <c r="G605"/>
      <c r="J605"/>
      <c r="K605"/>
      <c r="L605"/>
    </row>
    <row r="606" spans="1:12" x14ac:dyDescent="0.2">
      <c r="A606"/>
      <c r="B606"/>
      <c r="C606"/>
      <c r="D606"/>
      <c r="E606"/>
      <c r="F606"/>
      <c r="G606"/>
      <c r="J606"/>
      <c r="K606"/>
      <c r="L606"/>
    </row>
    <row r="607" spans="1:12" x14ac:dyDescent="0.2">
      <c r="A607"/>
      <c r="B607"/>
      <c r="C607"/>
      <c r="D607"/>
      <c r="E607"/>
      <c r="F607"/>
      <c r="G607"/>
      <c r="J607"/>
      <c r="K607"/>
      <c r="L607"/>
    </row>
    <row r="608" spans="1:12" x14ac:dyDescent="0.2">
      <c r="A608"/>
      <c r="B608"/>
      <c r="C608"/>
      <c r="D608"/>
      <c r="E608"/>
      <c r="F608"/>
      <c r="G608"/>
      <c r="J608"/>
      <c r="K608"/>
      <c r="L608"/>
    </row>
    <row r="609" spans="1:12" x14ac:dyDescent="0.2">
      <c r="A609"/>
      <c r="B609"/>
      <c r="C609"/>
      <c r="D609"/>
      <c r="E609"/>
      <c r="F609"/>
      <c r="G609"/>
      <c r="J609"/>
      <c r="K609"/>
      <c r="L609"/>
    </row>
    <row r="610" spans="1:12" x14ac:dyDescent="0.2">
      <c r="A610"/>
      <c r="B610"/>
      <c r="C610"/>
      <c r="D610"/>
      <c r="E610"/>
      <c r="F610"/>
      <c r="G610"/>
      <c r="J610"/>
      <c r="K610"/>
      <c r="L610"/>
    </row>
    <row r="611" spans="1:12" x14ac:dyDescent="0.2">
      <c r="A611"/>
      <c r="B611"/>
      <c r="C611"/>
      <c r="D611"/>
      <c r="E611"/>
      <c r="F611"/>
      <c r="G611"/>
      <c r="J611"/>
      <c r="K611"/>
      <c r="L611"/>
    </row>
    <row r="612" spans="1:12" x14ac:dyDescent="0.2">
      <c r="A612"/>
      <c r="B612"/>
      <c r="C612"/>
      <c r="D612"/>
      <c r="E612"/>
      <c r="F612"/>
      <c r="G612"/>
      <c r="J612"/>
      <c r="K612"/>
      <c r="L612"/>
    </row>
    <row r="613" spans="1:12" x14ac:dyDescent="0.2">
      <c r="A613"/>
      <c r="B613"/>
      <c r="C613"/>
      <c r="D613"/>
      <c r="E613"/>
      <c r="F613"/>
      <c r="G613"/>
      <c r="J613"/>
      <c r="K613"/>
      <c r="L613"/>
    </row>
    <row r="614" spans="1:12" x14ac:dyDescent="0.2">
      <c r="A614"/>
      <c r="B614"/>
      <c r="C614"/>
      <c r="D614"/>
      <c r="E614"/>
      <c r="F614"/>
      <c r="G614"/>
      <c r="J614"/>
      <c r="K614"/>
      <c r="L614"/>
    </row>
    <row r="615" spans="1:12" x14ac:dyDescent="0.2">
      <c r="A615"/>
      <c r="B615"/>
      <c r="C615"/>
      <c r="D615"/>
      <c r="E615"/>
      <c r="F615"/>
      <c r="G615"/>
      <c r="J615"/>
      <c r="K615"/>
      <c r="L615"/>
    </row>
    <row r="616" spans="1:12" x14ac:dyDescent="0.2">
      <c r="A616"/>
      <c r="B616"/>
      <c r="C616"/>
      <c r="D616"/>
      <c r="E616"/>
      <c r="F616"/>
      <c r="G616"/>
      <c r="J616"/>
      <c r="K616"/>
      <c r="L616"/>
    </row>
    <row r="617" spans="1:12" x14ac:dyDescent="0.2">
      <c r="A617"/>
      <c r="B617"/>
      <c r="C617"/>
      <c r="D617"/>
      <c r="E617"/>
      <c r="F617"/>
      <c r="G617"/>
      <c r="J617"/>
      <c r="K617"/>
      <c r="L617"/>
    </row>
    <row r="618" spans="1:12" x14ac:dyDescent="0.2">
      <c r="A618"/>
      <c r="B618"/>
      <c r="C618"/>
      <c r="D618"/>
      <c r="E618"/>
      <c r="F618"/>
      <c r="G618"/>
      <c r="J618"/>
      <c r="K618"/>
      <c r="L618"/>
    </row>
    <row r="619" spans="1:12" x14ac:dyDescent="0.2">
      <c r="A619"/>
      <c r="B619"/>
      <c r="C619"/>
      <c r="D619"/>
      <c r="E619"/>
      <c r="F619"/>
      <c r="G619"/>
      <c r="J619"/>
      <c r="K619"/>
      <c r="L619"/>
    </row>
    <row r="620" spans="1:12" x14ac:dyDescent="0.2">
      <c r="A620"/>
      <c r="B620"/>
      <c r="C620"/>
      <c r="D620"/>
      <c r="E620"/>
      <c r="F620"/>
      <c r="G620"/>
      <c r="J620"/>
      <c r="K620"/>
      <c r="L620"/>
    </row>
    <row r="621" spans="1:12" x14ac:dyDescent="0.2">
      <c r="A621"/>
      <c r="B621"/>
      <c r="C621"/>
      <c r="D621"/>
      <c r="E621"/>
      <c r="F621"/>
      <c r="G621"/>
      <c r="J621"/>
      <c r="K621"/>
      <c r="L621"/>
    </row>
    <row r="622" spans="1:12" x14ac:dyDescent="0.2">
      <c r="A622"/>
      <c r="B622"/>
      <c r="C622"/>
      <c r="D622"/>
      <c r="E622"/>
      <c r="F622"/>
      <c r="G622"/>
      <c r="J622"/>
      <c r="K622"/>
      <c r="L622"/>
    </row>
    <row r="623" spans="1:12" x14ac:dyDescent="0.2">
      <c r="A623"/>
      <c r="B623"/>
      <c r="C623"/>
      <c r="D623"/>
      <c r="E623"/>
      <c r="F623"/>
      <c r="G623"/>
      <c r="J623"/>
      <c r="K623"/>
      <c r="L623"/>
    </row>
    <row r="624" spans="1:12" x14ac:dyDescent="0.2">
      <c r="A624"/>
      <c r="B624"/>
      <c r="C624"/>
      <c r="D624"/>
      <c r="E624"/>
      <c r="F624"/>
      <c r="G624"/>
      <c r="J624"/>
      <c r="K624"/>
      <c r="L624"/>
    </row>
    <row r="625" spans="1:12" x14ac:dyDescent="0.2">
      <c r="A625"/>
      <c r="B625"/>
      <c r="C625"/>
      <c r="D625"/>
      <c r="E625"/>
      <c r="F625"/>
      <c r="G625"/>
      <c r="J625"/>
      <c r="K625"/>
      <c r="L625"/>
    </row>
    <row r="626" spans="1:12" x14ac:dyDescent="0.2">
      <c r="A626"/>
      <c r="B626"/>
      <c r="C626"/>
      <c r="D626"/>
      <c r="E626"/>
      <c r="F626"/>
      <c r="G626"/>
      <c r="J626"/>
      <c r="K626"/>
      <c r="L626"/>
    </row>
    <row r="627" spans="1:12" x14ac:dyDescent="0.2">
      <c r="A627"/>
      <c r="B627"/>
      <c r="C627"/>
      <c r="D627"/>
      <c r="E627"/>
      <c r="F627"/>
      <c r="G627"/>
      <c r="J627"/>
      <c r="K627"/>
      <c r="L627"/>
    </row>
    <row r="628" spans="1:12" x14ac:dyDescent="0.2">
      <c r="A628"/>
      <c r="B628"/>
      <c r="C628"/>
      <c r="D628"/>
      <c r="E628"/>
      <c r="F628"/>
      <c r="G628"/>
      <c r="J628"/>
      <c r="K628"/>
      <c r="L628"/>
    </row>
    <row r="629" spans="1:12" x14ac:dyDescent="0.2">
      <c r="A629"/>
      <c r="B629"/>
      <c r="C629"/>
      <c r="D629"/>
      <c r="E629"/>
      <c r="F629"/>
      <c r="G629"/>
      <c r="J629"/>
      <c r="K629"/>
      <c r="L629"/>
    </row>
    <row r="630" spans="1:12" x14ac:dyDescent="0.2">
      <c r="A630"/>
      <c r="B630"/>
      <c r="C630"/>
      <c r="D630"/>
      <c r="E630"/>
      <c r="F630"/>
      <c r="G630"/>
      <c r="J630"/>
      <c r="K630"/>
      <c r="L630"/>
    </row>
    <row r="631" spans="1:12" x14ac:dyDescent="0.2">
      <c r="A631"/>
      <c r="B631"/>
      <c r="C631"/>
      <c r="D631"/>
      <c r="E631"/>
      <c r="F631"/>
      <c r="G631"/>
      <c r="J631"/>
      <c r="K631"/>
      <c r="L631"/>
    </row>
    <row r="632" spans="1:12" x14ac:dyDescent="0.2">
      <c r="A632"/>
      <c r="B632"/>
      <c r="C632"/>
      <c r="D632"/>
      <c r="E632"/>
      <c r="F632"/>
      <c r="G632"/>
      <c r="J632"/>
      <c r="K632"/>
      <c r="L632"/>
    </row>
    <row r="633" spans="1:12" x14ac:dyDescent="0.2">
      <c r="A633"/>
      <c r="B633"/>
      <c r="C633"/>
      <c r="D633"/>
      <c r="E633"/>
      <c r="F633"/>
      <c r="G633"/>
      <c r="J633"/>
      <c r="K633"/>
      <c r="L633"/>
    </row>
    <row r="634" spans="1:12" x14ac:dyDescent="0.2">
      <c r="A634"/>
      <c r="B634"/>
      <c r="C634"/>
      <c r="D634"/>
      <c r="E634"/>
      <c r="F634"/>
      <c r="G634"/>
      <c r="J634"/>
      <c r="K634"/>
      <c r="L634"/>
    </row>
    <row r="635" spans="1:12" x14ac:dyDescent="0.2">
      <c r="A635"/>
      <c r="B635"/>
      <c r="C635"/>
      <c r="D635"/>
      <c r="E635"/>
      <c r="F635"/>
      <c r="G635"/>
      <c r="J635"/>
      <c r="K635"/>
      <c r="L635"/>
    </row>
    <row r="636" spans="1:12" x14ac:dyDescent="0.2">
      <c r="A636"/>
      <c r="B636"/>
      <c r="C636"/>
      <c r="D636"/>
      <c r="E636"/>
      <c r="F636"/>
      <c r="G636"/>
      <c r="J636"/>
      <c r="K636"/>
      <c r="L636"/>
    </row>
    <row r="637" spans="1:12" x14ac:dyDescent="0.2">
      <c r="A637"/>
      <c r="B637"/>
      <c r="C637"/>
      <c r="D637"/>
      <c r="E637"/>
      <c r="F637"/>
      <c r="G637"/>
      <c r="J637"/>
      <c r="K637"/>
      <c r="L637"/>
    </row>
    <row r="638" spans="1:12" x14ac:dyDescent="0.2">
      <c r="A638"/>
      <c r="B638"/>
      <c r="C638"/>
      <c r="D638"/>
      <c r="E638"/>
      <c r="F638"/>
      <c r="G638"/>
      <c r="J638"/>
      <c r="K638"/>
      <c r="L638"/>
    </row>
    <row r="639" spans="1:12" x14ac:dyDescent="0.2">
      <c r="A639"/>
      <c r="B639"/>
      <c r="C639"/>
      <c r="D639"/>
      <c r="E639"/>
      <c r="F639"/>
      <c r="G639"/>
      <c r="J639"/>
      <c r="K639"/>
      <c r="L639"/>
    </row>
    <row r="640" spans="1:12" x14ac:dyDescent="0.2">
      <c r="A640"/>
      <c r="B640"/>
      <c r="C640"/>
      <c r="D640"/>
      <c r="E640"/>
      <c r="F640"/>
      <c r="G640"/>
      <c r="J640"/>
      <c r="K640"/>
      <c r="L640"/>
    </row>
    <row r="641" spans="1:12" x14ac:dyDescent="0.2">
      <c r="A641"/>
      <c r="B641"/>
      <c r="C641"/>
      <c r="D641"/>
      <c r="E641"/>
      <c r="F641"/>
      <c r="G641"/>
      <c r="J641"/>
      <c r="K641"/>
      <c r="L641"/>
    </row>
    <row r="642" spans="1:12" x14ac:dyDescent="0.2">
      <c r="A642"/>
      <c r="B642"/>
      <c r="C642"/>
      <c r="D642"/>
      <c r="E642"/>
      <c r="F642"/>
      <c r="G642"/>
      <c r="J642"/>
      <c r="K642"/>
      <c r="L642"/>
    </row>
    <row r="643" spans="1:12" x14ac:dyDescent="0.2">
      <c r="A643"/>
      <c r="B643"/>
      <c r="C643"/>
      <c r="D643"/>
      <c r="E643"/>
      <c r="F643"/>
      <c r="G643"/>
      <c r="J643"/>
      <c r="K643"/>
      <c r="L643"/>
    </row>
    <row r="644" spans="1:12" x14ac:dyDescent="0.2">
      <c r="A644"/>
      <c r="B644"/>
      <c r="C644"/>
      <c r="D644"/>
      <c r="E644"/>
      <c r="F644"/>
      <c r="G644"/>
      <c r="J644"/>
      <c r="K644"/>
      <c r="L644"/>
    </row>
    <row r="645" spans="1:12" x14ac:dyDescent="0.2">
      <c r="A645"/>
      <c r="B645"/>
      <c r="C645"/>
      <c r="D645"/>
      <c r="E645"/>
      <c r="F645"/>
      <c r="G645"/>
      <c r="J645"/>
      <c r="K645"/>
      <c r="L645"/>
    </row>
    <row r="646" spans="1:12" x14ac:dyDescent="0.2">
      <c r="A646"/>
      <c r="B646"/>
      <c r="C646"/>
      <c r="D646"/>
      <c r="E646"/>
      <c r="F646"/>
      <c r="G646"/>
      <c r="J646"/>
      <c r="K646"/>
      <c r="L646"/>
    </row>
    <row r="647" spans="1:12" x14ac:dyDescent="0.2">
      <c r="A647"/>
      <c r="B647"/>
      <c r="C647"/>
      <c r="D647"/>
      <c r="E647"/>
      <c r="F647"/>
      <c r="G647"/>
      <c r="J647"/>
      <c r="K647"/>
      <c r="L647"/>
    </row>
    <row r="648" spans="1:12" x14ac:dyDescent="0.2">
      <c r="A648"/>
      <c r="B648"/>
      <c r="C648"/>
      <c r="D648"/>
      <c r="E648"/>
      <c r="F648"/>
      <c r="G648"/>
      <c r="J648"/>
      <c r="K648"/>
      <c r="L648"/>
    </row>
    <row r="649" spans="1:12" x14ac:dyDescent="0.2">
      <c r="A649"/>
      <c r="B649"/>
      <c r="C649"/>
      <c r="D649"/>
      <c r="E649"/>
      <c r="F649"/>
      <c r="G649"/>
      <c r="J649"/>
      <c r="K649"/>
      <c r="L649"/>
    </row>
    <row r="650" spans="1:12" x14ac:dyDescent="0.2">
      <c r="A650"/>
      <c r="B650"/>
      <c r="C650"/>
      <c r="D650"/>
      <c r="E650"/>
      <c r="F650"/>
      <c r="G650"/>
      <c r="J650"/>
      <c r="K650"/>
      <c r="L650"/>
    </row>
    <row r="651" spans="1:12" x14ac:dyDescent="0.2">
      <c r="A651"/>
      <c r="B651"/>
      <c r="C651"/>
      <c r="D651"/>
      <c r="E651"/>
      <c r="F651"/>
      <c r="G651"/>
      <c r="J651"/>
      <c r="K651"/>
      <c r="L651"/>
    </row>
    <row r="652" spans="1:12" x14ac:dyDescent="0.2">
      <c r="A652"/>
      <c r="B652"/>
      <c r="C652"/>
      <c r="D652"/>
      <c r="E652"/>
      <c r="F652"/>
      <c r="G652"/>
      <c r="J652"/>
      <c r="K652"/>
      <c r="L652"/>
    </row>
    <row r="653" spans="1:12" x14ac:dyDescent="0.2">
      <c r="A653"/>
      <c r="B653"/>
      <c r="C653"/>
      <c r="D653"/>
      <c r="E653"/>
      <c r="F653"/>
      <c r="G653"/>
      <c r="J653"/>
      <c r="K653"/>
      <c r="L653"/>
    </row>
    <row r="654" spans="1:12" x14ac:dyDescent="0.2">
      <c r="A654"/>
      <c r="B654"/>
      <c r="C654"/>
      <c r="D654"/>
      <c r="E654"/>
      <c r="F654"/>
      <c r="G654"/>
      <c r="J654"/>
      <c r="K654"/>
      <c r="L654"/>
    </row>
    <row r="655" spans="1:12" x14ac:dyDescent="0.2">
      <c r="A655"/>
      <c r="B655"/>
      <c r="C655"/>
      <c r="D655"/>
      <c r="E655"/>
      <c r="F655"/>
      <c r="G655"/>
      <c r="J655"/>
      <c r="K655"/>
      <c r="L655"/>
    </row>
    <row r="656" spans="1:12" x14ac:dyDescent="0.2">
      <c r="A656"/>
      <c r="B656"/>
      <c r="C656"/>
      <c r="D656"/>
      <c r="E656"/>
      <c r="F656"/>
      <c r="G656"/>
      <c r="J656"/>
      <c r="K656"/>
      <c r="L656"/>
    </row>
    <row r="657" spans="1:12" x14ac:dyDescent="0.2">
      <c r="A657"/>
      <c r="B657"/>
      <c r="C657"/>
      <c r="D657"/>
      <c r="E657"/>
      <c r="F657"/>
      <c r="G657"/>
      <c r="J657"/>
      <c r="K657"/>
      <c r="L657"/>
    </row>
    <row r="658" spans="1:12" x14ac:dyDescent="0.2">
      <c r="A658"/>
      <c r="B658"/>
      <c r="C658"/>
      <c r="D658"/>
      <c r="E658"/>
      <c r="F658"/>
      <c r="G658"/>
      <c r="J658"/>
      <c r="K658"/>
      <c r="L658"/>
    </row>
    <row r="659" spans="1:12" x14ac:dyDescent="0.2">
      <c r="A659"/>
      <c r="B659"/>
      <c r="C659"/>
      <c r="D659"/>
      <c r="E659"/>
      <c r="F659"/>
      <c r="G659"/>
      <c r="J659"/>
      <c r="K659"/>
      <c r="L659"/>
    </row>
    <row r="660" spans="1:12" x14ac:dyDescent="0.2">
      <c r="A660"/>
      <c r="B660"/>
      <c r="C660"/>
      <c r="D660"/>
      <c r="E660"/>
      <c r="F660"/>
      <c r="G660"/>
      <c r="J660"/>
      <c r="K660"/>
      <c r="L660"/>
    </row>
    <row r="661" spans="1:12" x14ac:dyDescent="0.2">
      <c r="A661"/>
      <c r="B661"/>
      <c r="C661"/>
      <c r="D661"/>
      <c r="E661"/>
      <c r="F661"/>
      <c r="G661"/>
      <c r="J661"/>
      <c r="K661"/>
      <c r="L661"/>
    </row>
    <row r="662" spans="1:12" x14ac:dyDescent="0.2">
      <c r="A662"/>
      <c r="B662"/>
      <c r="C662"/>
      <c r="D662"/>
      <c r="E662"/>
      <c r="F662"/>
      <c r="G662"/>
      <c r="J662"/>
      <c r="K662"/>
      <c r="L662"/>
    </row>
    <row r="663" spans="1:12" x14ac:dyDescent="0.2">
      <c r="A663"/>
      <c r="B663"/>
      <c r="C663"/>
      <c r="D663"/>
      <c r="E663"/>
      <c r="F663"/>
      <c r="G663"/>
      <c r="J663"/>
      <c r="K663"/>
      <c r="L663"/>
    </row>
    <row r="664" spans="1:12" x14ac:dyDescent="0.2">
      <c r="A664"/>
      <c r="B664"/>
      <c r="C664"/>
      <c r="D664"/>
      <c r="E664"/>
      <c r="F664"/>
      <c r="G664"/>
      <c r="J664"/>
      <c r="K664"/>
      <c r="L664"/>
    </row>
    <row r="665" spans="1:12" x14ac:dyDescent="0.2">
      <c r="A665"/>
      <c r="B665"/>
      <c r="C665"/>
      <c r="D665"/>
      <c r="E665"/>
      <c r="F665"/>
      <c r="G665"/>
      <c r="J665"/>
      <c r="K665"/>
      <c r="L665"/>
    </row>
    <row r="666" spans="1:12" x14ac:dyDescent="0.2">
      <c r="A666"/>
      <c r="B666"/>
      <c r="C666"/>
      <c r="D666"/>
      <c r="E666"/>
      <c r="F666"/>
      <c r="G666"/>
      <c r="J666"/>
      <c r="K666"/>
      <c r="L666"/>
    </row>
    <row r="667" spans="1:12" x14ac:dyDescent="0.2">
      <c r="A667"/>
      <c r="B667"/>
      <c r="C667"/>
      <c r="D667"/>
      <c r="E667"/>
      <c r="F667"/>
      <c r="G667"/>
      <c r="J667"/>
      <c r="K667"/>
      <c r="L667"/>
    </row>
    <row r="668" spans="1:12" x14ac:dyDescent="0.2">
      <c r="A668"/>
      <c r="B668"/>
      <c r="C668"/>
      <c r="D668"/>
      <c r="E668"/>
      <c r="F668"/>
      <c r="G668"/>
      <c r="J668"/>
      <c r="K668"/>
      <c r="L668"/>
    </row>
    <row r="669" spans="1:12" x14ac:dyDescent="0.2">
      <c r="A669"/>
      <c r="B669"/>
      <c r="C669"/>
      <c r="D669"/>
      <c r="E669"/>
      <c r="F669"/>
      <c r="G669"/>
      <c r="J669"/>
      <c r="K669"/>
      <c r="L669"/>
    </row>
    <row r="670" spans="1:12" x14ac:dyDescent="0.2">
      <c r="A670"/>
      <c r="B670"/>
      <c r="C670"/>
      <c r="D670"/>
      <c r="E670"/>
      <c r="F670"/>
      <c r="G670"/>
      <c r="J670"/>
      <c r="K670"/>
      <c r="L670"/>
    </row>
    <row r="671" spans="1:12" x14ac:dyDescent="0.2">
      <c r="A671"/>
      <c r="B671"/>
      <c r="C671"/>
      <c r="D671"/>
      <c r="E671"/>
      <c r="F671"/>
      <c r="G671"/>
      <c r="J671"/>
      <c r="K671"/>
      <c r="L671"/>
    </row>
    <row r="672" spans="1:12" x14ac:dyDescent="0.2">
      <c r="A672"/>
      <c r="B672"/>
      <c r="C672"/>
      <c r="D672"/>
      <c r="E672"/>
      <c r="F672"/>
      <c r="G672"/>
      <c r="J672"/>
      <c r="K672"/>
      <c r="L672"/>
    </row>
    <row r="673" spans="1:12" x14ac:dyDescent="0.2">
      <c r="A673"/>
      <c r="B673"/>
      <c r="C673"/>
      <c r="D673"/>
      <c r="E673"/>
      <c r="F673"/>
      <c r="G673"/>
      <c r="J673"/>
      <c r="K673"/>
      <c r="L673"/>
    </row>
    <row r="674" spans="1:12" x14ac:dyDescent="0.2">
      <c r="A674"/>
      <c r="B674"/>
      <c r="C674"/>
      <c r="D674"/>
      <c r="E674"/>
      <c r="F674"/>
      <c r="G674"/>
      <c r="J674"/>
      <c r="K674"/>
      <c r="L674"/>
    </row>
    <row r="675" spans="1:12" x14ac:dyDescent="0.2">
      <c r="A675"/>
      <c r="B675"/>
      <c r="C675"/>
      <c r="D675"/>
      <c r="E675"/>
      <c r="F675"/>
      <c r="G675"/>
      <c r="J675"/>
      <c r="K675"/>
      <c r="L675"/>
    </row>
    <row r="676" spans="1:12" x14ac:dyDescent="0.2">
      <c r="A676"/>
      <c r="B676"/>
      <c r="C676"/>
      <c r="D676"/>
      <c r="E676"/>
      <c r="F676"/>
      <c r="G676"/>
      <c r="J676"/>
      <c r="K676"/>
      <c r="L676"/>
    </row>
    <row r="677" spans="1:12" x14ac:dyDescent="0.2">
      <c r="A677"/>
      <c r="B677"/>
      <c r="C677"/>
      <c r="D677"/>
      <c r="E677"/>
      <c r="F677"/>
      <c r="G677"/>
      <c r="J677"/>
      <c r="K677"/>
      <c r="L677"/>
    </row>
    <row r="678" spans="1:12" x14ac:dyDescent="0.2">
      <c r="A678"/>
      <c r="B678"/>
      <c r="C678"/>
      <c r="D678"/>
      <c r="E678"/>
      <c r="F678"/>
      <c r="G678"/>
      <c r="J678"/>
      <c r="K678"/>
      <c r="L678"/>
    </row>
    <row r="679" spans="1:12" x14ac:dyDescent="0.2">
      <c r="A679"/>
      <c r="B679"/>
      <c r="C679"/>
      <c r="D679"/>
      <c r="E679"/>
      <c r="F679"/>
      <c r="G679"/>
      <c r="J679"/>
      <c r="K679"/>
      <c r="L679"/>
    </row>
    <row r="680" spans="1:12" x14ac:dyDescent="0.2">
      <c r="A680"/>
      <c r="B680"/>
      <c r="C680"/>
      <c r="D680"/>
      <c r="E680"/>
      <c r="F680"/>
      <c r="G680"/>
      <c r="J680"/>
      <c r="K680"/>
      <c r="L680"/>
    </row>
    <row r="681" spans="1:12" x14ac:dyDescent="0.2">
      <c r="A681"/>
      <c r="B681"/>
      <c r="C681"/>
      <c r="D681"/>
      <c r="E681"/>
      <c r="F681"/>
      <c r="G681"/>
      <c r="J681"/>
      <c r="K681"/>
      <c r="L681"/>
    </row>
    <row r="682" spans="1:12" x14ac:dyDescent="0.2">
      <c r="A682"/>
      <c r="B682"/>
      <c r="C682"/>
      <c r="D682"/>
      <c r="E682"/>
      <c r="F682"/>
      <c r="G682"/>
      <c r="J682"/>
      <c r="K682"/>
      <c r="L682"/>
    </row>
    <row r="683" spans="1:12" x14ac:dyDescent="0.2">
      <c r="A683"/>
      <c r="B683"/>
      <c r="C683"/>
      <c r="D683"/>
      <c r="E683"/>
      <c r="F683"/>
      <c r="G683"/>
      <c r="J683"/>
      <c r="K683"/>
      <c r="L683"/>
    </row>
    <row r="684" spans="1:12" x14ac:dyDescent="0.2">
      <c r="A684"/>
      <c r="B684"/>
      <c r="C684"/>
      <c r="D684"/>
      <c r="E684"/>
      <c r="F684"/>
      <c r="G684"/>
      <c r="J684"/>
      <c r="K684"/>
      <c r="L684"/>
    </row>
    <row r="685" spans="1:12" x14ac:dyDescent="0.2">
      <c r="A685"/>
      <c r="B685"/>
      <c r="C685"/>
      <c r="D685"/>
      <c r="E685"/>
      <c r="F685"/>
      <c r="G685"/>
      <c r="J685"/>
      <c r="K685"/>
      <c r="L685"/>
    </row>
    <row r="686" spans="1:12" x14ac:dyDescent="0.2">
      <c r="A686"/>
      <c r="B686"/>
      <c r="C686"/>
      <c r="D686"/>
      <c r="E686"/>
      <c r="F686"/>
      <c r="G686"/>
      <c r="J686"/>
      <c r="K686"/>
      <c r="L686"/>
    </row>
    <row r="687" spans="1:12" x14ac:dyDescent="0.2">
      <c r="A687"/>
      <c r="B687"/>
      <c r="C687"/>
      <c r="D687"/>
      <c r="E687"/>
      <c r="F687"/>
      <c r="G687"/>
      <c r="J687"/>
      <c r="K687"/>
      <c r="L687"/>
    </row>
    <row r="688" spans="1:12" x14ac:dyDescent="0.2">
      <c r="A688"/>
      <c r="B688"/>
      <c r="C688"/>
      <c r="D688"/>
      <c r="E688"/>
      <c r="F688"/>
      <c r="G688"/>
      <c r="J688"/>
      <c r="K688"/>
      <c r="L688"/>
    </row>
    <row r="689" spans="1:12" x14ac:dyDescent="0.2">
      <c r="A689"/>
      <c r="B689"/>
      <c r="C689"/>
      <c r="D689"/>
      <c r="E689"/>
      <c r="F689"/>
      <c r="G689"/>
      <c r="J689"/>
      <c r="K689"/>
      <c r="L689"/>
    </row>
    <row r="690" spans="1:12" x14ac:dyDescent="0.2">
      <c r="A690"/>
      <c r="B690"/>
      <c r="C690"/>
      <c r="D690"/>
      <c r="E690"/>
      <c r="F690"/>
      <c r="G690"/>
      <c r="J690"/>
      <c r="K690"/>
      <c r="L690"/>
    </row>
    <row r="691" spans="1:12" x14ac:dyDescent="0.2">
      <c r="A691"/>
      <c r="B691"/>
      <c r="C691"/>
      <c r="D691"/>
      <c r="E691"/>
      <c r="F691"/>
      <c r="G691"/>
      <c r="J691"/>
      <c r="K691"/>
      <c r="L691"/>
    </row>
    <row r="692" spans="1:12" x14ac:dyDescent="0.2">
      <c r="A692"/>
      <c r="B692"/>
      <c r="C692"/>
      <c r="D692"/>
      <c r="E692"/>
      <c r="F692"/>
      <c r="G692"/>
      <c r="J692"/>
      <c r="K692"/>
      <c r="L692"/>
    </row>
    <row r="693" spans="1:12" x14ac:dyDescent="0.2">
      <c r="A693"/>
      <c r="B693"/>
      <c r="C693"/>
      <c r="D693"/>
      <c r="E693"/>
      <c r="F693"/>
      <c r="G693"/>
      <c r="J693"/>
      <c r="K693"/>
      <c r="L693"/>
    </row>
    <row r="694" spans="1:12" x14ac:dyDescent="0.2">
      <c r="A694"/>
      <c r="B694"/>
      <c r="C694"/>
      <c r="D694"/>
      <c r="E694"/>
      <c r="F694"/>
      <c r="G694"/>
      <c r="J694"/>
      <c r="K694"/>
      <c r="L694"/>
    </row>
    <row r="695" spans="1:12" x14ac:dyDescent="0.2">
      <c r="A695"/>
      <c r="B695"/>
      <c r="C695"/>
      <c r="D695"/>
      <c r="E695"/>
      <c r="F695"/>
      <c r="G695"/>
      <c r="J695"/>
      <c r="K695"/>
      <c r="L695"/>
    </row>
    <row r="696" spans="1:12" x14ac:dyDescent="0.2">
      <c r="A696"/>
      <c r="B696"/>
      <c r="C696"/>
      <c r="D696"/>
      <c r="E696"/>
      <c r="F696"/>
      <c r="G696"/>
      <c r="J696"/>
      <c r="K696"/>
      <c r="L696"/>
    </row>
    <row r="697" spans="1:12" x14ac:dyDescent="0.2">
      <c r="A697"/>
      <c r="B697"/>
      <c r="C697"/>
      <c r="D697"/>
      <c r="E697"/>
      <c r="F697"/>
      <c r="G697"/>
      <c r="J697"/>
      <c r="K697"/>
      <c r="L697"/>
    </row>
    <row r="698" spans="1:12" x14ac:dyDescent="0.2">
      <c r="A698"/>
      <c r="B698"/>
      <c r="C698"/>
      <c r="D698"/>
      <c r="E698"/>
      <c r="F698"/>
      <c r="G698"/>
      <c r="J698"/>
      <c r="K698"/>
      <c r="L698"/>
    </row>
    <row r="699" spans="1:12" x14ac:dyDescent="0.2">
      <c r="A699"/>
      <c r="B699"/>
      <c r="C699"/>
      <c r="D699"/>
      <c r="E699"/>
      <c r="F699"/>
      <c r="G699"/>
      <c r="J699"/>
      <c r="K699"/>
      <c r="L699"/>
    </row>
    <row r="700" spans="1:12" x14ac:dyDescent="0.2">
      <c r="A700"/>
      <c r="B700"/>
      <c r="C700"/>
      <c r="D700"/>
      <c r="E700"/>
      <c r="F700"/>
      <c r="G700"/>
      <c r="J700"/>
      <c r="K700"/>
      <c r="L700"/>
    </row>
    <row r="701" spans="1:12" x14ac:dyDescent="0.2">
      <c r="A701"/>
      <c r="B701"/>
      <c r="C701"/>
      <c r="D701"/>
      <c r="E701"/>
      <c r="F701"/>
      <c r="G701"/>
      <c r="J701"/>
      <c r="K701"/>
      <c r="L701"/>
    </row>
    <row r="702" spans="1:12" x14ac:dyDescent="0.2">
      <c r="A702"/>
      <c r="B702"/>
      <c r="C702"/>
      <c r="D702"/>
      <c r="E702"/>
      <c r="F702"/>
      <c r="G702"/>
      <c r="J702"/>
      <c r="K702"/>
      <c r="L702"/>
    </row>
    <row r="703" spans="1:12" x14ac:dyDescent="0.2">
      <c r="A703"/>
      <c r="B703"/>
      <c r="C703"/>
      <c r="D703"/>
      <c r="E703"/>
      <c r="F703"/>
      <c r="G703"/>
      <c r="J703"/>
      <c r="K703"/>
      <c r="L703"/>
    </row>
    <row r="704" spans="1:12" x14ac:dyDescent="0.2">
      <c r="A704"/>
      <c r="B704"/>
      <c r="C704"/>
      <c r="D704"/>
      <c r="E704"/>
      <c r="F704"/>
      <c r="G704"/>
      <c r="J704"/>
      <c r="K704"/>
      <c r="L704"/>
    </row>
    <row r="705" spans="1:12" x14ac:dyDescent="0.2">
      <c r="A705"/>
      <c r="B705"/>
      <c r="C705"/>
      <c r="D705"/>
      <c r="E705"/>
      <c r="F705"/>
      <c r="G705"/>
      <c r="J705"/>
      <c r="K705"/>
      <c r="L705"/>
    </row>
    <row r="706" spans="1:12" x14ac:dyDescent="0.2">
      <c r="A706"/>
      <c r="B706"/>
      <c r="C706"/>
      <c r="D706"/>
      <c r="E706"/>
      <c r="F706"/>
      <c r="G706"/>
      <c r="J706"/>
      <c r="K706"/>
      <c r="L706"/>
    </row>
    <row r="707" spans="1:12" x14ac:dyDescent="0.2">
      <c r="A707"/>
      <c r="B707"/>
      <c r="C707"/>
      <c r="D707"/>
      <c r="E707"/>
      <c r="F707"/>
      <c r="G707"/>
      <c r="J707"/>
      <c r="K707"/>
      <c r="L707"/>
    </row>
    <row r="708" spans="1:12" x14ac:dyDescent="0.2">
      <c r="A708"/>
      <c r="B708"/>
      <c r="C708"/>
      <c r="D708"/>
      <c r="E708"/>
      <c r="F708"/>
      <c r="G708"/>
      <c r="J708"/>
      <c r="K708"/>
      <c r="L708"/>
    </row>
    <row r="709" spans="1:12" x14ac:dyDescent="0.2">
      <c r="A709"/>
      <c r="B709"/>
      <c r="C709"/>
      <c r="D709"/>
      <c r="E709"/>
      <c r="F709"/>
      <c r="G709"/>
      <c r="J709"/>
      <c r="K709"/>
      <c r="L709"/>
    </row>
    <row r="710" spans="1:12" x14ac:dyDescent="0.2">
      <c r="A710"/>
      <c r="B710"/>
      <c r="C710"/>
      <c r="D710"/>
      <c r="E710"/>
      <c r="F710"/>
      <c r="G710"/>
      <c r="J710"/>
      <c r="K710"/>
      <c r="L710"/>
    </row>
    <row r="711" spans="1:12" x14ac:dyDescent="0.2">
      <c r="A711"/>
      <c r="B711"/>
      <c r="C711"/>
      <c r="D711"/>
      <c r="E711"/>
      <c r="F711"/>
      <c r="G711"/>
      <c r="J711"/>
      <c r="K711"/>
      <c r="L711"/>
    </row>
    <row r="712" spans="1:12" x14ac:dyDescent="0.2">
      <c r="A712"/>
      <c r="B712"/>
      <c r="C712"/>
      <c r="D712"/>
      <c r="E712"/>
      <c r="F712"/>
      <c r="G712"/>
      <c r="J712"/>
      <c r="K712"/>
      <c r="L712"/>
    </row>
    <row r="713" spans="1:12" x14ac:dyDescent="0.2">
      <c r="A713"/>
      <c r="B713"/>
      <c r="C713"/>
      <c r="D713"/>
      <c r="E713"/>
      <c r="F713"/>
      <c r="G713"/>
      <c r="J713"/>
      <c r="K713"/>
      <c r="L713"/>
    </row>
    <row r="714" spans="1:12" x14ac:dyDescent="0.2">
      <c r="A714"/>
      <c r="B714"/>
      <c r="C714"/>
      <c r="D714"/>
      <c r="E714"/>
      <c r="F714"/>
      <c r="G714"/>
      <c r="J714"/>
      <c r="K714"/>
      <c r="L714"/>
    </row>
    <row r="715" spans="1:12" x14ac:dyDescent="0.2">
      <c r="A715"/>
      <c r="B715"/>
      <c r="C715"/>
      <c r="D715"/>
      <c r="E715"/>
      <c r="F715"/>
      <c r="G715"/>
      <c r="J715"/>
      <c r="K715"/>
      <c r="L715"/>
    </row>
    <row r="716" spans="1:12" x14ac:dyDescent="0.2">
      <c r="A716"/>
      <c r="B716"/>
      <c r="C716"/>
      <c r="D716"/>
      <c r="E716"/>
      <c r="F716"/>
      <c r="G716"/>
      <c r="J716"/>
      <c r="K716"/>
      <c r="L716"/>
    </row>
    <row r="717" spans="1:12" x14ac:dyDescent="0.2">
      <c r="A717"/>
      <c r="B717"/>
      <c r="C717"/>
      <c r="D717"/>
      <c r="E717"/>
      <c r="F717"/>
      <c r="G717"/>
      <c r="J717"/>
      <c r="K717"/>
      <c r="L717"/>
    </row>
    <row r="718" spans="1:12" x14ac:dyDescent="0.2">
      <c r="A718"/>
      <c r="B718"/>
      <c r="C718"/>
      <c r="D718"/>
      <c r="E718"/>
      <c r="F718"/>
      <c r="G718"/>
      <c r="J718"/>
      <c r="K718"/>
      <c r="L718"/>
    </row>
    <row r="719" spans="1:12" x14ac:dyDescent="0.2">
      <c r="A719"/>
      <c r="B719"/>
      <c r="C719"/>
      <c r="D719"/>
      <c r="E719"/>
      <c r="F719"/>
      <c r="G719"/>
      <c r="J719"/>
      <c r="K719"/>
      <c r="L719"/>
    </row>
    <row r="720" spans="1:12" x14ac:dyDescent="0.2">
      <c r="A720"/>
      <c r="B720"/>
      <c r="C720"/>
      <c r="D720"/>
      <c r="E720"/>
      <c r="F720"/>
      <c r="G720"/>
      <c r="J720"/>
      <c r="K720"/>
      <c r="L720"/>
    </row>
    <row r="721" spans="1:12" x14ac:dyDescent="0.2">
      <c r="A721"/>
      <c r="B721"/>
      <c r="C721"/>
      <c r="D721"/>
      <c r="E721"/>
      <c r="F721"/>
      <c r="G721"/>
      <c r="J721"/>
      <c r="K721"/>
      <c r="L721"/>
    </row>
    <row r="722" spans="1:12" x14ac:dyDescent="0.2">
      <c r="A722"/>
      <c r="B722"/>
      <c r="C722"/>
      <c r="D722"/>
      <c r="E722"/>
      <c r="F722"/>
      <c r="G722"/>
      <c r="J722"/>
      <c r="K722"/>
      <c r="L722"/>
    </row>
    <row r="723" spans="1:12" x14ac:dyDescent="0.2">
      <c r="A723"/>
      <c r="B723"/>
      <c r="C723"/>
      <c r="D723"/>
      <c r="E723"/>
      <c r="F723"/>
      <c r="G723"/>
      <c r="J723"/>
      <c r="K723"/>
      <c r="L723"/>
    </row>
    <row r="724" spans="1:12" x14ac:dyDescent="0.2">
      <c r="A724"/>
      <c r="B724"/>
      <c r="C724"/>
      <c r="D724"/>
      <c r="E724"/>
      <c r="F724"/>
      <c r="G724"/>
      <c r="J724"/>
      <c r="K724"/>
      <c r="L724"/>
    </row>
    <row r="725" spans="1:12" x14ac:dyDescent="0.2">
      <c r="A725"/>
      <c r="B725"/>
      <c r="C725"/>
      <c r="D725"/>
      <c r="E725"/>
      <c r="F725"/>
      <c r="G725"/>
      <c r="J725"/>
      <c r="K725"/>
      <c r="L725"/>
    </row>
    <row r="726" spans="1:12" x14ac:dyDescent="0.2">
      <c r="A726"/>
      <c r="B726"/>
      <c r="C726"/>
      <c r="D726"/>
      <c r="E726"/>
      <c r="F726"/>
      <c r="G726"/>
      <c r="J726"/>
      <c r="K726"/>
      <c r="L726"/>
    </row>
    <row r="727" spans="1:12" x14ac:dyDescent="0.2">
      <c r="A727"/>
      <c r="B727"/>
      <c r="C727"/>
      <c r="D727"/>
      <c r="E727"/>
      <c r="F727"/>
      <c r="G727"/>
      <c r="J727"/>
      <c r="K727"/>
      <c r="L727"/>
    </row>
    <row r="728" spans="1:12" x14ac:dyDescent="0.2">
      <c r="A728"/>
      <c r="B728"/>
      <c r="C728"/>
      <c r="D728"/>
      <c r="E728"/>
      <c r="F728"/>
      <c r="G728"/>
      <c r="J728"/>
      <c r="K728"/>
      <c r="L728"/>
    </row>
    <row r="729" spans="1:12" x14ac:dyDescent="0.2">
      <c r="A729"/>
      <c r="B729"/>
      <c r="C729"/>
      <c r="D729"/>
      <c r="E729"/>
      <c r="F729"/>
      <c r="G729"/>
      <c r="J729"/>
      <c r="K729"/>
      <c r="L729"/>
    </row>
    <row r="730" spans="1:12" x14ac:dyDescent="0.2">
      <c r="A730"/>
      <c r="B730"/>
      <c r="C730"/>
      <c r="D730"/>
      <c r="E730"/>
      <c r="F730"/>
      <c r="G730"/>
      <c r="J730"/>
      <c r="K730"/>
      <c r="L730"/>
    </row>
    <row r="731" spans="1:12" x14ac:dyDescent="0.2">
      <c r="A731"/>
      <c r="B731"/>
      <c r="C731"/>
      <c r="D731"/>
      <c r="E731"/>
      <c r="F731"/>
      <c r="G731"/>
      <c r="J731"/>
      <c r="K731"/>
      <c r="L731"/>
    </row>
    <row r="732" spans="1:12" x14ac:dyDescent="0.2">
      <c r="A732"/>
      <c r="B732"/>
      <c r="C732"/>
      <c r="D732"/>
      <c r="E732"/>
      <c r="F732"/>
      <c r="G732"/>
      <c r="J732"/>
      <c r="K732"/>
      <c r="L732"/>
    </row>
    <row r="733" spans="1:12" x14ac:dyDescent="0.2">
      <c r="A733"/>
      <c r="B733"/>
      <c r="C733"/>
      <c r="D733"/>
      <c r="E733"/>
      <c r="F733"/>
      <c r="G733"/>
      <c r="J733"/>
      <c r="K733"/>
      <c r="L733"/>
    </row>
    <row r="734" spans="1:12" x14ac:dyDescent="0.2">
      <c r="A734"/>
      <c r="B734"/>
      <c r="C734"/>
      <c r="D734"/>
      <c r="E734"/>
      <c r="F734"/>
      <c r="G734"/>
      <c r="J734"/>
      <c r="K734"/>
      <c r="L734"/>
    </row>
    <row r="735" spans="1:12" x14ac:dyDescent="0.2">
      <c r="A735"/>
      <c r="B735"/>
      <c r="C735"/>
      <c r="D735"/>
      <c r="E735"/>
      <c r="F735"/>
      <c r="G735"/>
      <c r="J735"/>
      <c r="K735"/>
      <c r="L735"/>
    </row>
    <row r="736" spans="1:12" x14ac:dyDescent="0.2">
      <c r="A736"/>
      <c r="B736"/>
      <c r="C736"/>
      <c r="D736"/>
      <c r="E736"/>
      <c r="F736"/>
      <c r="G736"/>
      <c r="J736"/>
      <c r="K736"/>
      <c r="L736"/>
    </row>
    <row r="737" spans="1:12" x14ac:dyDescent="0.2">
      <c r="A737"/>
      <c r="B737"/>
      <c r="C737"/>
      <c r="D737"/>
      <c r="E737"/>
      <c r="F737"/>
      <c r="G737"/>
      <c r="J737"/>
      <c r="K737"/>
      <c r="L737"/>
    </row>
    <row r="738" spans="1:12" x14ac:dyDescent="0.2">
      <c r="A738"/>
      <c r="B738"/>
      <c r="C738"/>
      <c r="D738"/>
      <c r="E738"/>
      <c r="F738"/>
      <c r="G738"/>
      <c r="J738"/>
      <c r="K738"/>
      <c r="L738"/>
    </row>
    <row r="739" spans="1:12" x14ac:dyDescent="0.2">
      <c r="A739"/>
      <c r="B739"/>
      <c r="C739"/>
      <c r="D739"/>
      <c r="E739"/>
      <c r="F739"/>
      <c r="G739"/>
      <c r="J739"/>
      <c r="K739"/>
      <c r="L739"/>
    </row>
    <row r="740" spans="1:12" x14ac:dyDescent="0.2">
      <c r="A740"/>
      <c r="B740"/>
      <c r="C740"/>
      <c r="D740"/>
      <c r="E740"/>
      <c r="F740"/>
      <c r="G740"/>
      <c r="J740"/>
      <c r="K740"/>
      <c r="L740"/>
    </row>
    <row r="741" spans="1:12" x14ac:dyDescent="0.2">
      <c r="A741"/>
      <c r="B741"/>
      <c r="C741"/>
      <c r="D741"/>
      <c r="E741"/>
      <c r="F741"/>
      <c r="G741"/>
      <c r="J741"/>
      <c r="K741"/>
      <c r="L741"/>
    </row>
    <row r="742" spans="1:12" x14ac:dyDescent="0.2">
      <c r="A742"/>
      <c r="B742"/>
      <c r="C742"/>
      <c r="D742"/>
      <c r="E742"/>
      <c r="F742"/>
      <c r="G742"/>
      <c r="J742"/>
      <c r="K742"/>
      <c r="L742"/>
    </row>
    <row r="743" spans="1:12" x14ac:dyDescent="0.2">
      <c r="A743"/>
      <c r="B743"/>
      <c r="C743"/>
      <c r="D743"/>
      <c r="E743"/>
      <c r="F743"/>
      <c r="G743"/>
      <c r="J743"/>
      <c r="K743"/>
      <c r="L743"/>
    </row>
  </sheetData>
  <mergeCells count="62">
    <mergeCell ref="P2:Q2"/>
    <mergeCell ref="A3:A24"/>
    <mergeCell ref="H3:H24"/>
    <mergeCell ref="I3:I24"/>
    <mergeCell ref="M3:M24"/>
    <mergeCell ref="N3:N24"/>
    <mergeCell ref="A45:A68"/>
    <mergeCell ref="H45:H68"/>
    <mergeCell ref="I45:I68"/>
    <mergeCell ref="M45:M68"/>
    <mergeCell ref="N45:N68"/>
    <mergeCell ref="A25:A44"/>
    <mergeCell ref="H25:H44"/>
    <mergeCell ref="I25:I44"/>
    <mergeCell ref="M25:M44"/>
    <mergeCell ref="N25:N44"/>
    <mergeCell ref="A91:A112"/>
    <mergeCell ref="H91:H112"/>
    <mergeCell ref="I91:I112"/>
    <mergeCell ref="M91:M112"/>
    <mergeCell ref="N91:N112"/>
    <mergeCell ref="A69:A90"/>
    <mergeCell ref="H69:H90"/>
    <mergeCell ref="I69:I90"/>
    <mergeCell ref="M69:M90"/>
    <mergeCell ref="N69:N90"/>
    <mergeCell ref="A136:A158"/>
    <mergeCell ref="H136:H158"/>
    <mergeCell ref="I136:I158"/>
    <mergeCell ref="M136:M158"/>
    <mergeCell ref="N136:N158"/>
    <mergeCell ref="A113:A135"/>
    <mergeCell ref="H113:H135"/>
    <mergeCell ref="I113:I135"/>
    <mergeCell ref="M113:M135"/>
    <mergeCell ref="N113:N135"/>
    <mergeCell ref="A217:A234"/>
    <mergeCell ref="H217:H234"/>
    <mergeCell ref="I217:I234"/>
    <mergeCell ref="M217:M234"/>
    <mergeCell ref="N217:N234"/>
    <mergeCell ref="A1:N1"/>
    <mergeCell ref="A197:A216"/>
    <mergeCell ref="H197:H216"/>
    <mergeCell ref="I197:I216"/>
    <mergeCell ref="M197:M216"/>
    <mergeCell ref="N197:N216"/>
    <mergeCell ref="A159:A179"/>
    <mergeCell ref="H159:H179"/>
    <mergeCell ref="I159:I179"/>
    <mergeCell ref="M159:M179"/>
    <mergeCell ref="N159:N179"/>
    <mergeCell ref="A180:A196"/>
    <mergeCell ref="H180:H196"/>
    <mergeCell ref="I180:I196"/>
    <mergeCell ref="M180:M196"/>
    <mergeCell ref="N180:N196"/>
    <mergeCell ref="A235:A254"/>
    <mergeCell ref="H235:H254"/>
    <mergeCell ref="I235:I254"/>
    <mergeCell ref="M235:M254"/>
    <mergeCell ref="N235:N25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5"/>
  <sheetViews>
    <sheetView zoomScaleNormal="100" workbookViewId="0">
      <selection sqref="A1:O1"/>
    </sheetView>
  </sheetViews>
  <sheetFormatPr baseColWidth="10" defaultColWidth="11" defaultRowHeight="16" x14ac:dyDescent="0.2"/>
  <cols>
    <col min="1" max="1" width="47.1640625" customWidth="1"/>
    <col min="2" max="2" width="29.5" customWidth="1"/>
    <col min="3" max="3" width="24.6640625" customWidth="1"/>
    <col min="4" max="4" width="24" customWidth="1"/>
    <col min="5" max="5" width="18.5" customWidth="1"/>
    <col min="6" max="6" width="18" customWidth="1"/>
    <col min="7" max="7" width="15.5" customWidth="1"/>
    <col min="8" max="8" width="18.6640625" customWidth="1"/>
    <col min="9" max="11" width="18" customWidth="1"/>
    <col min="12" max="12" width="22" customWidth="1"/>
    <col min="13" max="13" width="15.6640625" customWidth="1"/>
    <col min="14" max="14" width="15.5" customWidth="1"/>
    <col min="15" max="15" width="15.6640625" customWidth="1"/>
  </cols>
  <sheetData>
    <row r="1" spans="1:16" ht="19" x14ac:dyDescent="0.25">
      <c r="A1" s="286" t="s">
        <v>535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6" ht="114" thickBot="1" x14ac:dyDescent="0.3">
      <c r="A2" s="150" t="s">
        <v>0</v>
      </c>
      <c r="B2" s="151" t="s">
        <v>144</v>
      </c>
      <c r="C2" s="69" t="s">
        <v>166</v>
      </c>
      <c r="D2" s="69" t="s">
        <v>126</v>
      </c>
      <c r="E2" s="70" t="s">
        <v>116</v>
      </c>
      <c r="F2" s="70" t="s">
        <v>117</v>
      </c>
      <c r="G2" s="70" t="s">
        <v>118</v>
      </c>
      <c r="H2" s="70" t="s">
        <v>119</v>
      </c>
      <c r="I2" s="70" t="s">
        <v>170</v>
      </c>
      <c r="J2" s="70" t="s">
        <v>122</v>
      </c>
      <c r="K2" s="71" t="s">
        <v>167</v>
      </c>
      <c r="L2" s="72" t="s">
        <v>168</v>
      </c>
      <c r="M2" s="73" t="s">
        <v>120</v>
      </c>
      <c r="N2" s="73" t="s">
        <v>121</v>
      </c>
      <c r="O2" s="74" t="s">
        <v>24</v>
      </c>
      <c r="P2" s="29"/>
    </row>
    <row r="3" spans="1:16" ht="22" thickTop="1" x14ac:dyDescent="0.25">
      <c r="A3" s="58" t="s">
        <v>1</v>
      </c>
      <c r="B3" s="59"/>
      <c r="C3" s="60"/>
      <c r="D3" s="61"/>
      <c r="E3" s="62"/>
      <c r="F3" s="63"/>
      <c r="G3" s="63"/>
      <c r="H3" s="63"/>
      <c r="I3" s="61"/>
      <c r="J3" s="60"/>
      <c r="K3" s="61"/>
      <c r="L3" s="63"/>
      <c r="M3" s="61"/>
      <c r="N3" s="61"/>
      <c r="O3" s="63"/>
      <c r="P3" s="29"/>
    </row>
    <row r="4" spans="1:16" s="126" customFormat="1" ht="21" x14ac:dyDescent="0.25">
      <c r="A4" s="115" t="s">
        <v>12</v>
      </c>
      <c r="B4" s="116" t="e">
        <f ca="1">_xll.RiskTriang(10,15,20)</f>
        <v>#NAME?</v>
      </c>
      <c r="C4" s="117" t="e">
        <f ca="1">_xll.RiskTriang(0.11,0.63,1.1)</f>
        <v>#NAME?</v>
      </c>
      <c r="D4" s="118" t="e">
        <f ca="1">(B4/100)*(C4/100)</f>
        <v>#NAME?</v>
      </c>
      <c r="E4" s="119">
        <v>29.7</v>
      </c>
      <c r="F4" s="120">
        <v>45.1</v>
      </c>
      <c r="G4" s="120">
        <f>(E4*F4)/100</f>
        <v>13.3947</v>
      </c>
      <c r="H4" s="120">
        <f>100-G4</f>
        <v>86.6053</v>
      </c>
      <c r="I4" s="121">
        <f>(H4/100)*(1.2/100)</f>
        <v>1.0392636E-2</v>
      </c>
      <c r="J4" s="122">
        <v>21.5</v>
      </c>
      <c r="K4" s="121">
        <f>(I4)*(J4/100)</f>
        <v>2.23441674E-3</v>
      </c>
      <c r="L4" s="123" t="e">
        <f ca="1">D4</f>
        <v>#NAME?</v>
      </c>
      <c r="M4" s="121">
        <v>23</v>
      </c>
      <c r="N4" s="121">
        <v>4</v>
      </c>
      <c r="O4" s="124" t="e">
        <f ca="1">(B4/100)*(M4/100)*(N4/100)</f>
        <v>#NAME?</v>
      </c>
      <c r="P4" s="125"/>
    </row>
    <row r="5" spans="1:16" ht="21" x14ac:dyDescent="0.25">
      <c r="A5" s="64" t="s">
        <v>13</v>
      </c>
      <c r="B5" s="90"/>
      <c r="C5" s="45" t="e">
        <f ca="1">_xll.RiskUniform(0.4,0.46)</f>
        <v>#NAME?</v>
      </c>
      <c r="D5" s="76"/>
      <c r="E5" s="47">
        <v>29.7</v>
      </c>
      <c r="F5" s="47">
        <v>33.4</v>
      </c>
      <c r="G5" s="47">
        <f t="shared" ref="G5:G18" si="0">(E5*F5)/100</f>
        <v>9.9197999999999986</v>
      </c>
      <c r="H5" s="47">
        <f>100-G5</f>
        <v>90.080200000000005</v>
      </c>
      <c r="I5" s="46">
        <f>(H5/100)*(1.2/100)</f>
        <v>1.0809624000000002E-2</v>
      </c>
      <c r="J5" s="48">
        <v>21.5</v>
      </c>
      <c r="K5" s="46">
        <f>(I5)*(J5/100)</f>
        <v>2.3240691600000004E-3</v>
      </c>
      <c r="L5" s="78">
        <f t="shared" ref="L5:L6" si="1">D5-(((H5/100)*(K5)*(B5/100)))</f>
        <v>0</v>
      </c>
      <c r="M5" s="46">
        <v>40</v>
      </c>
      <c r="N5" s="46">
        <v>4</v>
      </c>
      <c r="O5" s="80">
        <f>(B5/100)*(M5/100)*(N5/100)</f>
        <v>0</v>
      </c>
      <c r="P5" s="29"/>
    </row>
    <row r="6" spans="1:16" ht="21" x14ac:dyDescent="0.25">
      <c r="A6" s="64" t="s">
        <v>14</v>
      </c>
      <c r="B6" s="90"/>
      <c r="C6" s="45" t="e">
        <f ca="1">_xll.RiskUniform(0.22,0.72)</f>
        <v>#NAME?</v>
      </c>
      <c r="D6" s="76"/>
      <c r="E6" s="47">
        <v>46.8</v>
      </c>
      <c r="F6" s="47">
        <v>38.1</v>
      </c>
      <c r="G6" s="47">
        <f t="shared" si="0"/>
        <v>17.8308</v>
      </c>
      <c r="H6" s="47">
        <f>100-G6</f>
        <v>82.169200000000004</v>
      </c>
      <c r="I6" s="46">
        <f>(H6/100)*(2.09/100)</f>
        <v>1.7173362800000001E-2</v>
      </c>
      <c r="J6" s="48">
        <v>21.5</v>
      </c>
      <c r="K6" s="46">
        <f>(I6)*(J6/100)</f>
        <v>3.6922730020000002E-3</v>
      </c>
      <c r="L6" s="78">
        <f t="shared" si="1"/>
        <v>0</v>
      </c>
      <c r="M6" s="46">
        <v>37</v>
      </c>
      <c r="N6" s="46">
        <v>36</v>
      </c>
      <c r="O6" s="80">
        <f>(B6/100)*(M6/100)*(N6/100)</f>
        <v>0</v>
      </c>
      <c r="P6" s="29"/>
    </row>
    <row r="7" spans="1:16" ht="21" x14ac:dyDescent="0.25">
      <c r="A7" s="64" t="s">
        <v>129</v>
      </c>
      <c r="B7" s="90"/>
      <c r="C7" s="48" t="e">
        <f ca="1">_xll.RiskUniform(0.26, 0.42)</f>
        <v>#NAME?</v>
      </c>
      <c r="D7" s="76" t="e">
        <f ca="1">(B7/100)*((C7/100)+K7)</f>
        <v>#NAME?</v>
      </c>
      <c r="E7" s="47">
        <f>AVERAGE(44, 46.1, 48.9)</f>
        <v>46.333333333333336</v>
      </c>
      <c r="F7" s="47">
        <v>57</v>
      </c>
      <c r="G7" s="47">
        <f t="shared" si="0"/>
        <v>26.41</v>
      </c>
      <c r="H7" s="47">
        <f>100-G7</f>
        <v>73.59</v>
      </c>
      <c r="I7" s="46">
        <f>(H7/100)*(0.63/100)</f>
        <v>4.6361700000000002E-3</v>
      </c>
      <c r="J7" s="48">
        <v>21.5</v>
      </c>
      <c r="K7" s="46">
        <f>(I7)*(J7/100)</f>
        <v>9.9677654999999997E-4</v>
      </c>
      <c r="L7" s="78" t="e">
        <f ca="1">D7-(((H7/100)*(K7)*(B7/100)))</f>
        <v>#NAME?</v>
      </c>
      <c r="M7" s="46">
        <v>28</v>
      </c>
      <c r="N7" s="46">
        <v>36</v>
      </c>
      <c r="O7" s="80">
        <f>(B7/100)*(M7/100)*(N7/100)</f>
        <v>0</v>
      </c>
    </row>
    <row r="8" spans="1:16" ht="21" x14ac:dyDescent="0.25">
      <c r="A8" s="65" t="s">
        <v>2</v>
      </c>
      <c r="B8" s="91"/>
      <c r="C8" s="52"/>
      <c r="D8" s="77"/>
      <c r="E8" s="51"/>
      <c r="F8" s="51"/>
      <c r="G8" s="50"/>
      <c r="H8" s="51"/>
      <c r="I8" s="50"/>
      <c r="J8" s="52"/>
      <c r="K8" s="50"/>
      <c r="L8" s="79"/>
      <c r="M8" s="50"/>
      <c r="N8" s="50"/>
      <c r="O8" s="81"/>
    </row>
    <row r="9" spans="1:16" ht="21" x14ac:dyDescent="0.25">
      <c r="A9" s="64" t="s">
        <v>15</v>
      </c>
      <c r="B9" s="90"/>
      <c r="C9" s="45">
        <v>0.14000000000000001</v>
      </c>
      <c r="D9" s="76">
        <f>(B9/100)*((C9/100)+K9)</f>
        <v>0</v>
      </c>
      <c r="E9" s="47">
        <v>9.8000000000000007</v>
      </c>
      <c r="F9" s="47">
        <v>43</v>
      </c>
      <c r="G9" s="47">
        <f t="shared" si="0"/>
        <v>4.2140000000000004</v>
      </c>
      <c r="H9" s="47">
        <f>100-G9</f>
        <v>95.786000000000001</v>
      </c>
      <c r="I9" s="46">
        <f>(H9/100)*(1.12/100)</f>
        <v>1.0728032000000002E-2</v>
      </c>
      <c r="J9" s="48">
        <v>21.5</v>
      </c>
      <c r="K9" s="46">
        <f>(I9)*(J9/100)</f>
        <v>2.3065268800000005E-3</v>
      </c>
      <c r="L9" s="78">
        <f>D9-(((H9/100)*(K9)*(B9/100)))</f>
        <v>0</v>
      </c>
      <c r="M9" s="46">
        <v>9</v>
      </c>
      <c r="N9" s="46">
        <v>48</v>
      </c>
      <c r="O9" s="80">
        <f>(B9/100)*(M9/100)*(N9/100)</f>
        <v>0</v>
      </c>
    </row>
    <row r="10" spans="1:16" ht="21" x14ac:dyDescent="0.25">
      <c r="A10" s="64" t="s">
        <v>16</v>
      </c>
      <c r="B10" s="90"/>
      <c r="C10" s="45" t="e">
        <f ca="1">_xll.RiskUniform(0.12, 0.14)</f>
        <v>#NAME?</v>
      </c>
      <c r="D10" s="76" t="e">
        <f t="shared" ref="D10:D18" ca="1" si="2">(B10/100)*((C10/100)+K10)</f>
        <v>#NAME?</v>
      </c>
      <c r="E10" s="47">
        <f>AVERAGE(9.8, 9.8)</f>
        <v>9.8000000000000007</v>
      </c>
      <c r="F10" s="47">
        <f>AVERAGE(67.8, 67.8)</f>
        <v>67.8</v>
      </c>
      <c r="G10" s="47">
        <f t="shared" si="0"/>
        <v>6.644400000000001</v>
      </c>
      <c r="H10" s="47">
        <f>100-G10</f>
        <v>93.355599999999995</v>
      </c>
      <c r="I10" s="46">
        <f>(H10/100)*(0.99/100)</f>
        <v>9.2422043999999988E-3</v>
      </c>
      <c r="J10" s="48">
        <v>21.5</v>
      </c>
      <c r="K10" s="46">
        <f>(I10)*(J10/100)</f>
        <v>1.9870739459999999E-3</v>
      </c>
      <c r="L10" s="78" t="e">
        <f ca="1">D10-(((H10/100)*(K10)*(B10/100)))</f>
        <v>#NAME?</v>
      </c>
      <c r="M10" s="46">
        <f>(10.5+9)/2</f>
        <v>9.75</v>
      </c>
      <c r="N10" s="46">
        <v>0</v>
      </c>
      <c r="O10" s="80">
        <f>(B10/100)*(M10/100)*(N10/100)</f>
        <v>0</v>
      </c>
    </row>
    <row r="11" spans="1:16" s="126" customFormat="1" ht="21" x14ac:dyDescent="0.25">
      <c r="A11" s="115" t="s">
        <v>17</v>
      </c>
      <c r="B11" s="116" t="e">
        <f ca="1">100-SUM(B5:B7,B9:B10,B13:B16,B18:B19)-(B4)</f>
        <v>#NAME?</v>
      </c>
      <c r="C11" s="117" t="e">
        <f ca="1">_xll.RiskUniform(0.11,0.14)</f>
        <v>#NAME?</v>
      </c>
      <c r="D11" s="118" t="e">
        <f ca="1">(B11/100)*((C11/100)+K11)</f>
        <v>#NAME?</v>
      </c>
      <c r="E11" s="120">
        <v>9.8000000000000007</v>
      </c>
      <c r="F11" s="120">
        <v>44.7</v>
      </c>
      <c r="G11" s="120">
        <f t="shared" si="0"/>
        <v>4.3806000000000003</v>
      </c>
      <c r="H11" s="120">
        <f>100-G11</f>
        <v>95.619399999999999</v>
      </c>
      <c r="I11" s="121">
        <f>(H11/100)*(1.12/100)</f>
        <v>1.0709372800000002E-2</v>
      </c>
      <c r="J11" s="122">
        <v>21.5</v>
      </c>
      <c r="K11" s="121">
        <f>(I11)*(J11/100)</f>
        <v>2.3025151520000005E-3</v>
      </c>
      <c r="L11" s="123" t="e">
        <f t="shared" ref="L11:L19" ca="1" si="3">D11-(((H11/100)*(K11)*(B11/100)))</f>
        <v>#NAME?</v>
      </c>
      <c r="M11" s="121">
        <v>10.8</v>
      </c>
      <c r="N11" s="121">
        <v>30</v>
      </c>
      <c r="O11" s="124" t="e">
        <f ca="1">(B11/100)*(M11/100)*(N11/100)</f>
        <v>#NAME?</v>
      </c>
    </row>
    <row r="12" spans="1:16" ht="21" x14ac:dyDescent="0.25">
      <c r="A12" s="65" t="s">
        <v>3</v>
      </c>
      <c r="B12" s="91"/>
      <c r="C12" s="52"/>
      <c r="D12" s="77"/>
      <c r="E12" s="51"/>
      <c r="F12" s="51"/>
      <c r="G12" s="50"/>
      <c r="H12" s="1"/>
      <c r="I12" s="50"/>
      <c r="J12" s="52"/>
      <c r="K12" s="50"/>
      <c r="L12" s="79"/>
      <c r="M12" s="50"/>
      <c r="N12" s="50"/>
      <c r="O12" s="81"/>
    </row>
    <row r="13" spans="1:16" s="126" customFormat="1" ht="21" x14ac:dyDescent="0.25">
      <c r="A13" s="127" t="s">
        <v>128</v>
      </c>
      <c r="B13" s="128" t="e">
        <f ca="1">50-B16</f>
        <v>#NAME?</v>
      </c>
      <c r="C13" s="117">
        <v>0.12</v>
      </c>
      <c r="D13" s="118" t="e">
        <f ca="1">(B13/100)*((C13/100)+K13)</f>
        <v>#NAME?</v>
      </c>
      <c r="E13" s="120">
        <v>9.39</v>
      </c>
      <c r="F13" s="120">
        <v>73</v>
      </c>
      <c r="G13" s="120">
        <f t="shared" si="0"/>
        <v>6.8547000000000002</v>
      </c>
      <c r="H13" s="121">
        <f>100-G13</f>
        <v>93.145300000000006</v>
      </c>
      <c r="I13" s="120">
        <f>(H13/100)*(0.75/100)</f>
        <v>6.9858975000000002E-3</v>
      </c>
      <c r="J13" s="122">
        <v>21.5</v>
      </c>
      <c r="K13" s="121">
        <f>(I13)*(J13/100)</f>
        <v>1.5019679624999999E-3</v>
      </c>
      <c r="L13" s="123" t="e">
        <f t="shared" ca="1" si="3"/>
        <v>#NAME?</v>
      </c>
      <c r="M13" s="121">
        <v>66.3</v>
      </c>
      <c r="N13" s="121">
        <v>81</v>
      </c>
      <c r="O13" s="124" t="e">
        <f ca="1">(B13/100)*(M13/100)*(N13/100)</f>
        <v>#NAME?</v>
      </c>
    </row>
    <row r="14" spans="1:16" ht="21" x14ac:dyDescent="0.25">
      <c r="A14" s="66" t="s">
        <v>4</v>
      </c>
      <c r="B14" s="90"/>
      <c r="C14" s="45" t="e">
        <f ca="1">_xll.RiskUniform(0.11,0.26)</f>
        <v>#NAME?</v>
      </c>
      <c r="D14" s="76" t="e">
        <f t="shared" ca="1" si="2"/>
        <v>#NAME?</v>
      </c>
      <c r="E14" s="47">
        <v>12.2</v>
      </c>
      <c r="F14" s="47">
        <v>58</v>
      </c>
      <c r="G14" s="47">
        <f t="shared" si="0"/>
        <v>7.0759999999999987</v>
      </c>
      <c r="H14" s="47">
        <f>100-G14</f>
        <v>92.924000000000007</v>
      </c>
      <c r="I14" s="46">
        <f>(H14/100)*(0.47/100)</f>
        <v>4.3674279999999996E-3</v>
      </c>
      <c r="J14" s="48">
        <v>21.5</v>
      </c>
      <c r="K14" s="46">
        <f>(I14)*(J14/100)</f>
        <v>9.3899701999999993E-4</v>
      </c>
      <c r="L14" s="78" t="e">
        <f t="shared" ca="1" si="3"/>
        <v>#NAME?</v>
      </c>
      <c r="M14" s="46">
        <v>66.3</v>
      </c>
      <c r="N14" s="46">
        <v>2</v>
      </c>
      <c r="O14" s="80">
        <f>(B14/100)*(M14/100)*(N14/100)</f>
        <v>0</v>
      </c>
    </row>
    <row r="15" spans="1:16" ht="21" x14ac:dyDescent="0.25">
      <c r="A15" s="66" t="s">
        <v>5</v>
      </c>
      <c r="B15" s="90"/>
      <c r="C15" s="45" t="e">
        <f ca="1">_xll.RiskUniform(0.08,0.12)</f>
        <v>#NAME?</v>
      </c>
      <c r="D15" s="76" t="e">
        <f t="shared" ca="1" si="2"/>
        <v>#NAME?</v>
      </c>
      <c r="E15" s="47">
        <v>8</v>
      </c>
      <c r="F15" s="47">
        <v>75</v>
      </c>
      <c r="G15" s="47">
        <f t="shared" si="0"/>
        <v>6</v>
      </c>
      <c r="H15" s="47">
        <f>100-G15</f>
        <v>94</v>
      </c>
      <c r="I15" s="46">
        <f>(H15/100)*(0.8/100)</f>
        <v>7.5199999999999998E-3</v>
      </c>
      <c r="J15" s="48">
        <v>21.5</v>
      </c>
      <c r="K15" s="46">
        <f>(I15)*(J15/100)</f>
        <v>1.6167999999999998E-3</v>
      </c>
      <c r="L15" s="78" t="e">
        <f ca="1">D15-(((H15/100)*(K15)*(B15/100)))</f>
        <v>#NAME?</v>
      </c>
      <c r="M15" s="46">
        <v>41</v>
      </c>
      <c r="N15" s="46">
        <v>71</v>
      </c>
      <c r="O15" s="76">
        <f>(B15/100)*(M15/100)*(N15/100)</f>
        <v>0</v>
      </c>
    </row>
    <row r="16" spans="1:16" s="126" customFormat="1" ht="21" x14ac:dyDescent="0.25">
      <c r="A16" s="129" t="s">
        <v>130</v>
      </c>
      <c r="B16" s="130" t="e">
        <f ca="1">_xll.RiskUniform(25,30)</f>
        <v>#NAME?</v>
      </c>
      <c r="C16" s="122">
        <v>0.09</v>
      </c>
      <c r="D16" s="118" t="e">
        <f ca="1">(B16/100)*((C16/100)+K16)</f>
        <v>#NAME?</v>
      </c>
      <c r="E16" s="120">
        <v>4.0999999999999996</v>
      </c>
      <c r="F16" s="120">
        <v>50</v>
      </c>
      <c r="G16" s="120">
        <f>(E16*F16)/100</f>
        <v>2.0499999999999998</v>
      </c>
      <c r="H16" s="120">
        <f>100-G16</f>
        <v>97.95</v>
      </c>
      <c r="I16" s="121">
        <f>(H16/100)*(1.91/100)</f>
        <v>1.8708449999999998E-2</v>
      </c>
      <c r="J16" s="122">
        <v>21.5</v>
      </c>
      <c r="K16" s="121">
        <f>(I16)*(J16/100)</f>
        <v>4.0223167499999993E-3</v>
      </c>
      <c r="L16" s="123" t="e">
        <f t="shared" ca="1" si="3"/>
        <v>#NAME?</v>
      </c>
      <c r="M16" s="122">
        <v>90</v>
      </c>
      <c r="N16" s="122">
        <v>100</v>
      </c>
      <c r="O16" s="118" t="e">
        <f ca="1">(B16/100)*(M16/100)*(N16/100)</f>
        <v>#NAME?</v>
      </c>
    </row>
    <row r="17" spans="1:15" ht="21" x14ac:dyDescent="0.25">
      <c r="A17" s="67" t="s">
        <v>18</v>
      </c>
      <c r="B17" s="92"/>
      <c r="C17" s="49"/>
      <c r="D17" s="77"/>
      <c r="E17" s="51"/>
      <c r="F17" s="51"/>
      <c r="G17" s="50"/>
      <c r="H17" s="51"/>
      <c r="I17" s="50"/>
      <c r="J17" s="52"/>
      <c r="K17" s="50"/>
      <c r="L17" s="79"/>
      <c r="M17" s="50"/>
      <c r="N17" s="50"/>
      <c r="O17" s="77"/>
    </row>
    <row r="18" spans="1:15" s="126" customFormat="1" ht="21" x14ac:dyDescent="0.25">
      <c r="A18" s="131" t="s">
        <v>127</v>
      </c>
      <c r="B18" s="116" t="e">
        <f ca="1">5-B19</f>
        <v>#NAME?</v>
      </c>
      <c r="C18" s="117">
        <v>0</v>
      </c>
      <c r="D18" s="118" t="e">
        <f t="shared" ca="1" si="2"/>
        <v>#NAME?</v>
      </c>
      <c r="E18" s="121">
        <v>0</v>
      </c>
      <c r="F18" s="121">
        <v>0</v>
      </c>
      <c r="G18" s="120">
        <f t="shared" si="0"/>
        <v>0</v>
      </c>
      <c r="H18" s="120">
        <f>100-G18</f>
        <v>100</v>
      </c>
      <c r="I18" s="121">
        <f>(H18/100)*(0/100)</f>
        <v>0</v>
      </c>
      <c r="J18" s="122">
        <v>21.5</v>
      </c>
      <c r="K18" s="121">
        <f>(I18)*(J18/100)</f>
        <v>0</v>
      </c>
      <c r="L18" s="123" t="e">
        <f t="shared" ca="1" si="3"/>
        <v>#NAME?</v>
      </c>
      <c r="M18" s="121">
        <v>0</v>
      </c>
      <c r="N18" s="121">
        <v>0</v>
      </c>
      <c r="O18" s="118" t="e">
        <f ca="1">(B18/100)*(M18/100)*(N18/100)</f>
        <v>#NAME?</v>
      </c>
    </row>
    <row r="19" spans="1:15" s="126" customFormat="1" ht="21" x14ac:dyDescent="0.25">
      <c r="A19" s="132" t="s">
        <v>132</v>
      </c>
      <c r="B19" s="133" t="e">
        <f ca="1">_xll.RiskUniform(2,4)</f>
        <v>#NAME?</v>
      </c>
      <c r="C19" s="134">
        <v>1.1000000000000001</v>
      </c>
      <c r="D19" s="135" t="e">
        <f ca="1">(B19/100)*((C19/100)+K19)</f>
        <v>#NAME?</v>
      </c>
      <c r="E19" s="136">
        <f>AVERAGE(8.5, 5.8)</f>
        <v>7.15</v>
      </c>
      <c r="F19" s="137">
        <v>100</v>
      </c>
      <c r="G19" s="137">
        <f>(E19*F19)/100</f>
        <v>7.15</v>
      </c>
      <c r="H19" s="138">
        <f>100-G19</f>
        <v>92.85</v>
      </c>
      <c r="I19" s="137">
        <f>(H19/100)*(0/100)</f>
        <v>0</v>
      </c>
      <c r="J19" s="136">
        <v>21.5</v>
      </c>
      <c r="K19" s="137">
        <f>(I19)*(J19/100)</f>
        <v>0</v>
      </c>
      <c r="L19" s="139" t="e">
        <f t="shared" ca="1" si="3"/>
        <v>#NAME?</v>
      </c>
      <c r="M19" s="137">
        <v>0</v>
      </c>
      <c r="N19" s="137">
        <v>0</v>
      </c>
      <c r="O19" s="135" t="e">
        <f ca="1">(B19/100)*(M19/100)*(N19/100)</f>
        <v>#NAME?</v>
      </c>
    </row>
    <row r="20" spans="1:15" s="126" customFormat="1" ht="21" x14ac:dyDescent="0.25">
      <c r="A20" s="132" t="s">
        <v>21</v>
      </c>
      <c r="B20" s="133" t="e">
        <f ca="1">_xll.RiskTriang(19.4,26.7,47)</f>
        <v>#NAME?</v>
      </c>
      <c r="C20" s="134">
        <f>O41</f>
        <v>14.53</v>
      </c>
      <c r="D20" s="118" t="e">
        <f ca="1">((B20*C20)*(1/10000))/100</f>
        <v>#NAME?</v>
      </c>
      <c r="E20" s="137">
        <v>0</v>
      </c>
      <c r="F20" s="137">
        <v>0</v>
      </c>
      <c r="G20" s="120">
        <v>0</v>
      </c>
      <c r="H20" s="120">
        <f>100-G20</f>
        <v>100</v>
      </c>
      <c r="I20" s="137">
        <v>0</v>
      </c>
      <c r="J20" s="122">
        <v>21.5</v>
      </c>
      <c r="K20" s="137">
        <f>(I20)*(J20/100)</f>
        <v>0</v>
      </c>
      <c r="L20" s="139" t="e">
        <f ca="1">D20</f>
        <v>#NAME?</v>
      </c>
      <c r="M20" s="137">
        <v>0</v>
      </c>
      <c r="N20" s="137">
        <v>0</v>
      </c>
      <c r="O20" s="140" t="e">
        <f ca="1">(B20/100)*(M20/100)*(N20/100)</f>
        <v>#NAME?</v>
      </c>
    </row>
    <row r="21" spans="1:15" ht="21" x14ac:dyDescent="0.25">
      <c r="A21" s="68" t="s">
        <v>125</v>
      </c>
      <c r="B21" s="53" t="e">
        <f ca="1">SUM(B4:B7,B9:B11,B13:B16,B18:B19)</f>
        <v>#NAME?</v>
      </c>
      <c r="C21" s="54"/>
      <c r="D21" s="55" t="e">
        <f ca="1">SUM(D4:D7,D9:D11,D13:D16,D18:D19,D20)*100</f>
        <v>#NAME?</v>
      </c>
      <c r="E21" s="54"/>
      <c r="F21" s="54"/>
      <c r="G21" s="54"/>
      <c r="H21" s="54"/>
      <c r="I21" s="54"/>
      <c r="J21" s="54"/>
      <c r="K21" s="56"/>
      <c r="L21" s="57" t="e">
        <f ca="1">SUM(L4:L7,L9:L11,L13:L16,L18:L20)*100</f>
        <v>#NAME?</v>
      </c>
      <c r="M21" s="54"/>
      <c r="N21" s="54"/>
      <c r="O21" s="55" t="e">
        <f ca="1">(SUM(O4:O7,O9:O11,O13:O16,O18:O19))*100</f>
        <v>#NAME?</v>
      </c>
    </row>
    <row r="22" spans="1:15" ht="19" x14ac:dyDescent="0.2">
      <c r="A22" s="2" t="s">
        <v>7</v>
      </c>
    </row>
    <row r="23" spans="1:15" ht="19" x14ac:dyDescent="0.2">
      <c r="A23" s="3" t="s">
        <v>8</v>
      </c>
    </row>
    <row r="24" spans="1:15" ht="19" x14ac:dyDescent="0.2">
      <c r="A24" s="3" t="s">
        <v>123</v>
      </c>
    </row>
    <row r="25" spans="1:15" ht="19" x14ac:dyDescent="0.2">
      <c r="A25" s="3" t="s">
        <v>169</v>
      </c>
      <c r="D25" s="86"/>
    </row>
    <row r="26" spans="1:15" ht="19" x14ac:dyDescent="0.2">
      <c r="A26" s="2"/>
    </row>
    <row r="28" spans="1:15" ht="17" thickBot="1" x14ac:dyDescent="0.25">
      <c r="A28" t="s">
        <v>22</v>
      </c>
      <c r="H28" s="24" t="s">
        <v>82</v>
      </c>
    </row>
    <row r="29" spans="1:15" ht="51.75" customHeight="1" thickBot="1" x14ac:dyDescent="0.25">
      <c r="A29" s="12" t="s">
        <v>0</v>
      </c>
      <c r="B29" s="13" t="s">
        <v>6</v>
      </c>
      <c r="G29" s="10"/>
      <c r="H29" s="158" t="s">
        <v>81</v>
      </c>
      <c r="I29" s="26" t="s">
        <v>88</v>
      </c>
      <c r="J29" s="157"/>
      <c r="K29" s="21"/>
      <c r="M29" s="104" t="s">
        <v>157</v>
      </c>
      <c r="N29" s="105" t="s">
        <v>165</v>
      </c>
      <c r="O29" s="106" t="s">
        <v>158</v>
      </c>
    </row>
    <row r="30" spans="1:15" ht="20" thickTop="1" x14ac:dyDescent="0.2">
      <c r="A30" s="6" t="s">
        <v>1</v>
      </c>
      <c r="B30" s="8" t="s">
        <v>133</v>
      </c>
      <c r="E30" s="20" t="s">
        <v>142</v>
      </c>
      <c r="F30" s="7"/>
      <c r="G30" s="7"/>
      <c r="H30" s="4">
        <v>0</v>
      </c>
      <c r="I30" s="25" t="s">
        <v>83</v>
      </c>
      <c r="J30" s="25"/>
      <c r="K30" s="7"/>
      <c r="M30" s="107" t="s">
        <v>145</v>
      </c>
      <c r="N30" s="108">
        <v>2</v>
      </c>
      <c r="O30" s="109">
        <v>327.39</v>
      </c>
    </row>
    <row r="31" spans="1:15" ht="19" x14ac:dyDescent="0.2">
      <c r="A31" t="s">
        <v>9</v>
      </c>
      <c r="B31" s="10" t="s">
        <v>138</v>
      </c>
      <c r="F31" s="7"/>
      <c r="H31" s="4">
        <v>2</v>
      </c>
      <c r="I31" s="25" t="s">
        <v>84</v>
      </c>
      <c r="J31" s="25"/>
      <c r="M31" s="107" t="s">
        <v>146</v>
      </c>
      <c r="N31" s="108">
        <v>3</v>
      </c>
      <c r="O31" s="109">
        <v>170.73</v>
      </c>
    </row>
    <row r="32" spans="1:15" ht="19" x14ac:dyDescent="0.25">
      <c r="A32" t="s">
        <v>10</v>
      </c>
      <c r="B32" s="9" t="s">
        <v>137</v>
      </c>
      <c r="E32" s="29"/>
      <c r="F32" s="29"/>
      <c r="H32" s="4">
        <v>4</v>
      </c>
      <c r="I32" s="25" t="s">
        <v>85</v>
      </c>
      <c r="J32" s="25"/>
      <c r="M32" s="107" t="s">
        <v>147</v>
      </c>
      <c r="N32" s="108">
        <v>6</v>
      </c>
      <c r="O32" s="109">
        <v>168.4</v>
      </c>
    </row>
    <row r="33" spans="1:15" ht="19" x14ac:dyDescent="0.25">
      <c r="A33" t="s">
        <v>134</v>
      </c>
      <c r="B33" s="9" t="s">
        <v>136</v>
      </c>
      <c r="E33" s="93"/>
      <c r="F33" s="7"/>
      <c r="H33" s="17">
        <v>6</v>
      </c>
      <c r="I33" s="25" t="s">
        <v>86</v>
      </c>
      <c r="J33" s="25"/>
      <c r="M33" s="107" t="s">
        <v>148</v>
      </c>
      <c r="N33" s="108">
        <v>12</v>
      </c>
      <c r="O33" s="109">
        <v>125.62</v>
      </c>
    </row>
    <row r="34" spans="1:15" ht="19" x14ac:dyDescent="0.25">
      <c r="A34" s="11" t="s">
        <v>141</v>
      </c>
      <c r="B34" s="87">
        <v>0.02</v>
      </c>
      <c r="E34" s="93"/>
      <c r="F34" s="7"/>
      <c r="H34" s="5">
        <v>8</v>
      </c>
      <c r="I34" s="27" t="s">
        <v>87</v>
      </c>
      <c r="J34" s="25"/>
      <c r="M34" s="107" t="s">
        <v>149</v>
      </c>
      <c r="N34" s="108">
        <v>7</v>
      </c>
      <c r="O34" s="109">
        <v>78.55</v>
      </c>
    </row>
    <row r="35" spans="1:15" ht="19" x14ac:dyDescent="0.25">
      <c r="B35" s="10"/>
      <c r="D35" s="7"/>
      <c r="E35" s="93"/>
      <c r="F35" s="7"/>
      <c r="J35" s="37"/>
      <c r="K35" s="38"/>
      <c r="L35" s="25"/>
      <c r="M35" s="107" t="s">
        <v>150</v>
      </c>
      <c r="N35" s="110">
        <v>1</v>
      </c>
      <c r="O35" s="109">
        <v>67.59</v>
      </c>
    </row>
    <row r="36" spans="1:15" ht="20" thickBot="1" x14ac:dyDescent="0.3">
      <c r="A36" s="153"/>
      <c r="B36" s="153"/>
      <c r="C36" s="154"/>
      <c r="D36" s="153"/>
      <c r="F36" s="315" t="s">
        <v>159</v>
      </c>
      <c r="G36" s="315"/>
      <c r="H36" s="315"/>
      <c r="I36" s="315"/>
      <c r="J36" s="315"/>
      <c r="K36" s="315"/>
      <c r="M36" s="107" t="s">
        <v>151</v>
      </c>
      <c r="N36" s="108">
        <v>8</v>
      </c>
      <c r="O36" s="109">
        <v>56.35</v>
      </c>
    </row>
    <row r="37" spans="1:15" ht="15.75" customHeight="1" thickTop="1" x14ac:dyDescent="0.25">
      <c r="A37" s="29"/>
      <c r="B37" s="29"/>
      <c r="C37" s="41"/>
      <c r="D37" s="29"/>
      <c r="E37" s="11" t="s">
        <v>160</v>
      </c>
      <c r="F37" s="36">
        <v>40</v>
      </c>
      <c r="G37" s="36">
        <v>50</v>
      </c>
      <c r="H37" s="36">
        <v>60</v>
      </c>
      <c r="I37" s="36">
        <v>70</v>
      </c>
      <c r="J37" s="36">
        <v>80</v>
      </c>
      <c r="K37" s="102">
        <v>90</v>
      </c>
      <c r="M37" s="111" t="s">
        <v>152</v>
      </c>
      <c r="N37" s="108">
        <v>10</v>
      </c>
      <c r="O37" s="109">
        <v>54.58</v>
      </c>
    </row>
    <row r="38" spans="1:15" ht="15.75" customHeight="1" x14ac:dyDescent="0.25">
      <c r="A38" s="29"/>
      <c r="B38" s="29"/>
      <c r="C38" s="98" t="e">
        <f ca="1">(0.0193*(2.71828)^(10.701*L21))/10000</f>
        <v>#NAME?</v>
      </c>
      <c r="D38" s="31"/>
      <c r="E38" s="29"/>
      <c r="F38" s="94">
        <v>15.1</v>
      </c>
      <c r="G38" s="95">
        <v>16.3</v>
      </c>
      <c r="H38" s="95">
        <v>18.899999999999999</v>
      </c>
      <c r="I38" s="95">
        <v>22</v>
      </c>
      <c r="J38" s="95">
        <v>25.4</v>
      </c>
      <c r="K38" s="103">
        <v>36</v>
      </c>
      <c r="M38" s="107" t="s">
        <v>153</v>
      </c>
      <c r="N38" s="108">
        <v>11</v>
      </c>
      <c r="O38" s="109">
        <v>36.96</v>
      </c>
    </row>
    <row r="39" spans="1:15" ht="15.75" customHeight="1" x14ac:dyDescent="0.25">
      <c r="A39" s="29"/>
      <c r="B39" s="29"/>
      <c r="C39" s="39" t="e">
        <f ca="1">(B41*C38)</f>
        <v>#NAME?</v>
      </c>
      <c r="D39" s="33"/>
      <c r="E39" s="29"/>
      <c r="F39" s="94">
        <v>20.100000000000001</v>
      </c>
      <c r="G39" s="95">
        <v>22.2</v>
      </c>
      <c r="H39" s="95">
        <v>25</v>
      </c>
      <c r="I39" s="95">
        <v>29.5</v>
      </c>
      <c r="J39" s="95">
        <v>33.700000000000003</v>
      </c>
      <c r="K39" s="103">
        <v>48.1</v>
      </c>
      <c r="M39" s="107" t="s">
        <v>154</v>
      </c>
      <c r="N39" s="108">
        <v>4</v>
      </c>
      <c r="O39" s="109">
        <v>36.93</v>
      </c>
    </row>
    <row r="40" spans="1:15" ht="15.75" customHeight="1" x14ac:dyDescent="0.25">
      <c r="A40" s="29"/>
      <c r="B40" s="30">
        <v>0.2</v>
      </c>
      <c r="C40" s="40" t="s">
        <v>71</v>
      </c>
      <c r="D40" s="29"/>
      <c r="E40" s="29"/>
      <c r="F40" s="94">
        <v>23</v>
      </c>
      <c r="G40" s="95">
        <v>25.7</v>
      </c>
      <c r="H40" s="95">
        <v>29.9</v>
      </c>
      <c r="I40" s="95">
        <v>34.799999999999997</v>
      </c>
      <c r="J40" s="95">
        <v>40.1</v>
      </c>
      <c r="K40" s="103">
        <v>56.8</v>
      </c>
      <c r="M40" s="111" t="s">
        <v>155</v>
      </c>
      <c r="N40" s="108">
        <v>9</v>
      </c>
      <c r="O40" s="109">
        <v>14.53</v>
      </c>
    </row>
    <row r="41" spans="1:15" ht="15.75" customHeight="1" thickBot="1" x14ac:dyDescent="0.3">
      <c r="A41" s="29"/>
      <c r="B41" s="32">
        <f>B40*A44</f>
        <v>20000</v>
      </c>
      <c r="C41" s="40"/>
      <c r="D41" s="29"/>
      <c r="E41" s="96" t="s">
        <v>161</v>
      </c>
      <c r="F41" s="97">
        <f>AVERAGE(F38:F40)</f>
        <v>19.400000000000002</v>
      </c>
      <c r="G41" s="97">
        <f t="shared" ref="G41:K41" si="4">AVERAGE(G38:G40)</f>
        <v>21.400000000000002</v>
      </c>
      <c r="H41" s="97">
        <f t="shared" si="4"/>
        <v>24.599999999999998</v>
      </c>
      <c r="I41" s="97">
        <f>AVERAGE(I38:I40)</f>
        <v>28.766666666666666</v>
      </c>
      <c r="J41" s="97">
        <f t="shared" si="4"/>
        <v>33.06666666666667</v>
      </c>
      <c r="K41" s="97">
        <f t="shared" si="4"/>
        <v>46.966666666666661</v>
      </c>
      <c r="M41" s="112" t="s">
        <v>156</v>
      </c>
      <c r="N41" s="113">
        <v>5</v>
      </c>
      <c r="O41" s="114">
        <v>14.53</v>
      </c>
    </row>
    <row r="42" spans="1:15" ht="15.75" customHeight="1" x14ac:dyDescent="0.25">
      <c r="A42" s="29"/>
      <c r="B42" s="29"/>
      <c r="C42" s="39" t="e">
        <f ca="1">1-C38</f>
        <v>#NAME?</v>
      </c>
      <c r="D42" s="31"/>
    </row>
    <row r="43" spans="1:15" ht="15.75" customHeight="1" x14ac:dyDescent="0.25">
      <c r="A43" s="29"/>
      <c r="B43" s="29"/>
      <c r="C43" s="39" t="e">
        <f ca="1">B41-C39</f>
        <v>#NAME?</v>
      </c>
      <c r="D43" s="33"/>
      <c r="I43" s="99"/>
    </row>
    <row r="44" spans="1:15" ht="15.75" customHeight="1" x14ac:dyDescent="0.25">
      <c r="A44" s="32">
        <v>100000</v>
      </c>
      <c r="B44" s="43" t="s">
        <v>80</v>
      </c>
      <c r="C44" s="41"/>
      <c r="D44" s="29"/>
      <c r="F44" s="101" t="s">
        <v>162</v>
      </c>
      <c r="G44" s="29"/>
    </row>
    <row r="45" spans="1:15" ht="15.75" customHeight="1" x14ac:dyDescent="0.25">
      <c r="A45" s="32"/>
      <c r="B45" s="34"/>
      <c r="C45" s="41"/>
      <c r="D45" s="29"/>
      <c r="F45" s="29" t="s">
        <v>163</v>
      </c>
      <c r="G45" s="29" t="s">
        <v>164</v>
      </c>
      <c r="I45" s="99"/>
    </row>
    <row r="46" spans="1:15" ht="15.75" customHeight="1" x14ac:dyDescent="0.25">
      <c r="A46" s="29"/>
      <c r="B46" s="29"/>
      <c r="C46" s="98" t="e">
        <f ca="1">(0.0127*(2.71828)^(10.701*L21))/10000</f>
        <v>#NAME?</v>
      </c>
      <c r="D46" s="31"/>
      <c r="F46" s="29" t="s">
        <v>171</v>
      </c>
      <c r="G46" s="29" t="s">
        <v>172</v>
      </c>
    </row>
    <row r="47" spans="1:15" ht="15.75" customHeight="1" x14ac:dyDescent="0.25">
      <c r="A47" s="29"/>
      <c r="B47" s="29"/>
      <c r="C47" s="39" t="e">
        <f ca="1">B49*C46</f>
        <v>#NAME?</v>
      </c>
      <c r="D47" s="33"/>
    </row>
    <row r="48" spans="1:15" ht="15.75" customHeight="1" x14ac:dyDescent="0.25">
      <c r="A48" s="29"/>
      <c r="B48" s="30">
        <v>0.2</v>
      </c>
      <c r="C48" s="40" t="s">
        <v>71</v>
      </c>
      <c r="D48" s="29"/>
    </row>
    <row r="49" spans="1:12" ht="15.75" customHeight="1" x14ac:dyDescent="0.25">
      <c r="A49" s="29"/>
      <c r="B49" s="32">
        <f>B48*A44</f>
        <v>20000</v>
      </c>
      <c r="C49" s="40"/>
      <c r="D49" s="29"/>
    </row>
    <row r="50" spans="1:12" ht="15.75" customHeight="1" x14ac:dyDescent="0.25">
      <c r="A50" s="29"/>
      <c r="B50" s="29"/>
      <c r="C50" s="39" t="e">
        <f ca="1">1-C46</f>
        <v>#NAME?</v>
      </c>
      <c r="D50" s="31"/>
    </row>
    <row r="51" spans="1:12" ht="15.75" customHeight="1" x14ac:dyDescent="0.25">
      <c r="A51" s="29"/>
      <c r="B51" s="29"/>
      <c r="C51" s="39" t="e">
        <f ca="1">B49-C47</f>
        <v>#NAME?</v>
      </c>
      <c r="D51" s="33"/>
    </row>
    <row r="52" spans="1:12" ht="15.75" customHeight="1" x14ac:dyDescent="0.25">
      <c r="A52" s="29"/>
      <c r="B52" s="29"/>
      <c r="C52" s="39"/>
      <c r="D52" s="33"/>
    </row>
    <row r="53" spans="1:12" ht="15.75" customHeight="1" x14ac:dyDescent="0.25">
      <c r="A53" s="29"/>
      <c r="B53" s="29"/>
      <c r="C53" s="98" t="e">
        <f ca="1">(0.0084*(2.71828)^(10.701*L21))/10000</f>
        <v>#NAME?</v>
      </c>
      <c r="D53" s="31"/>
    </row>
    <row r="54" spans="1:12" ht="15.75" customHeight="1" x14ac:dyDescent="0.25">
      <c r="A54" s="29"/>
      <c r="B54" s="29"/>
      <c r="C54" s="39" t="e">
        <f ca="1">B56*C53</f>
        <v>#NAME?</v>
      </c>
      <c r="D54" s="33"/>
      <c r="E54" s="29"/>
      <c r="F54" s="29"/>
    </row>
    <row r="55" spans="1:12" ht="15.75" customHeight="1" x14ac:dyDescent="0.25">
      <c r="A55" s="29"/>
      <c r="B55" s="30">
        <v>0.2</v>
      </c>
      <c r="C55" s="40" t="s">
        <v>71</v>
      </c>
      <c r="D55" s="29"/>
      <c r="E55" s="29"/>
      <c r="F55" s="29"/>
    </row>
    <row r="56" spans="1:12" ht="15.75" customHeight="1" x14ac:dyDescent="0.25">
      <c r="A56" s="29"/>
      <c r="B56" s="32">
        <f>B55*A44</f>
        <v>20000</v>
      </c>
      <c r="C56" s="40"/>
      <c r="D56" s="29"/>
      <c r="E56" s="29"/>
      <c r="F56" s="29"/>
    </row>
    <row r="57" spans="1:12" ht="15.75" customHeight="1" x14ac:dyDescent="0.25">
      <c r="A57" s="29"/>
      <c r="B57" s="29"/>
      <c r="C57" s="39" t="e">
        <f ca="1">1-C53</f>
        <v>#NAME?</v>
      </c>
      <c r="D57" s="31"/>
      <c r="E57" s="29"/>
      <c r="F57" s="29"/>
    </row>
    <row r="58" spans="1:12" ht="15.75" customHeight="1" x14ac:dyDescent="0.25">
      <c r="A58" s="29"/>
      <c r="B58" s="29"/>
      <c r="C58" s="39" t="e">
        <f ca="1">B56-C54</f>
        <v>#NAME?</v>
      </c>
      <c r="D58" s="33"/>
      <c r="E58" s="29"/>
      <c r="F58" s="29"/>
      <c r="L58" s="18"/>
    </row>
    <row r="59" spans="1:12" ht="15.75" customHeight="1" x14ac:dyDescent="0.25">
      <c r="A59" s="29"/>
      <c r="B59" s="29"/>
      <c r="C59" s="39"/>
      <c r="D59" s="33"/>
      <c r="E59" s="29"/>
      <c r="F59" s="29"/>
    </row>
    <row r="60" spans="1:12" ht="15.75" customHeight="1" x14ac:dyDescent="0.25">
      <c r="A60" s="29"/>
      <c r="B60" s="29"/>
      <c r="C60" s="98" t="e">
        <f ca="1">(0.0055*(2.71828)^(10.701*L21))/10000</f>
        <v>#NAME?</v>
      </c>
      <c r="D60" s="31"/>
      <c r="E60" s="29"/>
      <c r="F60" s="29"/>
    </row>
    <row r="61" spans="1:12" ht="15.75" customHeight="1" x14ac:dyDescent="0.25">
      <c r="A61" s="29"/>
      <c r="B61" s="29"/>
      <c r="C61" s="39" t="e">
        <f ca="1">B63*C60</f>
        <v>#NAME?</v>
      </c>
      <c r="D61" s="33"/>
      <c r="E61" s="29"/>
      <c r="F61" s="29"/>
    </row>
    <row r="62" spans="1:12" ht="15.75" customHeight="1" x14ac:dyDescent="0.25">
      <c r="A62" s="29"/>
      <c r="B62" s="30">
        <v>0.2</v>
      </c>
      <c r="C62" s="40" t="s">
        <v>71</v>
      </c>
      <c r="D62" s="29"/>
      <c r="E62" s="29"/>
      <c r="F62" s="29"/>
    </row>
    <row r="63" spans="1:12" ht="15.75" customHeight="1" x14ac:dyDescent="0.25">
      <c r="A63" s="29"/>
      <c r="B63" s="32">
        <f>B62*A44</f>
        <v>20000</v>
      </c>
      <c r="C63" s="40"/>
      <c r="D63" s="29"/>
      <c r="E63" s="29"/>
      <c r="F63" s="29"/>
    </row>
    <row r="64" spans="1:12" ht="15.75" customHeight="1" x14ac:dyDescent="0.25">
      <c r="A64" s="29"/>
      <c r="B64" s="29"/>
      <c r="C64" s="39" t="e">
        <f ca="1">1-C60</f>
        <v>#NAME?</v>
      </c>
      <c r="D64" s="31"/>
      <c r="E64" s="29"/>
      <c r="F64" s="29"/>
    </row>
    <row r="65" spans="1:6" ht="15.75" customHeight="1" x14ac:dyDescent="0.25">
      <c r="A65" s="29"/>
      <c r="B65" s="29"/>
      <c r="C65" s="39" t="e">
        <f ca="1">B63-C61</f>
        <v>#NAME?</v>
      </c>
      <c r="D65" s="33"/>
      <c r="E65" s="29"/>
      <c r="F65" s="29"/>
    </row>
    <row r="66" spans="1:6" ht="15.75" customHeight="1" x14ac:dyDescent="0.25">
      <c r="A66" s="29"/>
      <c r="B66" s="29"/>
      <c r="C66" s="39"/>
      <c r="D66" s="33"/>
      <c r="E66" s="29"/>
      <c r="F66" s="29"/>
    </row>
    <row r="67" spans="1:6" ht="15.75" customHeight="1" x14ac:dyDescent="0.25">
      <c r="A67" s="29"/>
      <c r="B67" s="29"/>
      <c r="C67" s="98" t="e">
        <f ca="1">(0.0036*(2.71828)^(10.701*L21))/10000</f>
        <v>#NAME?</v>
      </c>
      <c r="D67" s="31"/>
      <c r="E67" s="29"/>
      <c r="F67" s="29"/>
    </row>
    <row r="68" spans="1:6" ht="15.75" customHeight="1" x14ac:dyDescent="0.25">
      <c r="A68" s="29"/>
      <c r="B68" s="29"/>
      <c r="C68" s="39" t="e">
        <f ca="1">B70*C67</f>
        <v>#NAME?</v>
      </c>
      <c r="D68" s="33"/>
      <c r="E68" s="29"/>
      <c r="F68" s="29"/>
    </row>
    <row r="69" spans="1:6" ht="15.75" customHeight="1" x14ac:dyDescent="0.25">
      <c r="A69" s="29"/>
      <c r="B69" s="30">
        <v>0.2</v>
      </c>
      <c r="C69" s="40" t="s">
        <v>71</v>
      </c>
      <c r="D69" s="29"/>
      <c r="E69" s="29"/>
      <c r="F69" s="29"/>
    </row>
    <row r="70" spans="1:6" ht="15.75" customHeight="1" x14ac:dyDescent="0.25">
      <c r="A70" s="29"/>
      <c r="B70" s="32">
        <f>B69*A44</f>
        <v>20000</v>
      </c>
      <c r="C70" s="40"/>
      <c r="D70" s="29"/>
      <c r="E70" s="29"/>
      <c r="F70" s="29"/>
    </row>
    <row r="71" spans="1:6" ht="15.75" customHeight="1" x14ac:dyDescent="0.25">
      <c r="A71" s="29"/>
      <c r="B71" s="29"/>
      <c r="C71" s="39" t="e">
        <f ca="1">1-C67</f>
        <v>#NAME?</v>
      </c>
      <c r="D71" s="31"/>
      <c r="E71" s="29"/>
      <c r="F71" s="29"/>
    </row>
    <row r="72" spans="1:6" ht="19" x14ac:dyDescent="0.25">
      <c r="A72" s="29"/>
      <c r="B72" s="29"/>
      <c r="C72" s="39" t="e">
        <f ca="1">B70-C68</f>
        <v>#NAME?</v>
      </c>
      <c r="D72" s="33"/>
      <c r="E72" s="29"/>
      <c r="F72" s="29"/>
    </row>
    <row r="73" spans="1:6" ht="19" x14ac:dyDescent="0.25">
      <c r="A73" s="29"/>
      <c r="B73" s="29"/>
      <c r="C73" s="42"/>
      <c r="D73" s="29"/>
      <c r="E73" s="29"/>
      <c r="F73" s="29"/>
    </row>
    <row r="74" spans="1:6" ht="19" x14ac:dyDescent="0.25">
      <c r="A74" s="29"/>
      <c r="B74" s="29"/>
      <c r="C74" s="29"/>
      <c r="D74" s="29"/>
      <c r="E74" s="29"/>
      <c r="F74" s="29"/>
    </row>
    <row r="75" spans="1:6" ht="19" x14ac:dyDescent="0.25">
      <c r="A75" s="29"/>
      <c r="B75" s="29"/>
      <c r="C75" s="29"/>
      <c r="D75" s="29"/>
      <c r="E75" s="29"/>
      <c r="F75" s="29"/>
    </row>
    <row r="76" spans="1:6" ht="19" x14ac:dyDescent="0.25">
      <c r="A76" s="29"/>
      <c r="B76" s="29"/>
      <c r="C76" s="29"/>
      <c r="D76" s="29"/>
      <c r="E76" s="29"/>
    </row>
    <row r="77" spans="1:6" ht="15.75" customHeight="1" x14ac:dyDescent="0.25">
      <c r="A77" s="29"/>
      <c r="B77" s="29"/>
      <c r="C77" s="29"/>
      <c r="D77" s="29"/>
      <c r="E77" s="29"/>
    </row>
    <row r="78" spans="1:6" ht="15.75" customHeight="1" x14ac:dyDescent="0.25">
      <c r="A78" s="29"/>
      <c r="B78" s="29"/>
      <c r="C78" s="29"/>
      <c r="D78" s="29"/>
      <c r="E78" s="29"/>
    </row>
    <row r="79" spans="1:6" ht="15.75" customHeight="1" x14ac:dyDescent="0.25">
      <c r="A79" s="29"/>
      <c r="B79" s="29"/>
      <c r="C79" s="29"/>
      <c r="D79" s="29"/>
      <c r="E79" s="29"/>
    </row>
    <row r="80" spans="1:6" ht="15.75" customHeight="1" x14ac:dyDescent="0.25">
      <c r="A80" s="29"/>
      <c r="B80" s="29"/>
      <c r="C80" s="29"/>
      <c r="D80" s="29"/>
      <c r="E80" s="29"/>
    </row>
    <row r="81" spans="1:5" ht="15.75" customHeight="1" x14ac:dyDescent="0.25">
      <c r="A81" s="29"/>
      <c r="B81" s="29"/>
      <c r="C81" s="29"/>
      <c r="D81" s="29"/>
      <c r="E81" s="29"/>
    </row>
    <row r="82" spans="1:5" ht="15.75" customHeight="1" x14ac:dyDescent="0.25">
      <c r="A82" s="29"/>
      <c r="B82" s="29"/>
      <c r="C82" s="29"/>
      <c r="D82" s="29"/>
      <c r="E82" s="29"/>
    </row>
    <row r="83" spans="1:5" ht="15.75" customHeight="1" x14ac:dyDescent="0.25">
      <c r="A83" s="29"/>
      <c r="B83" s="29"/>
      <c r="C83" s="29"/>
      <c r="D83" s="29"/>
      <c r="E83" s="29"/>
    </row>
    <row r="84" spans="1:5" ht="15.75" customHeight="1" x14ac:dyDescent="0.25">
      <c r="A84" s="29"/>
      <c r="B84" s="29"/>
      <c r="C84" s="29"/>
      <c r="D84" s="29"/>
      <c r="E84" s="29"/>
    </row>
    <row r="85" spans="1:5" ht="15.75" customHeight="1" x14ac:dyDescent="0.25">
      <c r="A85" s="29"/>
      <c r="B85" s="29"/>
      <c r="C85" s="29"/>
      <c r="D85" s="29"/>
      <c r="E85" s="29"/>
    </row>
    <row r="86" spans="1:5" ht="15.75" customHeight="1" x14ac:dyDescent="0.25">
      <c r="A86" s="29"/>
      <c r="B86" s="29"/>
      <c r="C86" s="29"/>
      <c r="D86" s="29"/>
      <c r="E86" s="29"/>
    </row>
    <row r="87" spans="1:5" ht="15.75" customHeight="1" x14ac:dyDescent="0.25">
      <c r="E87" s="29"/>
    </row>
    <row r="88" spans="1:5" ht="15.75" customHeight="1" x14ac:dyDescent="0.25">
      <c r="E88" s="29"/>
    </row>
    <row r="89" spans="1:5" ht="15.75" customHeight="1" x14ac:dyDescent="0.25">
      <c r="E89" s="29"/>
    </row>
    <row r="90" spans="1:5" ht="15.75" customHeight="1" x14ac:dyDescent="0.25">
      <c r="E90" s="29"/>
    </row>
    <row r="91" spans="1:5" ht="15.75" customHeight="1" x14ac:dyDescent="0.25">
      <c r="E91" s="29"/>
    </row>
    <row r="92" spans="1:5" ht="15.75" customHeight="1" x14ac:dyDescent="0.25">
      <c r="E92" s="29"/>
    </row>
    <row r="93" spans="1:5" ht="15.75" customHeight="1" x14ac:dyDescent="0.25">
      <c r="E93" s="29"/>
    </row>
    <row r="94" spans="1:5" ht="15.75" customHeight="1" x14ac:dyDescent="0.25">
      <c r="E94" s="29"/>
    </row>
    <row r="95" spans="1:5" ht="15.75" customHeight="1" x14ac:dyDescent="0.25">
      <c r="E95" s="29"/>
    </row>
    <row r="96" spans="1:5" ht="15.75" customHeight="1" x14ac:dyDescent="0.25">
      <c r="E96" s="29"/>
    </row>
    <row r="97" spans="5:5" ht="15.75" customHeight="1" x14ac:dyDescent="0.25">
      <c r="E97" s="29"/>
    </row>
    <row r="98" spans="5:5" ht="15.75" customHeight="1" x14ac:dyDescent="0.25">
      <c r="E98" s="29"/>
    </row>
    <row r="99" spans="5:5" ht="15.75" customHeight="1" x14ac:dyDescent="0.25">
      <c r="E99" s="29"/>
    </row>
    <row r="100" spans="5:5" ht="15.75" customHeight="1" x14ac:dyDescent="0.25">
      <c r="E100" s="29"/>
    </row>
    <row r="101" spans="5:5" ht="15.75" customHeight="1" x14ac:dyDescent="0.25">
      <c r="E101" s="29"/>
    </row>
    <row r="102" spans="5:5" ht="15.75" customHeight="1" x14ac:dyDescent="0.25">
      <c r="E102" s="29"/>
    </row>
    <row r="103" spans="5:5" ht="15.75" customHeight="1" x14ac:dyDescent="0.25">
      <c r="E103" s="29"/>
    </row>
    <row r="104" spans="5:5" ht="15.75" customHeight="1" x14ac:dyDescent="0.25">
      <c r="E104" s="29"/>
    </row>
    <row r="105" spans="5:5" ht="15.75" customHeight="1" x14ac:dyDescent="0.25">
      <c r="E105" s="29"/>
    </row>
    <row r="106" spans="5:5" ht="15.75" customHeight="1" x14ac:dyDescent="0.25">
      <c r="E106" s="29"/>
    </row>
    <row r="107" spans="5:5" ht="15.75" customHeight="1" x14ac:dyDescent="0.25">
      <c r="E107" s="29"/>
    </row>
    <row r="108" spans="5:5" ht="15.75" customHeight="1" x14ac:dyDescent="0.25">
      <c r="E108" s="29"/>
    </row>
    <row r="109" spans="5:5" ht="15.75" customHeight="1" x14ac:dyDescent="0.25">
      <c r="E109" s="29"/>
    </row>
    <row r="110" spans="5:5" ht="15.75" customHeight="1" x14ac:dyDescent="0.25">
      <c r="E110" s="29"/>
    </row>
    <row r="111" spans="5:5" ht="15.75" customHeight="1" x14ac:dyDescent="0.25">
      <c r="E111" s="29"/>
    </row>
    <row r="112" spans="5:5" ht="19" x14ac:dyDescent="0.25">
      <c r="E112" s="29"/>
    </row>
    <row r="113" spans="5:5" ht="19" x14ac:dyDescent="0.25">
      <c r="E113" s="29"/>
    </row>
    <row r="114" spans="5:5" ht="19" x14ac:dyDescent="0.25">
      <c r="E114" s="29"/>
    </row>
    <row r="115" spans="5:5" ht="19" x14ac:dyDescent="0.25">
      <c r="E115" s="29"/>
    </row>
    <row r="116" spans="5:5" ht="19" x14ac:dyDescent="0.25">
      <c r="E116" s="29"/>
    </row>
    <row r="117" spans="5:5" ht="19" x14ac:dyDescent="0.25">
      <c r="E117" s="29"/>
    </row>
    <row r="118" spans="5:5" ht="19" x14ac:dyDescent="0.25">
      <c r="E118" s="29"/>
    </row>
    <row r="119" spans="5:5" ht="19" x14ac:dyDescent="0.25">
      <c r="E119" s="29"/>
    </row>
    <row r="120" spans="5:5" ht="19" x14ac:dyDescent="0.25">
      <c r="E120" s="29"/>
    </row>
    <row r="121" spans="5:5" ht="19" x14ac:dyDescent="0.25">
      <c r="E121" s="29"/>
    </row>
    <row r="122" spans="5:5" ht="19" x14ac:dyDescent="0.25">
      <c r="E122" s="29"/>
    </row>
    <row r="123" spans="5:5" ht="19" x14ac:dyDescent="0.25">
      <c r="E123" s="29"/>
    </row>
    <row r="124" spans="5:5" ht="19" x14ac:dyDescent="0.25">
      <c r="E124" s="29"/>
    </row>
    <row r="125" spans="5:5" ht="19" x14ac:dyDescent="0.25">
      <c r="E125" s="29"/>
    </row>
  </sheetData>
  <mergeCells count="2">
    <mergeCell ref="F36:K36"/>
    <mergeCell ref="A1:O1"/>
  </mergeCells>
  <pageMargins left="0.7" right="0.7" top="0.75" bottom="0.75" header="0.3" footer="0.3"/>
  <pageSetup orientation="portrait" r:id="rId1"/>
  <ignoredErrors>
    <ignoredError sqref="I10" formula="1"/>
    <ignoredError sqref="H41:I41 F41:G41 J41:K4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20"/>
  <sheetViews>
    <sheetView zoomScale="60" zoomScaleNormal="60" workbookViewId="0">
      <selection sqref="A1:O1"/>
    </sheetView>
  </sheetViews>
  <sheetFormatPr baseColWidth="10" defaultColWidth="11" defaultRowHeight="16" x14ac:dyDescent="0.2"/>
  <cols>
    <col min="1" max="1" width="47.6640625" customWidth="1"/>
    <col min="2" max="2" width="28" customWidth="1"/>
    <col min="3" max="3" width="22.6640625" customWidth="1"/>
    <col min="4" max="4" width="20.5" customWidth="1"/>
    <col min="5" max="5" width="18.1640625" customWidth="1"/>
    <col min="6" max="6" width="18.6640625" customWidth="1"/>
    <col min="7" max="7" width="11.1640625" customWidth="1"/>
    <col min="8" max="8" width="19.6640625" customWidth="1"/>
    <col min="9" max="9" width="19.1640625" customWidth="1"/>
    <col min="10" max="10" width="15.83203125" customWidth="1"/>
    <col min="11" max="11" width="16.5" customWidth="1"/>
    <col min="12" max="12" width="19.83203125" customWidth="1"/>
    <col min="13" max="13" width="15.5" customWidth="1"/>
    <col min="14" max="14" width="17.1640625" customWidth="1"/>
    <col min="15" max="15" width="19.5" customWidth="1"/>
  </cols>
  <sheetData>
    <row r="1" spans="1:15" ht="19" x14ac:dyDescent="0.25">
      <c r="A1" s="286" t="s">
        <v>536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5" ht="107.25" customHeight="1" thickBot="1" x14ac:dyDescent="0.25">
      <c r="A2" s="44" t="s">
        <v>0</v>
      </c>
      <c r="B2" s="69" t="s">
        <v>144</v>
      </c>
      <c r="C2" s="69" t="s">
        <v>166</v>
      </c>
      <c r="D2" s="69" t="s">
        <v>126</v>
      </c>
      <c r="E2" s="70" t="s">
        <v>116</v>
      </c>
      <c r="F2" s="70" t="s">
        <v>117</v>
      </c>
      <c r="G2" s="70" t="s">
        <v>118</v>
      </c>
      <c r="H2" s="70" t="s">
        <v>119</v>
      </c>
      <c r="I2" s="70" t="s">
        <v>170</v>
      </c>
      <c r="J2" s="70" t="s">
        <v>122</v>
      </c>
      <c r="K2" s="71" t="s">
        <v>167</v>
      </c>
      <c r="L2" s="72" t="s">
        <v>168</v>
      </c>
      <c r="M2" s="73" t="s">
        <v>120</v>
      </c>
      <c r="N2" s="73" t="s">
        <v>121</v>
      </c>
      <c r="O2" s="74" t="s">
        <v>24</v>
      </c>
    </row>
    <row r="3" spans="1:15" ht="22" thickTop="1" x14ac:dyDescent="0.25">
      <c r="A3" s="58" t="s">
        <v>1</v>
      </c>
      <c r="B3" s="59"/>
      <c r="C3" s="60"/>
      <c r="D3" s="61"/>
      <c r="E3" s="63"/>
      <c r="F3" s="63"/>
      <c r="G3" s="63"/>
      <c r="H3" s="63"/>
      <c r="I3" s="61"/>
      <c r="J3" s="60"/>
      <c r="K3" s="61"/>
      <c r="L3" s="63"/>
      <c r="M3" s="61"/>
      <c r="N3" s="61"/>
      <c r="O3" s="63"/>
    </row>
    <row r="4" spans="1:15" s="126" customFormat="1" ht="21" x14ac:dyDescent="0.25">
      <c r="A4" s="115" t="s">
        <v>12</v>
      </c>
      <c r="B4" s="116" t="e">
        <f ca="1">_xll.RiskTriang(10,16.8,30)</f>
        <v>#NAME?</v>
      </c>
      <c r="C4" s="117" t="e">
        <f ca="1">_xll.RiskTriang(0.11,0.63,1.1)</f>
        <v>#NAME?</v>
      </c>
      <c r="D4" s="118" t="e">
        <f ca="1">(B4/100)*(C4/100)</f>
        <v>#NAME?</v>
      </c>
      <c r="E4" s="120">
        <v>29.7</v>
      </c>
      <c r="F4" s="120">
        <v>45.1</v>
      </c>
      <c r="G4" s="120">
        <f>E4*F4/100</f>
        <v>13.3947</v>
      </c>
      <c r="H4" s="120">
        <f>100-G4</f>
        <v>86.6053</v>
      </c>
      <c r="I4" s="121">
        <f>(H4/100)*(1.2/100)</f>
        <v>1.0392636E-2</v>
      </c>
      <c r="J4" s="122">
        <v>21.5</v>
      </c>
      <c r="K4" s="118">
        <f>(I4)*(J4/100)</f>
        <v>2.23441674E-3</v>
      </c>
      <c r="L4" s="123" t="e">
        <f ca="1">D4</f>
        <v>#NAME?</v>
      </c>
      <c r="M4" s="121">
        <v>23</v>
      </c>
      <c r="N4" s="121">
        <v>4</v>
      </c>
      <c r="O4" s="141" t="e">
        <f ca="1">(B4/100)*(M4/100)*(N4/100)</f>
        <v>#NAME?</v>
      </c>
    </row>
    <row r="5" spans="1:15" ht="21" x14ac:dyDescent="0.25">
      <c r="A5" s="64" t="s">
        <v>13</v>
      </c>
      <c r="B5" s="90"/>
      <c r="C5" s="45" t="e">
        <f ca="1">_xll.RiskUniform(0.4,0.46)</f>
        <v>#NAME?</v>
      </c>
      <c r="D5" s="76"/>
      <c r="E5" s="47">
        <v>29.7</v>
      </c>
      <c r="F5" s="47">
        <v>33.4</v>
      </c>
      <c r="G5" s="47">
        <f>E5*F5/100</f>
        <v>9.9197999999999986</v>
      </c>
      <c r="H5" s="47">
        <f>100-G5</f>
        <v>90.080200000000005</v>
      </c>
      <c r="I5" s="46">
        <f>(H5/100)*(1.2/100)</f>
        <v>1.0809624000000002E-2</v>
      </c>
      <c r="J5" s="48">
        <v>21.5</v>
      </c>
      <c r="K5" s="76">
        <f>(I5)*(J5/100)</f>
        <v>2.3240691600000004E-3</v>
      </c>
      <c r="L5" s="78">
        <f t="shared" ref="L5:L6" si="0">D5-(((H5/100)*(K5)*(B5/100)))</f>
        <v>0</v>
      </c>
      <c r="M5" s="46">
        <v>40</v>
      </c>
      <c r="N5" s="46">
        <v>4</v>
      </c>
      <c r="O5" s="82">
        <f>(B5/100)*(M5/100)*(N5/100)</f>
        <v>0</v>
      </c>
    </row>
    <row r="6" spans="1:15" ht="21" x14ac:dyDescent="0.25">
      <c r="A6" s="64" t="s">
        <v>14</v>
      </c>
      <c r="B6" s="90"/>
      <c r="C6" s="45" t="e">
        <f ca="1">_xll.RiskUniform(0.22,0.72)</f>
        <v>#NAME?</v>
      </c>
      <c r="D6" s="76"/>
      <c r="E6" s="47">
        <v>46.8</v>
      </c>
      <c r="F6" s="47">
        <v>38.1</v>
      </c>
      <c r="G6" s="47">
        <f>E6*F6/100</f>
        <v>17.8308</v>
      </c>
      <c r="H6" s="47">
        <f>100-G6</f>
        <v>82.169200000000004</v>
      </c>
      <c r="I6" s="46">
        <f>(H6/100)*(2.09/100)</f>
        <v>1.7173362800000001E-2</v>
      </c>
      <c r="J6" s="48">
        <v>21.5</v>
      </c>
      <c r="K6" s="76">
        <f>(I6)*(J6/100)</f>
        <v>3.6922730020000002E-3</v>
      </c>
      <c r="L6" s="78">
        <f t="shared" si="0"/>
        <v>0</v>
      </c>
      <c r="M6" s="46">
        <v>37</v>
      </c>
      <c r="N6" s="46">
        <v>36</v>
      </c>
      <c r="O6" s="82">
        <f>(B6/100)*(M6/100)*(N6/100)</f>
        <v>0</v>
      </c>
    </row>
    <row r="7" spans="1:15" ht="21" x14ac:dyDescent="0.25">
      <c r="A7" s="64" t="s">
        <v>20</v>
      </c>
      <c r="B7" s="90"/>
      <c r="C7" s="48" t="e">
        <f ca="1">_xll.RiskUniform(0.26, 0.42)</f>
        <v>#NAME?</v>
      </c>
      <c r="D7" s="76" t="e">
        <f ca="1">(B7/100)*((C7/100)+K7)</f>
        <v>#NAME?</v>
      </c>
      <c r="E7" s="47">
        <f>AVERAGE(44, 46.1, 48.9)</f>
        <v>46.333333333333336</v>
      </c>
      <c r="F7" s="47">
        <v>57</v>
      </c>
      <c r="G7" s="47">
        <f>E7*F7/100</f>
        <v>26.41</v>
      </c>
      <c r="H7" s="47">
        <f>100-G7</f>
        <v>73.59</v>
      </c>
      <c r="I7" s="46">
        <f>(H7/100)*(0.63/100)</f>
        <v>4.6361700000000002E-3</v>
      </c>
      <c r="J7" s="48">
        <v>21.5</v>
      </c>
      <c r="K7" s="76">
        <f>(I7)*(J7/100)</f>
        <v>9.9677654999999997E-4</v>
      </c>
      <c r="L7" s="78" t="e">
        <f ca="1">D7-(((H7/100)*(K7)*(B7/100)))</f>
        <v>#NAME?</v>
      </c>
      <c r="M7" s="46">
        <v>28</v>
      </c>
      <c r="N7" s="46">
        <v>36</v>
      </c>
      <c r="O7" s="82">
        <f>(B7/100)*(M7/100)*(N7/100)</f>
        <v>0</v>
      </c>
    </row>
    <row r="8" spans="1:15" ht="21" x14ac:dyDescent="0.25">
      <c r="A8" s="65" t="s">
        <v>2</v>
      </c>
      <c r="B8" s="91"/>
      <c r="C8" s="52"/>
      <c r="D8" s="77"/>
      <c r="E8" s="51"/>
      <c r="F8" s="51"/>
      <c r="G8" s="51"/>
      <c r="H8" s="51"/>
      <c r="I8" s="50"/>
      <c r="J8" s="50"/>
      <c r="K8" s="77"/>
      <c r="L8" s="79"/>
      <c r="M8" s="50"/>
      <c r="N8" s="50"/>
      <c r="O8" s="83"/>
    </row>
    <row r="9" spans="1:15" s="126" customFormat="1" ht="21" x14ac:dyDescent="0.25">
      <c r="A9" s="115" t="s">
        <v>15</v>
      </c>
      <c r="B9" s="116" t="e">
        <f ca="1">100-SUM(B5:B7,B10:B11,B13:B16,B18:B19)-(B4)</f>
        <v>#NAME?</v>
      </c>
      <c r="C9" s="117">
        <v>0.14000000000000001</v>
      </c>
      <c r="D9" s="118" t="e">
        <f ca="1">(B9/100)*((C9/100)+K9)</f>
        <v>#NAME?</v>
      </c>
      <c r="E9" s="120">
        <v>9.8000000000000007</v>
      </c>
      <c r="F9" s="120">
        <v>43</v>
      </c>
      <c r="G9" s="120">
        <f>E9*F9/100</f>
        <v>4.2140000000000004</v>
      </c>
      <c r="H9" s="120">
        <f>100-G9</f>
        <v>95.786000000000001</v>
      </c>
      <c r="I9" s="121">
        <f>(H9/100)*(1.12/100)</f>
        <v>1.0728032000000002E-2</v>
      </c>
      <c r="J9" s="122">
        <v>21.5</v>
      </c>
      <c r="K9" s="118">
        <f>(I9)*(J9/100)</f>
        <v>2.3065268800000005E-3</v>
      </c>
      <c r="L9" s="123" t="e">
        <f ca="1">D9-(((H9/100)*(K9)*(B9/100)))</f>
        <v>#NAME?</v>
      </c>
      <c r="M9" s="121">
        <v>9</v>
      </c>
      <c r="N9" s="121">
        <v>48</v>
      </c>
      <c r="O9" s="141" t="e">
        <f ca="1">(B9/100)*(M9/100)*(N9/100)</f>
        <v>#NAME?</v>
      </c>
    </row>
    <row r="10" spans="1:15" ht="21" x14ac:dyDescent="0.25">
      <c r="A10" s="64" t="s">
        <v>16</v>
      </c>
      <c r="B10" s="90"/>
      <c r="C10" s="45" t="e">
        <f ca="1">_xll.RiskUniform(0.12, 0.14)</f>
        <v>#NAME?</v>
      </c>
      <c r="D10" s="76" t="e">
        <f t="shared" ref="D10:D19" ca="1" si="1">(B10/100)*((C10/100)+K10)</f>
        <v>#NAME?</v>
      </c>
      <c r="E10" s="47">
        <f>AVERAGE(9.8, 9.8)</f>
        <v>9.8000000000000007</v>
      </c>
      <c r="F10" s="47">
        <f>AVERAGE(67.8, 67.8)</f>
        <v>67.8</v>
      </c>
      <c r="G10" s="47">
        <f>E10*F10/100</f>
        <v>6.644400000000001</v>
      </c>
      <c r="H10" s="47">
        <f>100-G10</f>
        <v>93.355599999999995</v>
      </c>
      <c r="I10" s="46">
        <f>(H10/100)*(0.99/100)</f>
        <v>9.2422043999999988E-3</v>
      </c>
      <c r="J10" s="48">
        <v>21.5</v>
      </c>
      <c r="K10" s="76">
        <f>(I10)*(J10/100)</f>
        <v>1.9870739459999999E-3</v>
      </c>
      <c r="L10" s="78" t="e">
        <f ca="1">D10-(((H10/100)*(K10)*(B10/100)))</f>
        <v>#NAME?</v>
      </c>
      <c r="M10" s="46">
        <f>(10.5+9)/2</f>
        <v>9.75</v>
      </c>
      <c r="N10" s="46">
        <v>0</v>
      </c>
      <c r="O10" s="82">
        <f>(B10/100)*(M10/100)*(N10/100)</f>
        <v>0</v>
      </c>
    </row>
    <row r="11" spans="1:15" ht="21" x14ac:dyDescent="0.25">
      <c r="A11" s="64" t="s">
        <v>17</v>
      </c>
      <c r="B11" s="90"/>
      <c r="C11" s="48" t="e">
        <f ca="1">_xll.RiskUniform(0.11,0.14)</f>
        <v>#NAME?</v>
      </c>
      <c r="D11" s="76" t="e">
        <f t="shared" ca="1" si="1"/>
        <v>#NAME?</v>
      </c>
      <c r="E11" s="47">
        <v>9.8000000000000007</v>
      </c>
      <c r="F11" s="47">
        <v>44.7</v>
      </c>
      <c r="G11" s="47">
        <f>E11*F11/100</f>
        <v>4.3806000000000003</v>
      </c>
      <c r="H11" s="47">
        <f>100-G11</f>
        <v>95.619399999999999</v>
      </c>
      <c r="I11" s="46">
        <f>(H11/100)*(1.12/100)</f>
        <v>1.0709372800000002E-2</v>
      </c>
      <c r="J11" s="48">
        <v>21.5</v>
      </c>
      <c r="K11" s="76">
        <f>(I11)*(J11/100)</f>
        <v>2.3025151520000005E-3</v>
      </c>
      <c r="L11" s="78" t="e">
        <f t="shared" ref="L11" ca="1" si="2">D11-(((H11/100)*(K11)*(B11/100)))</f>
        <v>#NAME?</v>
      </c>
      <c r="M11" s="46">
        <v>10.8</v>
      </c>
      <c r="N11" s="46">
        <v>30</v>
      </c>
      <c r="O11" s="82">
        <f>(B11/100)*(M11/100)*(N11/100)</f>
        <v>0</v>
      </c>
    </row>
    <row r="12" spans="1:15" ht="21" x14ac:dyDescent="0.25">
      <c r="A12" s="65" t="s">
        <v>3</v>
      </c>
      <c r="B12" s="91"/>
      <c r="C12" s="52"/>
      <c r="D12" s="77"/>
      <c r="E12" s="51"/>
      <c r="F12" s="51"/>
      <c r="G12" s="51"/>
      <c r="H12" s="50"/>
      <c r="I12" s="50"/>
      <c r="J12" s="50"/>
      <c r="K12" s="77"/>
      <c r="L12" s="79"/>
      <c r="M12" s="50"/>
      <c r="N12" s="50"/>
      <c r="O12" s="83"/>
    </row>
    <row r="13" spans="1:15" s="126" customFormat="1" ht="21" x14ac:dyDescent="0.25">
      <c r="A13" s="127" t="s">
        <v>128</v>
      </c>
      <c r="B13" s="116" t="e">
        <f ca="1">10-B16</f>
        <v>#NAME?</v>
      </c>
      <c r="C13" s="117">
        <v>0.12</v>
      </c>
      <c r="D13" s="118" t="e">
        <f ca="1">(B13/100)*((C13/100)+K13)</f>
        <v>#NAME?</v>
      </c>
      <c r="E13" s="120">
        <v>9.39</v>
      </c>
      <c r="F13" s="120">
        <v>73</v>
      </c>
      <c r="G13" s="120">
        <f t="shared" ref="G13" si="3">(E13*F13)/100</f>
        <v>6.8547000000000002</v>
      </c>
      <c r="H13" s="120">
        <f>100-G13</f>
        <v>93.145300000000006</v>
      </c>
      <c r="I13" s="121">
        <f>(H13/100)*(0.75/100)</f>
        <v>6.9858975000000002E-3</v>
      </c>
      <c r="J13" s="122">
        <v>21.5</v>
      </c>
      <c r="K13" s="118">
        <f>(I13)*(J13/100)</f>
        <v>1.5019679624999999E-3</v>
      </c>
      <c r="L13" s="148" t="e">
        <f t="shared" ref="L13" ca="1" si="4">D13-(((H13/100)*(K13)*(B13/100)))</f>
        <v>#NAME?</v>
      </c>
      <c r="M13" s="121">
        <v>60.8</v>
      </c>
      <c r="N13" s="121">
        <v>81</v>
      </c>
      <c r="O13" s="141" t="e">
        <f ca="1">(B13/100)*(M13/100)*(N13/100)</f>
        <v>#NAME?</v>
      </c>
    </row>
    <row r="14" spans="1:15" ht="21" x14ac:dyDescent="0.25">
      <c r="A14" s="66" t="s">
        <v>4</v>
      </c>
      <c r="B14" s="90"/>
      <c r="C14" s="45" t="e">
        <f ca="1">_xll.RiskUniform(0.11,0.26)</f>
        <v>#NAME?</v>
      </c>
      <c r="D14" s="76" t="e">
        <f t="shared" ca="1" si="1"/>
        <v>#NAME?</v>
      </c>
      <c r="E14" s="47">
        <v>12.2</v>
      </c>
      <c r="F14" s="47">
        <v>58</v>
      </c>
      <c r="G14" s="47">
        <f>E14*F14/100</f>
        <v>7.0759999999999987</v>
      </c>
      <c r="H14" s="47">
        <f>100-G14</f>
        <v>92.924000000000007</v>
      </c>
      <c r="I14" s="46">
        <f>(H14/100)*(0.47/100)</f>
        <v>4.3674279999999996E-3</v>
      </c>
      <c r="J14" s="48">
        <v>21.5</v>
      </c>
      <c r="K14" s="76">
        <f>(I14)*(J14/100)</f>
        <v>9.3899701999999993E-4</v>
      </c>
      <c r="L14" s="78" t="e">
        <f ca="1">D14-(((H14/100)*(K14)*(B14/100)))</f>
        <v>#NAME?</v>
      </c>
      <c r="M14" s="46">
        <v>66.3</v>
      </c>
      <c r="N14" s="46">
        <v>2</v>
      </c>
      <c r="O14" s="82">
        <f>(B14/100)*(M14/100)*(N14/100)</f>
        <v>0</v>
      </c>
    </row>
    <row r="15" spans="1:15" ht="21" x14ac:dyDescent="0.25">
      <c r="A15" s="66" t="s">
        <v>5</v>
      </c>
      <c r="B15" s="90"/>
      <c r="C15" s="45" t="e">
        <f ca="1">_xll.RiskUniform(0.08,0.12)</f>
        <v>#NAME?</v>
      </c>
      <c r="D15" s="76" t="e">
        <f t="shared" ca="1" si="1"/>
        <v>#NAME?</v>
      </c>
      <c r="E15" s="47">
        <v>8</v>
      </c>
      <c r="F15" s="47">
        <v>75</v>
      </c>
      <c r="G15" s="47">
        <f>E15*F15/100</f>
        <v>6</v>
      </c>
      <c r="H15" s="47">
        <f>100-G15</f>
        <v>94</v>
      </c>
      <c r="I15" s="46">
        <f>(H15/100)*(0.8/100)</f>
        <v>7.5199999999999998E-3</v>
      </c>
      <c r="J15" s="48">
        <v>21.5</v>
      </c>
      <c r="K15" s="76">
        <f>(I15)*(J15/100)</f>
        <v>1.6167999999999998E-3</v>
      </c>
      <c r="L15" s="78" t="e">
        <f ca="1">D15-(((H15/100)*(K15)*(B15/100)))</f>
        <v>#NAME?</v>
      </c>
      <c r="M15" s="46">
        <v>41</v>
      </c>
      <c r="N15" s="46">
        <v>71</v>
      </c>
      <c r="O15" s="84">
        <f>(B15/100)*(M15/100)*(N15/100)</f>
        <v>0</v>
      </c>
    </row>
    <row r="16" spans="1:15" s="126" customFormat="1" ht="21" x14ac:dyDescent="0.25">
      <c r="A16" s="129" t="s">
        <v>130</v>
      </c>
      <c r="B16" s="116" t="e">
        <f ca="1">_xll.RiskUniform(5,10)</f>
        <v>#NAME?</v>
      </c>
      <c r="C16" s="122">
        <v>0.08</v>
      </c>
      <c r="D16" s="118" t="e">
        <f ca="1">(B16/100)*((C16/100)+K16)</f>
        <v>#NAME?</v>
      </c>
      <c r="E16" s="120">
        <v>4.0999999999999996</v>
      </c>
      <c r="F16" s="120">
        <v>50</v>
      </c>
      <c r="G16" s="120">
        <f t="shared" ref="G16" si="5">(E16*F16)/100</f>
        <v>2.0499999999999998</v>
      </c>
      <c r="H16" s="120">
        <f>100-G16</f>
        <v>97.95</v>
      </c>
      <c r="I16" s="121">
        <f>(H16/100)*(1.91/100)</f>
        <v>1.8708449999999998E-2</v>
      </c>
      <c r="J16" s="122">
        <v>21.5</v>
      </c>
      <c r="K16" s="118">
        <f>(I16)*(J16/100)</f>
        <v>4.0223167499999993E-3</v>
      </c>
      <c r="L16" s="123" t="e">
        <f t="shared" ref="L16" ca="1" si="6">D16-(((H16/100)*(K16)*(B16/100)))</f>
        <v>#NAME?</v>
      </c>
      <c r="M16" s="122">
        <v>90</v>
      </c>
      <c r="N16" s="122">
        <v>100</v>
      </c>
      <c r="O16" s="142" t="e">
        <f ca="1">(B16/100)*(M16/100)*(N16/100)</f>
        <v>#NAME?</v>
      </c>
    </row>
    <row r="17" spans="1:15" ht="21" x14ac:dyDescent="0.25">
      <c r="A17" s="67" t="s">
        <v>18</v>
      </c>
      <c r="B17" s="92"/>
      <c r="C17" s="52"/>
      <c r="D17" s="77"/>
      <c r="E17" s="51"/>
      <c r="F17" s="51"/>
      <c r="G17" s="51"/>
      <c r="H17" s="51"/>
      <c r="I17" s="50"/>
      <c r="J17" s="50"/>
      <c r="K17" s="77"/>
      <c r="L17" s="79"/>
      <c r="M17" s="50"/>
      <c r="N17" s="50"/>
      <c r="O17" s="85"/>
    </row>
    <row r="18" spans="1:15" s="126" customFormat="1" ht="21" x14ac:dyDescent="0.25">
      <c r="A18" s="131" t="s">
        <v>127</v>
      </c>
      <c r="B18" s="128" t="e">
        <f ca="1">5-B19</f>
        <v>#NAME?</v>
      </c>
      <c r="C18" s="143">
        <v>0</v>
      </c>
      <c r="D18" s="118" t="e">
        <f t="shared" ca="1" si="1"/>
        <v>#NAME?</v>
      </c>
      <c r="E18" s="144">
        <v>0</v>
      </c>
      <c r="F18" s="144">
        <v>0</v>
      </c>
      <c r="G18" s="144">
        <f>E18*F18/100</f>
        <v>0</v>
      </c>
      <c r="H18" s="145">
        <f>100-G18</f>
        <v>100</v>
      </c>
      <c r="I18" s="144">
        <f>(H18/100)*(0/100)</f>
        <v>0</v>
      </c>
      <c r="J18" s="122">
        <v>21.5</v>
      </c>
      <c r="K18" s="149">
        <f>(I18)*(J18/100)</f>
        <v>0</v>
      </c>
      <c r="L18" s="146" t="e">
        <f ca="1">D18-(((H18/100)*(K18)*(B18/100)))</f>
        <v>#NAME?</v>
      </c>
      <c r="M18" s="144">
        <v>0</v>
      </c>
      <c r="N18" s="144">
        <v>0</v>
      </c>
      <c r="O18" s="147" t="e">
        <f ca="1">(B18/100)*(M18/100)*(N18/100)</f>
        <v>#NAME?</v>
      </c>
    </row>
    <row r="19" spans="1:15" s="126" customFormat="1" ht="21" x14ac:dyDescent="0.25">
      <c r="A19" s="132" t="s">
        <v>131</v>
      </c>
      <c r="B19" s="133" t="e">
        <f ca="1">_xll.RiskUniform(2,4)</f>
        <v>#NAME?</v>
      </c>
      <c r="C19" s="136">
        <v>0</v>
      </c>
      <c r="D19" s="135" t="e">
        <f t="shared" ca="1" si="1"/>
        <v>#NAME?</v>
      </c>
      <c r="E19" s="137">
        <v>0</v>
      </c>
      <c r="F19" s="137">
        <v>0</v>
      </c>
      <c r="G19" s="137">
        <f>E19*F19/100</f>
        <v>0</v>
      </c>
      <c r="H19" s="138">
        <f>100-G19</f>
        <v>100</v>
      </c>
      <c r="I19" s="137">
        <f>(H19/100)*(0/100)</f>
        <v>0</v>
      </c>
      <c r="J19" s="137">
        <v>21.5</v>
      </c>
      <c r="K19" s="135">
        <f>(I19)*(J19/100)</f>
        <v>0</v>
      </c>
      <c r="L19" s="139" t="e">
        <f ca="1">D19-(((H19/100)*(K19)*(B19/100)))</f>
        <v>#NAME?</v>
      </c>
      <c r="M19" s="137">
        <v>0</v>
      </c>
      <c r="N19" s="137">
        <v>0</v>
      </c>
      <c r="O19" s="140" t="e">
        <f ca="1">(B19/100)*(M19/100)*(N19/100)</f>
        <v>#NAME?</v>
      </c>
    </row>
    <row r="20" spans="1:15" s="126" customFormat="1" ht="21" x14ac:dyDescent="0.25">
      <c r="A20" s="132" t="s">
        <v>21</v>
      </c>
      <c r="B20" s="133" t="e">
        <f ca="1">_xll.RiskTriang(27.7,37.4,66)</f>
        <v>#NAME?</v>
      </c>
      <c r="C20" s="136">
        <f>O41</f>
        <v>14.53</v>
      </c>
      <c r="D20" s="118" t="e">
        <f ca="1">((B20*C20)*(1/10000))/100</f>
        <v>#NAME?</v>
      </c>
      <c r="E20" s="137">
        <v>0</v>
      </c>
      <c r="F20" s="137">
        <v>0</v>
      </c>
      <c r="G20" s="120">
        <v>0</v>
      </c>
      <c r="H20" s="120">
        <v>0</v>
      </c>
      <c r="I20" s="137">
        <v>0</v>
      </c>
      <c r="J20" s="122">
        <v>21.5</v>
      </c>
      <c r="K20" s="137">
        <f>(I20)*(J20/100)</f>
        <v>0</v>
      </c>
      <c r="L20" s="139" t="e">
        <f ca="1">D20</f>
        <v>#NAME?</v>
      </c>
      <c r="M20" s="137">
        <v>0</v>
      </c>
      <c r="N20" s="137">
        <v>0</v>
      </c>
      <c r="O20" s="140" t="e">
        <f ca="1">(B20/100)*(M20/100)*(N20/100)</f>
        <v>#NAME?</v>
      </c>
    </row>
    <row r="21" spans="1:15" ht="21" x14ac:dyDescent="0.25">
      <c r="A21" s="68" t="s">
        <v>19</v>
      </c>
      <c r="B21" s="53" t="e">
        <f ca="1">SUM(B4:B7,B9:B11,B13:B16,B18:B19)</f>
        <v>#NAME?</v>
      </c>
      <c r="C21" s="54"/>
      <c r="D21" s="55" t="e">
        <f ca="1">SUM(D4:D7,D9:D11,D13:D16,D18:D19,D20)*100</f>
        <v>#NAME?</v>
      </c>
      <c r="E21" s="54"/>
      <c r="F21" s="54"/>
      <c r="G21" s="54"/>
      <c r="H21" s="54"/>
      <c r="I21" s="54"/>
      <c r="J21" s="54"/>
      <c r="K21" s="56"/>
      <c r="L21" s="57" t="e">
        <f ca="1">SUM(L4:L7,L9:L11,L13:L16,L18:L20)*100</f>
        <v>#NAME?</v>
      </c>
      <c r="M21" s="54"/>
      <c r="N21" s="54"/>
      <c r="O21" s="55" t="e">
        <f ca="1">(SUM(O4:O7,O9:O11,O13:O16,O18:O19))*100</f>
        <v>#NAME?</v>
      </c>
    </row>
    <row r="22" spans="1:15" ht="19" x14ac:dyDescent="0.2">
      <c r="A22" s="2" t="s">
        <v>7</v>
      </c>
    </row>
    <row r="23" spans="1:15" ht="19" x14ac:dyDescent="0.2">
      <c r="A23" s="3" t="s">
        <v>8</v>
      </c>
    </row>
    <row r="24" spans="1:15" ht="19" x14ac:dyDescent="0.2">
      <c r="A24" s="3" t="s">
        <v>123</v>
      </c>
    </row>
    <row r="25" spans="1:15" ht="19" x14ac:dyDescent="0.2">
      <c r="A25" s="3" t="s">
        <v>169</v>
      </c>
      <c r="E25" s="88"/>
    </row>
    <row r="26" spans="1:15" ht="19" x14ac:dyDescent="0.2">
      <c r="A26" s="2"/>
    </row>
    <row r="28" spans="1:15" ht="17" thickBot="1" x14ac:dyDescent="0.25">
      <c r="A28" t="s">
        <v>23</v>
      </c>
      <c r="H28" s="24" t="s">
        <v>82</v>
      </c>
    </row>
    <row r="29" spans="1:15" ht="35" thickBot="1" x14ac:dyDescent="0.25">
      <c r="A29" s="14" t="s">
        <v>124</v>
      </c>
      <c r="B29" s="15" t="s">
        <v>6</v>
      </c>
      <c r="H29" s="158" t="s">
        <v>81</v>
      </c>
      <c r="I29" s="26" t="s">
        <v>88</v>
      </c>
      <c r="J29" s="157"/>
      <c r="M29" s="104" t="s">
        <v>157</v>
      </c>
      <c r="N29" s="105" t="s">
        <v>165</v>
      </c>
      <c r="O29" s="106" t="s">
        <v>158</v>
      </c>
    </row>
    <row r="30" spans="1:15" ht="20" thickTop="1" x14ac:dyDescent="0.2">
      <c r="A30" s="14" t="s">
        <v>1</v>
      </c>
      <c r="B30" s="16" t="s">
        <v>11</v>
      </c>
      <c r="E30" t="s">
        <v>143</v>
      </c>
      <c r="H30" s="4">
        <v>0</v>
      </c>
      <c r="I30" s="25" t="s">
        <v>83</v>
      </c>
      <c r="J30" s="25"/>
      <c r="M30" s="107" t="s">
        <v>145</v>
      </c>
      <c r="N30" s="108">
        <v>2</v>
      </c>
      <c r="O30" s="109">
        <v>327.39</v>
      </c>
    </row>
    <row r="31" spans="1:15" ht="19" x14ac:dyDescent="0.2">
      <c r="A31" t="s">
        <v>9</v>
      </c>
      <c r="B31" s="10" t="s">
        <v>139</v>
      </c>
      <c r="H31" s="4">
        <v>2</v>
      </c>
      <c r="I31" s="25" t="s">
        <v>84</v>
      </c>
      <c r="J31" s="25"/>
      <c r="M31" s="107" t="s">
        <v>146</v>
      </c>
      <c r="N31" s="108">
        <v>3</v>
      </c>
      <c r="O31" s="109">
        <v>170.73</v>
      </c>
    </row>
    <row r="32" spans="1:15" ht="19" x14ac:dyDescent="0.25">
      <c r="A32" t="s">
        <v>10</v>
      </c>
      <c r="B32" s="10" t="s">
        <v>140</v>
      </c>
      <c r="E32" s="29"/>
      <c r="H32" s="4">
        <v>4</v>
      </c>
      <c r="I32" s="25" t="s">
        <v>85</v>
      </c>
      <c r="J32" s="25"/>
      <c r="M32" s="107" t="s">
        <v>147</v>
      </c>
      <c r="N32" s="108">
        <v>6</v>
      </c>
      <c r="O32" s="109">
        <v>168.4</v>
      </c>
    </row>
    <row r="33" spans="1:15" ht="19" x14ac:dyDescent="0.25">
      <c r="A33" t="s">
        <v>135</v>
      </c>
      <c r="B33" s="9" t="s">
        <v>136</v>
      </c>
      <c r="E33" s="29"/>
      <c r="F33" s="29"/>
      <c r="G33" s="29"/>
      <c r="H33" s="17">
        <v>6</v>
      </c>
      <c r="I33" s="25" t="s">
        <v>86</v>
      </c>
      <c r="J33" s="25"/>
      <c r="M33" s="107" t="s">
        <v>148</v>
      </c>
      <c r="N33" s="108">
        <v>12</v>
      </c>
      <c r="O33" s="109">
        <v>125.62</v>
      </c>
    </row>
    <row r="34" spans="1:15" ht="19" x14ac:dyDescent="0.25">
      <c r="A34" s="11" t="s">
        <v>141</v>
      </c>
      <c r="B34" s="87">
        <v>0.02</v>
      </c>
      <c r="E34" s="29"/>
      <c r="F34" s="29"/>
      <c r="G34" s="29"/>
      <c r="H34" s="5">
        <v>8</v>
      </c>
      <c r="I34" s="27" t="s">
        <v>87</v>
      </c>
      <c r="J34" s="25"/>
      <c r="M34" s="107" t="s">
        <v>149</v>
      </c>
      <c r="N34" s="108">
        <v>7</v>
      </c>
      <c r="O34" s="109">
        <v>78.55</v>
      </c>
    </row>
    <row r="35" spans="1:15" ht="19" x14ac:dyDescent="0.25">
      <c r="A35" s="29"/>
      <c r="B35" s="29"/>
      <c r="C35" s="29"/>
      <c r="D35" s="7"/>
      <c r="E35" s="29"/>
      <c r="F35" s="29"/>
      <c r="G35" s="29"/>
      <c r="J35" s="20"/>
      <c r="L35" s="20"/>
      <c r="M35" s="107" t="s">
        <v>150</v>
      </c>
      <c r="N35" s="110">
        <v>1</v>
      </c>
      <c r="O35" s="109">
        <v>67.59</v>
      </c>
    </row>
    <row r="36" spans="1:15" ht="20" thickBot="1" x14ac:dyDescent="0.3">
      <c r="A36" s="155"/>
      <c r="B36" s="155"/>
      <c r="C36" s="156"/>
      <c r="D36" s="155"/>
      <c r="E36" s="315" t="s">
        <v>159</v>
      </c>
      <c r="F36" s="315"/>
      <c r="G36" s="315"/>
      <c r="H36" s="315"/>
      <c r="I36" s="315"/>
      <c r="J36" s="315"/>
      <c r="K36" s="315"/>
      <c r="M36" s="107" t="s">
        <v>151</v>
      </c>
      <c r="N36" s="108">
        <v>8</v>
      </c>
      <c r="O36" s="109">
        <v>56.35</v>
      </c>
    </row>
    <row r="37" spans="1:15" ht="16.5" customHeight="1" thickTop="1" x14ac:dyDescent="0.25">
      <c r="A37" s="29"/>
      <c r="B37" s="29"/>
      <c r="C37" s="41"/>
      <c r="D37" s="29"/>
      <c r="E37" s="11" t="s">
        <v>160</v>
      </c>
      <c r="F37" s="36">
        <v>40</v>
      </c>
      <c r="G37" s="36">
        <v>50</v>
      </c>
      <c r="H37" s="36">
        <v>60</v>
      </c>
      <c r="I37" s="36">
        <v>70</v>
      </c>
      <c r="J37" s="36">
        <v>80</v>
      </c>
      <c r="K37" s="36">
        <v>90</v>
      </c>
      <c r="M37" s="111" t="s">
        <v>152</v>
      </c>
      <c r="N37" s="108">
        <v>10</v>
      </c>
      <c r="O37" s="109">
        <v>54.58</v>
      </c>
    </row>
    <row r="38" spans="1:15" ht="16.5" customHeight="1" x14ac:dyDescent="0.25">
      <c r="A38" s="29"/>
      <c r="B38" s="29"/>
      <c r="C38" s="98" t="e">
        <f ca="1">(0.0193*(2.71828)^(10.701*L21))/10000</f>
        <v>#NAME?</v>
      </c>
      <c r="D38" s="31"/>
      <c r="E38" s="29"/>
      <c r="F38" s="94">
        <v>22.7</v>
      </c>
      <c r="G38" s="95">
        <v>24.6</v>
      </c>
      <c r="H38" s="95">
        <v>28</v>
      </c>
      <c r="I38" s="95">
        <v>32.9</v>
      </c>
      <c r="J38" s="95">
        <v>37.9</v>
      </c>
      <c r="K38" s="95">
        <v>54.1</v>
      </c>
      <c r="M38" s="107" t="s">
        <v>153</v>
      </c>
      <c r="N38" s="108">
        <v>11</v>
      </c>
      <c r="O38" s="109">
        <v>36.96</v>
      </c>
    </row>
    <row r="39" spans="1:15" ht="15" customHeight="1" x14ac:dyDescent="0.25">
      <c r="A39" s="29"/>
      <c r="B39" s="29"/>
      <c r="C39" s="39" t="e">
        <f ca="1">B41*C38</f>
        <v>#NAME?</v>
      </c>
      <c r="D39" s="33"/>
      <c r="E39" s="29"/>
      <c r="F39" s="94">
        <v>27.6</v>
      </c>
      <c r="G39" s="95">
        <v>29.9</v>
      </c>
      <c r="H39" s="95">
        <v>34.4</v>
      </c>
      <c r="I39" s="95">
        <v>40.5</v>
      </c>
      <c r="J39" s="95">
        <v>46.6</v>
      </c>
      <c r="K39" s="95">
        <v>65.900000000000006</v>
      </c>
      <c r="M39" s="107" t="s">
        <v>154</v>
      </c>
      <c r="N39" s="108">
        <v>4</v>
      </c>
      <c r="O39" s="109">
        <v>36.93</v>
      </c>
    </row>
    <row r="40" spans="1:15" ht="15" customHeight="1" x14ac:dyDescent="0.25">
      <c r="A40" s="29"/>
      <c r="B40" s="30">
        <v>0.2</v>
      </c>
      <c r="C40" s="40" t="s">
        <v>71</v>
      </c>
      <c r="D40" s="29"/>
      <c r="E40" s="29"/>
      <c r="F40" s="94">
        <v>32.9</v>
      </c>
      <c r="G40" s="95">
        <v>35.6</v>
      </c>
      <c r="H40" s="95">
        <v>40.9</v>
      </c>
      <c r="I40" s="95">
        <v>47.7</v>
      </c>
      <c r="J40" s="95">
        <v>54.9</v>
      </c>
      <c r="K40" s="95">
        <v>78</v>
      </c>
      <c r="M40" s="111" t="s">
        <v>155</v>
      </c>
      <c r="N40" s="108">
        <v>9</v>
      </c>
      <c r="O40" s="109">
        <v>14.53</v>
      </c>
    </row>
    <row r="41" spans="1:15" ht="20" thickBot="1" x14ac:dyDescent="0.3">
      <c r="A41" s="29"/>
      <c r="B41" s="32">
        <f>B40*A44</f>
        <v>20000</v>
      </c>
      <c r="C41" s="40"/>
      <c r="D41" s="29"/>
      <c r="E41" s="96" t="s">
        <v>161</v>
      </c>
      <c r="F41" s="97">
        <f>AVERAGE(F38:F40)</f>
        <v>27.733333333333331</v>
      </c>
      <c r="G41" s="97">
        <f t="shared" ref="G41:K41" si="7">AVERAGE(G38:G40)</f>
        <v>30.033333333333331</v>
      </c>
      <c r="H41" s="97">
        <f t="shared" si="7"/>
        <v>34.43333333333333</v>
      </c>
      <c r="I41" s="97">
        <f>AVERAGE(I38:I40)</f>
        <v>40.366666666666667</v>
      </c>
      <c r="J41" s="97">
        <f t="shared" si="7"/>
        <v>46.466666666666669</v>
      </c>
      <c r="K41" s="97">
        <f t="shared" si="7"/>
        <v>66</v>
      </c>
      <c r="M41" s="112" t="s">
        <v>156</v>
      </c>
      <c r="N41" s="113">
        <v>5</v>
      </c>
      <c r="O41" s="114">
        <v>14.53</v>
      </c>
    </row>
    <row r="42" spans="1:15" ht="15.75" customHeight="1" x14ac:dyDescent="0.25">
      <c r="A42" s="29"/>
      <c r="B42" s="29"/>
      <c r="C42" s="39" t="e">
        <f ca="1">1-C38</f>
        <v>#NAME?</v>
      </c>
      <c r="D42" s="31"/>
      <c r="E42" s="35"/>
      <c r="F42" s="29"/>
      <c r="G42" s="29"/>
      <c r="I42" s="99"/>
    </row>
    <row r="43" spans="1:15" ht="15.75" customHeight="1" x14ac:dyDescent="0.25">
      <c r="A43" s="29"/>
      <c r="B43" s="29"/>
      <c r="C43" s="39" t="e">
        <f ca="1">B41-C39</f>
        <v>#NAME?</v>
      </c>
      <c r="D43" s="33"/>
      <c r="E43" s="89"/>
      <c r="F43" s="35"/>
      <c r="G43" s="35"/>
    </row>
    <row r="44" spans="1:15" ht="16.5" customHeight="1" x14ac:dyDescent="0.25">
      <c r="A44" s="32">
        <v>100000</v>
      </c>
      <c r="B44" s="75" t="s">
        <v>80</v>
      </c>
      <c r="C44" s="41"/>
      <c r="D44" s="29"/>
      <c r="E44" s="35"/>
      <c r="F44" s="101" t="s">
        <v>162</v>
      </c>
      <c r="G44" s="29"/>
      <c r="H44" s="100"/>
      <c r="I44" s="100"/>
    </row>
    <row r="45" spans="1:15" ht="15.75" customHeight="1" x14ac:dyDescent="0.25">
      <c r="A45" s="32"/>
      <c r="B45" s="34"/>
      <c r="C45" s="41"/>
      <c r="D45" s="29"/>
      <c r="E45" s="35"/>
      <c r="F45" s="29" t="s">
        <v>163</v>
      </c>
      <c r="G45" s="29" t="s">
        <v>164</v>
      </c>
    </row>
    <row r="46" spans="1:15" ht="15.75" customHeight="1" x14ac:dyDescent="0.25">
      <c r="A46" s="29"/>
      <c r="B46" s="29"/>
      <c r="C46" s="98" t="e">
        <f ca="1">(0.0127*(2.71828)^(10.701*L21))/10000</f>
        <v>#NAME?</v>
      </c>
      <c r="D46" s="31"/>
      <c r="E46" s="35"/>
      <c r="F46" s="29" t="s">
        <v>171</v>
      </c>
      <c r="G46" s="29" t="s">
        <v>172</v>
      </c>
    </row>
    <row r="47" spans="1:15" ht="15.75" customHeight="1" x14ac:dyDescent="0.25">
      <c r="A47" s="29"/>
      <c r="B47" s="29"/>
      <c r="C47" s="39" t="e">
        <f ca="1">B49*C46</f>
        <v>#NAME?</v>
      </c>
      <c r="D47" s="33"/>
      <c r="E47" s="35"/>
      <c r="F47" s="35"/>
      <c r="G47" s="35"/>
    </row>
    <row r="48" spans="1:15" ht="15.75" customHeight="1" x14ac:dyDescent="0.25">
      <c r="A48" s="29"/>
      <c r="B48" s="30">
        <v>0.2</v>
      </c>
      <c r="C48" s="40" t="s">
        <v>71</v>
      </c>
      <c r="D48" s="29"/>
      <c r="E48" s="35"/>
      <c r="F48" s="35"/>
      <c r="G48" s="35"/>
    </row>
    <row r="49" spans="1:20" ht="15.75" customHeight="1" x14ac:dyDescent="0.25">
      <c r="A49" s="29"/>
      <c r="B49" s="32">
        <f>B48*A44</f>
        <v>20000</v>
      </c>
      <c r="C49" s="40"/>
      <c r="D49" s="29"/>
      <c r="E49" s="35"/>
      <c r="F49" s="35"/>
      <c r="G49" s="35"/>
    </row>
    <row r="50" spans="1:20" ht="15.75" customHeight="1" x14ac:dyDescent="0.25">
      <c r="A50" s="29"/>
      <c r="B50" s="29"/>
      <c r="C50" s="39" t="e">
        <f ca="1">1-C46</f>
        <v>#NAME?</v>
      </c>
      <c r="D50" s="31"/>
      <c r="E50" s="35"/>
      <c r="F50" s="35"/>
      <c r="G50" s="35"/>
      <c r="Q50">
        <v>30</v>
      </c>
      <c r="R50">
        <f>Q50/100</f>
        <v>0.3</v>
      </c>
    </row>
    <row r="51" spans="1:20" ht="19.5" customHeight="1" x14ac:dyDescent="0.25">
      <c r="A51" s="29"/>
      <c r="B51" s="29"/>
      <c r="C51" s="39" t="e">
        <f ca="1">B49-C47</f>
        <v>#NAME?</v>
      </c>
      <c r="D51" s="33"/>
      <c r="E51" s="35"/>
      <c r="F51" s="35"/>
      <c r="G51" s="35"/>
      <c r="Q51">
        <v>1.1000000000000001</v>
      </c>
      <c r="R51">
        <f>Q51/100</f>
        <v>1.1000000000000001E-2</v>
      </c>
    </row>
    <row r="52" spans="1:20" ht="15.75" customHeight="1" x14ac:dyDescent="0.25">
      <c r="A52" s="29"/>
      <c r="B52" s="29"/>
      <c r="C52" s="39"/>
      <c r="D52" s="33"/>
      <c r="E52" s="35"/>
      <c r="F52" s="35"/>
      <c r="G52" s="35"/>
      <c r="J52" s="159">
        <f>1/10000</f>
        <v>1E-4</v>
      </c>
    </row>
    <row r="53" spans="1:20" ht="15.75" customHeight="1" x14ac:dyDescent="0.25">
      <c r="A53" s="29"/>
      <c r="B53" s="29"/>
      <c r="C53" s="98" t="e">
        <f ca="1">(0.0084*(2.71828)^(10.701*L21))/10000</f>
        <v>#NAME?</v>
      </c>
      <c r="D53" s="31"/>
      <c r="E53" s="35"/>
      <c r="F53" s="35"/>
      <c r="G53" s="35"/>
      <c r="R53">
        <f>R50*R51</f>
        <v>3.3000000000000004E-3</v>
      </c>
    </row>
    <row r="54" spans="1:20" ht="15.75" customHeight="1" x14ac:dyDescent="0.25">
      <c r="A54" s="29"/>
      <c r="B54" s="29"/>
      <c r="C54" s="39" t="e">
        <f ca="1">B56*C53</f>
        <v>#NAME?</v>
      </c>
      <c r="D54" s="33"/>
      <c r="E54" s="35"/>
      <c r="F54" s="35"/>
      <c r="G54" s="35"/>
    </row>
    <row r="55" spans="1:20" ht="15.75" customHeight="1" x14ac:dyDescent="0.25">
      <c r="A55" s="29"/>
      <c r="B55" s="30">
        <v>0.2</v>
      </c>
      <c r="C55" s="40" t="s">
        <v>71</v>
      </c>
      <c r="D55" s="29"/>
      <c r="E55" s="35"/>
      <c r="F55" s="35"/>
      <c r="G55" s="35"/>
    </row>
    <row r="56" spans="1:20" ht="15.75" customHeight="1" x14ac:dyDescent="0.25">
      <c r="A56" s="29"/>
      <c r="B56" s="32">
        <f>B55*A44</f>
        <v>20000</v>
      </c>
      <c r="C56" s="40"/>
      <c r="D56" s="29"/>
      <c r="E56" s="35"/>
      <c r="F56" s="35"/>
      <c r="G56" s="35"/>
    </row>
    <row r="57" spans="1:20" ht="15.75" customHeight="1" x14ac:dyDescent="0.25">
      <c r="A57" s="29"/>
      <c r="B57" s="29"/>
      <c r="C57" s="39" t="e">
        <f ca="1">1-C53</f>
        <v>#NAME?</v>
      </c>
      <c r="D57" s="31"/>
      <c r="E57" s="35"/>
      <c r="F57" s="35"/>
      <c r="G57" s="35"/>
      <c r="R57">
        <f>R53*100</f>
        <v>0.33</v>
      </c>
    </row>
    <row r="58" spans="1:20" ht="15.75" customHeight="1" x14ac:dyDescent="0.25">
      <c r="A58" s="29"/>
      <c r="B58" s="29"/>
      <c r="C58" s="39" t="e">
        <f ca="1">B56-C54</f>
        <v>#NAME?</v>
      </c>
      <c r="D58" s="33"/>
      <c r="E58" s="35"/>
      <c r="F58" s="35"/>
      <c r="G58" s="35"/>
      <c r="M58">
        <f>M60/13</f>
        <v>0.92307692307692313</v>
      </c>
      <c r="T58">
        <f>R57+S62</f>
        <v>0.33260000000000001</v>
      </c>
    </row>
    <row r="59" spans="1:20" ht="16.5" customHeight="1" x14ac:dyDescent="0.25">
      <c r="A59" s="29"/>
      <c r="B59" s="29"/>
      <c r="C59" s="39"/>
      <c r="D59" s="33"/>
      <c r="E59" s="35"/>
      <c r="F59" s="35"/>
      <c r="G59" s="35"/>
      <c r="Q59">
        <v>1</v>
      </c>
      <c r="R59">
        <f>Q59/100</f>
        <v>0.01</v>
      </c>
    </row>
    <row r="60" spans="1:20" ht="16.5" customHeight="1" x14ac:dyDescent="0.25">
      <c r="A60" s="29"/>
      <c r="B60" s="29"/>
      <c r="C60" s="98" t="e">
        <f ca="1">(0.0055*(2.71828)^(10.701*L21))/10000</f>
        <v>#NAME?</v>
      </c>
      <c r="D60" s="31"/>
      <c r="E60" s="35"/>
      <c r="F60" s="35"/>
      <c r="G60" s="35"/>
      <c r="M60">
        <v>12</v>
      </c>
      <c r="Q60">
        <v>0.26</v>
      </c>
      <c r="R60">
        <f>Q60/100</f>
        <v>2.5999999999999999E-3</v>
      </c>
    </row>
    <row r="61" spans="1:20" ht="15.75" customHeight="1" x14ac:dyDescent="0.25">
      <c r="A61" s="29"/>
      <c r="B61" s="29"/>
      <c r="C61" s="39" t="e">
        <f ca="1">B63*C60</f>
        <v>#NAME?</v>
      </c>
      <c r="D61" s="33"/>
      <c r="E61" s="35"/>
      <c r="F61" s="35"/>
      <c r="G61" s="35"/>
    </row>
    <row r="62" spans="1:20" ht="15.75" customHeight="1" x14ac:dyDescent="0.25">
      <c r="A62" s="29"/>
      <c r="B62" s="30">
        <v>0.2</v>
      </c>
      <c r="C62" s="40" t="s">
        <v>71</v>
      </c>
      <c r="D62" s="29"/>
      <c r="E62" s="35"/>
      <c r="F62" s="35"/>
      <c r="G62" s="35"/>
      <c r="R62">
        <f>R59*R60</f>
        <v>2.5999999999999998E-5</v>
      </c>
      <c r="S62">
        <f>R62*100</f>
        <v>2.5999999999999999E-3</v>
      </c>
    </row>
    <row r="63" spans="1:20" ht="15.75" customHeight="1" x14ac:dyDescent="0.25">
      <c r="A63" s="29"/>
      <c r="B63" s="32">
        <f>B62*A44</f>
        <v>20000</v>
      </c>
      <c r="C63" s="40"/>
      <c r="D63" s="29"/>
      <c r="E63" s="35"/>
      <c r="F63" s="35"/>
      <c r="G63" s="35"/>
    </row>
    <row r="64" spans="1:20" ht="15.75" customHeight="1" x14ac:dyDescent="0.25">
      <c r="A64" s="29"/>
      <c r="B64" s="29"/>
      <c r="C64" s="39" t="e">
        <f ca="1">1-C60</f>
        <v>#NAME?</v>
      </c>
      <c r="D64" s="31"/>
      <c r="E64" s="35"/>
      <c r="F64" s="35"/>
      <c r="G64" s="35"/>
      <c r="Q64">
        <v>69</v>
      </c>
    </row>
    <row r="65" spans="1:7" ht="15.75" customHeight="1" x14ac:dyDescent="0.25">
      <c r="A65" s="29"/>
      <c r="B65" s="29"/>
      <c r="C65" s="39" t="e">
        <f ca="1">B63-C61</f>
        <v>#NAME?</v>
      </c>
      <c r="D65" s="33"/>
      <c r="E65" s="35"/>
      <c r="F65" s="35"/>
      <c r="G65" s="35"/>
    </row>
    <row r="66" spans="1:7" ht="18" customHeight="1" x14ac:dyDescent="0.25">
      <c r="A66" s="29"/>
      <c r="B66" s="29"/>
      <c r="C66" s="39"/>
      <c r="D66" s="33"/>
      <c r="E66" s="35"/>
      <c r="F66" s="35"/>
      <c r="G66" s="35"/>
    </row>
    <row r="67" spans="1:7" ht="15.75" customHeight="1" x14ac:dyDescent="0.25">
      <c r="A67" s="29"/>
      <c r="B67" s="29"/>
      <c r="C67" s="98" t="e">
        <f ca="1">(0.0036*(2.71828)^(10.701*L21))/10000</f>
        <v>#NAME?</v>
      </c>
      <c r="D67" s="31"/>
      <c r="E67" s="35"/>
      <c r="F67" s="35"/>
      <c r="G67" s="35"/>
    </row>
    <row r="68" spans="1:7" ht="15.75" customHeight="1" x14ac:dyDescent="0.25">
      <c r="A68" s="29"/>
      <c r="B68" s="29"/>
      <c r="C68" s="39" t="e">
        <f ca="1">B70*C67</f>
        <v>#NAME?</v>
      </c>
      <c r="D68" s="33"/>
      <c r="E68" s="35"/>
      <c r="F68" s="35"/>
      <c r="G68" s="35"/>
    </row>
    <row r="69" spans="1:7" ht="15.75" customHeight="1" x14ac:dyDescent="0.25">
      <c r="A69" s="29"/>
      <c r="B69" s="30">
        <v>0.2</v>
      </c>
      <c r="C69" s="40" t="s">
        <v>71</v>
      </c>
      <c r="D69" s="29"/>
      <c r="E69" s="35"/>
      <c r="F69" s="35"/>
      <c r="G69" s="35"/>
    </row>
    <row r="70" spans="1:7" ht="15.75" customHeight="1" x14ac:dyDescent="0.25">
      <c r="A70" s="29"/>
      <c r="B70" s="32">
        <f>B69*A44</f>
        <v>20000</v>
      </c>
      <c r="C70" s="40"/>
      <c r="D70" s="29"/>
      <c r="E70" s="35"/>
      <c r="F70" s="35"/>
      <c r="G70" s="35"/>
    </row>
    <row r="71" spans="1:7" ht="15.75" customHeight="1" x14ac:dyDescent="0.25">
      <c r="A71" s="29"/>
      <c r="B71" s="29"/>
      <c r="C71" s="39" t="e">
        <f ca="1">1-C67</f>
        <v>#NAME?</v>
      </c>
      <c r="D71" s="31"/>
      <c r="E71" s="35"/>
      <c r="F71" s="35"/>
      <c r="G71" s="35"/>
    </row>
    <row r="72" spans="1:7" ht="15.75" customHeight="1" x14ac:dyDescent="0.25">
      <c r="A72" s="29"/>
      <c r="B72" s="29"/>
      <c r="C72" s="39" t="e">
        <f ca="1">B70-C68</f>
        <v>#NAME?</v>
      </c>
      <c r="D72" s="33"/>
      <c r="E72" s="35"/>
      <c r="F72" s="35"/>
      <c r="G72" s="35"/>
    </row>
    <row r="73" spans="1:7" ht="15.75" customHeight="1" x14ac:dyDescent="0.25">
      <c r="A73" s="29"/>
      <c r="B73" s="29"/>
      <c r="C73" s="41"/>
      <c r="D73" s="29"/>
      <c r="E73" s="35"/>
      <c r="F73" s="35"/>
      <c r="G73" s="35"/>
    </row>
    <row r="74" spans="1:7" ht="15.75" customHeight="1" x14ac:dyDescent="0.25">
      <c r="A74" s="29"/>
      <c r="B74" s="29"/>
      <c r="C74" s="29"/>
      <c r="D74" s="29"/>
      <c r="E74" s="35"/>
      <c r="F74" s="35"/>
      <c r="G74" s="35"/>
    </row>
    <row r="75" spans="1:7" ht="15.75" customHeight="1" x14ac:dyDescent="0.25">
      <c r="A75" s="35"/>
      <c r="B75" s="35"/>
      <c r="C75" s="35"/>
      <c r="D75" s="35"/>
      <c r="E75" s="35"/>
      <c r="F75" s="35"/>
      <c r="G75" s="35"/>
    </row>
    <row r="76" spans="1:7" ht="15.75" customHeight="1" x14ac:dyDescent="0.25">
      <c r="A76" s="35"/>
      <c r="B76" s="35"/>
      <c r="C76" s="35"/>
      <c r="D76" s="35"/>
      <c r="E76" s="35"/>
      <c r="F76" s="35"/>
      <c r="G76" s="35"/>
    </row>
    <row r="77" spans="1:7" ht="21" x14ac:dyDescent="0.25">
      <c r="A77" s="35"/>
      <c r="B77" s="35"/>
      <c r="C77" s="35"/>
      <c r="D77" s="35"/>
      <c r="E77" s="35"/>
      <c r="F77" s="35"/>
      <c r="G77" s="35"/>
    </row>
    <row r="78" spans="1:7" ht="21" x14ac:dyDescent="0.25">
      <c r="E78" s="35"/>
      <c r="F78" s="35"/>
      <c r="G78" s="35"/>
    </row>
    <row r="79" spans="1:7" ht="21" x14ac:dyDescent="0.25">
      <c r="E79" s="35"/>
      <c r="F79" s="35"/>
      <c r="G79" s="35"/>
    </row>
    <row r="80" spans="1:7" ht="21" x14ac:dyDescent="0.25">
      <c r="E80" s="35"/>
      <c r="F80" s="35"/>
      <c r="G80" s="35"/>
    </row>
    <row r="81" spans="5:7" ht="21" x14ac:dyDescent="0.25">
      <c r="E81" s="35"/>
      <c r="F81" s="35"/>
      <c r="G81" s="35"/>
    </row>
    <row r="82" spans="5:7" ht="15.75" customHeight="1" x14ac:dyDescent="0.25">
      <c r="E82" s="35"/>
      <c r="F82" s="35"/>
      <c r="G82" s="35"/>
    </row>
    <row r="83" spans="5:7" ht="23.25" customHeight="1" x14ac:dyDescent="0.25">
      <c r="E83" s="35"/>
      <c r="F83" s="35"/>
      <c r="G83" s="35"/>
    </row>
    <row r="84" spans="5:7" ht="16.5" customHeight="1" x14ac:dyDescent="0.25">
      <c r="E84" s="35"/>
      <c r="F84" s="35"/>
      <c r="G84" s="35"/>
    </row>
    <row r="85" spans="5:7" ht="18.75" customHeight="1" x14ac:dyDescent="0.25">
      <c r="E85" s="35"/>
      <c r="F85" s="35"/>
      <c r="G85" s="35"/>
    </row>
    <row r="86" spans="5:7" ht="15.75" customHeight="1" x14ac:dyDescent="0.25">
      <c r="E86" s="35"/>
      <c r="F86" s="35"/>
      <c r="G86" s="35"/>
    </row>
    <row r="87" spans="5:7" ht="15.75" customHeight="1" x14ac:dyDescent="0.25">
      <c r="E87" s="35"/>
      <c r="F87" s="35"/>
      <c r="G87" s="35"/>
    </row>
    <row r="88" spans="5:7" ht="15.75" customHeight="1" x14ac:dyDescent="0.25">
      <c r="E88" s="35"/>
      <c r="F88" s="35"/>
      <c r="G88" s="35"/>
    </row>
    <row r="89" spans="5:7" ht="15.75" customHeight="1" x14ac:dyDescent="0.25">
      <c r="E89" s="35"/>
      <c r="F89" s="35"/>
      <c r="G89" s="35"/>
    </row>
    <row r="90" spans="5:7" ht="15.75" customHeight="1" x14ac:dyDescent="0.25">
      <c r="E90" s="35"/>
      <c r="F90" s="35"/>
      <c r="G90" s="35"/>
    </row>
    <row r="91" spans="5:7" ht="19.5" customHeight="1" x14ac:dyDescent="0.25">
      <c r="E91" s="35"/>
      <c r="F91" s="35"/>
      <c r="G91" s="35"/>
    </row>
    <row r="92" spans="5:7" ht="15.75" customHeight="1" x14ac:dyDescent="0.25">
      <c r="E92" s="35"/>
      <c r="F92" s="35"/>
      <c r="G92" s="35"/>
    </row>
    <row r="93" spans="5:7" ht="18" customHeight="1" x14ac:dyDescent="0.25">
      <c r="E93" s="35"/>
      <c r="F93" s="35"/>
      <c r="G93" s="35"/>
    </row>
    <row r="94" spans="5:7" ht="15.75" customHeight="1" x14ac:dyDescent="0.25">
      <c r="E94" s="35"/>
      <c r="F94" s="35"/>
      <c r="G94" s="35"/>
    </row>
    <row r="95" spans="5:7" ht="15.75" customHeight="1" x14ac:dyDescent="0.25">
      <c r="E95" s="35"/>
      <c r="F95" s="35"/>
      <c r="G95" s="35"/>
    </row>
    <row r="96" spans="5:7" ht="15.75" customHeight="1" x14ac:dyDescent="0.25">
      <c r="E96" s="35"/>
      <c r="F96" s="35"/>
      <c r="G96" s="35"/>
    </row>
    <row r="97" spans="5:7" ht="15.75" customHeight="1" x14ac:dyDescent="0.25">
      <c r="E97" s="35"/>
      <c r="F97" s="35"/>
      <c r="G97" s="35"/>
    </row>
    <row r="98" spans="5:7" ht="15.75" customHeight="1" x14ac:dyDescent="0.25">
      <c r="E98" s="35"/>
      <c r="F98" s="35"/>
      <c r="G98" s="35"/>
    </row>
    <row r="99" spans="5:7" ht="15" customHeight="1" x14ac:dyDescent="0.25">
      <c r="E99" s="35"/>
      <c r="F99" s="35"/>
      <c r="G99" s="35"/>
    </row>
    <row r="100" spans="5:7" ht="18.75" customHeight="1" x14ac:dyDescent="0.25">
      <c r="E100" s="35"/>
      <c r="F100" s="35"/>
      <c r="G100" s="35"/>
    </row>
    <row r="101" spans="5:7" ht="15.75" customHeight="1" x14ac:dyDescent="0.25">
      <c r="E101" s="35"/>
      <c r="F101" s="35"/>
      <c r="G101" s="35"/>
    </row>
    <row r="102" spans="5:7" ht="21.75" customHeight="1" x14ac:dyDescent="0.25">
      <c r="E102" s="35"/>
      <c r="F102" s="35"/>
      <c r="G102" s="35"/>
    </row>
    <row r="103" spans="5:7" ht="21.75" customHeight="1" x14ac:dyDescent="0.25">
      <c r="E103" s="35"/>
      <c r="F103" s="35"/>
      <c r="G103" s="35"/>
    </row>
    <row r="104" spans="5:7" ht="15.75" customHeight="1" x14ac:dyDescent="0.25">
      <c r="E104" s="35"/>
      <c r="F104" s="35"/>
      <c r="G104" s="35"/>
    </row>
    <row r="105" spans="5:7" ht="15.75" customHeight="1" x14ac:dyDescent="0.25">
      <c r="E105" s="35"/>
      <c r="F105" s="35"/>
      <c r="G105" s="35"/>
    </row>
    <row r="106" spans="5:7" ht="17.25" customHeight="1" x14ac:dyDescent="0.25">
      <c r="E106" s="35"/>
      <c r="F106" s="35"/>
    </row>
    <row r="107" spans="5:7" ht="16.5" customHeight="1" x14ac:dyDescent="0.25">
      <c r="E107" s="35"/>
      <c r="F107" s="35"/>
    </row>
    <row r="108" spans="5:7" ht="15.75" customHeight="1" x14ac:dyDescent="0.25">
      <c r="E108" s="35"/>
      <c r="F108" s="35"/>
    </row>
    <row r="109" spans="5:7" ht="15.75" customHeight="1" x14ac:dyDescent="0.25">
      <c r="E109" s="35"/>
      <c r="F109" s="35"/>
    </row>
    <row r="110" spans="5:7" ht="15.75" customHeight="1" x14ac:dyDescent="0.25">
      <c r="E110" s="35"/>
      <c r="F110" s="35"/>
    </row>
    <row r="111" spans="5:7" ht="15.75" customHeight="1" x14ac:dyDescent="0.25">
      <c r="E111" s="35"/>
      <c r="F111" s="35"/>
    </row>
    <row r="112" spans="5:7" ht="15.75" customHeight="1" x14ac:dyDescent="0.25">
      <c r="E112" s="35"/>
      <c r="F112" s="35"/>
    </row>
    <row r="113" spans="5:6" ht="15.75" customHeight="1" x14ac:dyDescent="0.25">
      <c r="E113" s="35"/>
      <c r="F113" s="35"/>
    </row>
    <row r="114" spans="5:6" ht="15.75" customHeight="1" x14ac:dyDescent="0.25">
      <c r="E114" s="35"/>
      <c r="F114" s="35"/>
    </row>
    <row r="115" spans="5:6" ht="15.75" customHeight="1" x14ac:dyDescent="0.25">
      <c r="E115" s="35"/>
      <c r="F115" s="35"/>
    </row>
    <row r="116" spans="5:6" ht="15.75" customHeight="1" x14ac:dyDescent="0.25">
      <c r="E116" s="35"/>
      <c r="F116" s="35"/>
    </row>
    <row r="117" spans="5:6" ht="21" x14ac:dyDescent="0.25">
      <c r="E117" s="35"/>
      <c r="F117" s="35"/>
    </row>
    <row r="118" spans="5:6" ht="21" x14ac:dyDescent="0.25">
      <c r="E118" s="35"/>
      <c r="F118" s="35"/>
    </row>
    <row r="119" spans="5:6" ht="21" x14ac:dyDescent="0.25">
      <c r="E119" s="35"/>
      <c r="F119" s="35"/>
    </row>
    <row r="120" spans="5:6" ht="21" x14ac:dyDescent="0.25">
      <c r="E120" s="35"/>
    </row>
  </sheetData>
  <mergeCells count="2">
    <mergeCell ref="E36:K36"/>
    <mergeCell ref="A1:O1"/>
  </mergeCells>
  <pageMargins left="0.7" right="0.7" top="0.75" bottom="0.75" header="0.3" footer="0.3"/>
  <pageSetup orientation="portrait" r:id="rId1"/>
  <ignoredErrors>
    <ignoredError sqref="I10" formula="1"/>
    <ignoredError sqref="F41:K41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workbookViewId="0"/>
  </sheetViews>
  <sheetFormatPr baseColWidth="10" defaultColWidth="15.6640625" defaultRowHeight="16" x14ac:dyDescent="0.2"/>
  <cols>
    <col min="1" max="16384" width="15.6640625" style="23"/>
  </cols>
  <sheetData>
    <row r="1" spans="1:16" x14ac:dyDescent="0.2">
      <c r="A1" s="23" t="s">
        <v>26</v>
      </c>
      <c r="B1" s="22" t="s">
        <v>115</v>
      </c>
      <c r="E1" s="23" t="s">
        <v>34</v>
      </c>
      <c r="F1" s="23">
        <v>3</v>
      </c>
      <c r="H1" s="23" t="s">
        <v>41</v>
      </c>
      <c r="I1" s="22" t="s">
        <v>67</v>
      </c>
      <c r="K1" s="23" t="s">
        <v>46</v>
      </c>
      <c r="L1" s="23">
        <v>100</v>
      </c>
    </row>
    <row r="2" spans="1:16" x14ac:dyDescent="0.2">
      <c r="A2" s="23" t="s">
        <v>27</v>
      </c>
      <c r="B2" s="23" t="e">
        <f>'Finishers model '!#REF!</f>
        <v>#REF!</v>
      </c>
      <c r="E2" s="23" t="s">
        <v>36</v>
      </c>
      <c r="F2" s="23" t="e">
        <f ca="1">_xll.PTreeEvaluate5(B3,$L$11:$L$26,$J$11:$J$26,$K$11:$K$26,$N$11:$N$26,$G$11:$G$26,,L1)</f>
        <v>#NAME?</v>
      </c>
    </row>
    <row r="3" spans="1:16" x14ac:dyDescent="0.2">
      <c r="A3" s="23" t="s">
        <v>28</v>
      </c>
      <c r="B3" s="23" t="s">
        <v>114</v>
      </c>
      <c r="E3" s="23" t="s">
        <v>37</v>
      </c>
      <c r="F3" s="22" t="s">
        <v>63</v>
      </c>
      <c r="H3" s="23" t="s">
        <v>42</v>
      </c>
      <c r="I3" s="23" t="s">
        <v>65</v>
      </c>
    </row>
    <row r="4" spans="1:16" x14ac:dyDescent="0.2">
      <c r="A4" s="23" t="s">
        <v>29</v>
      </c>
      <c r="B4" s="23" t="s">
        <v>62</v>
      </c>
      <c r="E4" s="23" t="s">
        <v>38</v>
      </c>
      <c r="F4" s="22" t="s">
        <v>64</v>
      </c>
      <c r="H4" s="23" t="s">
        <v>43</v>
      </c>
      <c r="I4" s="22" t="s">
        <v>66</v>
      </c>
    </row>
    <row r="5" spans="1:16" x14ac:dyDescent="0.2">
      <c r="A5" s="23" t="s">
        <v>30</v>
      </c>
      <c r="B5" s="23">
        <v>0</v>
      </c>
      <c r="E5" s="23" t="s">
        <v>39</v>
      </c>
      <c r="F5" s="22" t="s">
        <v>64</v>
      </c>
      <c r="H5" s="23" t="s">
        <v>44</v>
      </c>
      <c r="I5" s="23" t="s">
        <v>65</v>
      </c>
    </row>
    <row r="6" spans="1:16" x14ac:dyDescent="0.2">
      <c r="A6" s="23" t="s">
        <v>31</v>
      </c>
      <c r="E6" s="23" t="s">
        <v>40</v>
      </c>
      <c r="F6" s="22" t="s">
        <v>63</v>
      </c>
      <c r="H6" s="23" t="s">
        <v>45</v>
      </c>
      <c r="I6" s="22" t="s">
        <v>66</v>
      </c>
    </row>
    <row r="7" spans="1:16" x14ac:dyDescent="0.2">
      <c r="A7" s="23" t="s">
        <v>32</v>
      </c>
      <c r="E7" s="23" t="s">
        <v>35</v>
      </c>
      <c r="F7" s="22" t="s">
        <v>113</v>
      </c>
    </row>
    <row r="8" spans="1:16" x14ac:dyDescent="0.2">
      <c r="A8" s="23" t="s">
        <v>33</v>
      </c>
      <c r="B8" s="23">
        <v>16</v>
      </c>
    </row>
    <row r="10" spans="1:16" x14ac:dyDescent="0.2">
      <c r="A10" s="23" t="s">
        <v>47</v>
      </c>
      <c r="B10" s="23" t="s">
        <v>48</v>
      </c>
      <c r="C10" s="23" t="s">
        <v>49</v>
      </c>
      <c r="D10" s="23" t="s">
        <v>50</v>
      </c>
      <c r="E10" s="23" t="s">
        <v>51</v>
      </c>
      <c r="F10" s="23" t="s">
        <v>52</v>
      </c>
      <c r="G10" s="23" t="s">
        <v>53</v>
      </c>
      <c r="H10" s="23" t="s">
        <v>54</v>
      </c>
      <c r="I10" s="23" t="s">
        <v>55</v>
      </c>
      <c r="J10" s="23" t="s">
        <v>56</v>
      </c>
      <c r="K10" s="23" t="s">
        <v>57</v>
      </c>
      <c r="L10" s="23" t="s">
        <v>28</v>
      </c>
      <c r="M10" s="23" t="s">
        <v>58</v>
      </c>
      <c r="N10" s="23" t="s">
        <v>59</v>
      </c>
      <c r="O10" s="23" t="s">
        <v>60</v>
      </c>
      <c r="P10" s="23" t="s">
        <v>61</v>
      </c>
    </row>
    <row r="11" spans="1:16" x14ac:dyDescent="0.2">
      <c r="A11" s="23">
        <f>'Finishers model '!$B$45</f>
        <v>0</v>
      </c>
      <c r="B11" s="23" t="str">
        <f>B1</f>
        <v>RDS Risk Analysis: Feedlot Cattle Consuming Finishing Diets</v>
      </c>
      <c r="C11" s="23">
        <v>0</v>
      </c>
      <c r="I11" s="23" t="s">
        <v>68</v>
      </c>
      <c r="J11" s="23">
        <f>'Finishers model '!$A$45</f>
        <v>0</v>
      </c>
      <c r="K11" s="23">
        <f>'Finishers model '!$A$44</f>
        <v>100000</v>
      </c>
      <c r="L11" s="23" t="s">
        <v>100</v>
      </c>
      <c r="M11" s="22" t="s">
        <v>69</v>
      </c>
      <c r="O11" s="23" t="str">
        <f>'Finishers model '!$B$44</f>
        <v>Forage Levels, % diet DM</v>
      </c>
      <c r="P11" s="23" t="b">
        <v>0</v>
      </c>
    </row>
    <row r="12" spans="1:16" x14ac:dyDescent="0.2">
      <c r="A12" s="23">
        <f>'Finishers model '!$C$41</f>
        <v>0</v>
      </c>
      <c r="B12" s="22" t="s">
        <v>90</v>
      </c>
      <c r="C12" s="23">
        <v>0</v>
      </c>
      <c r="I12" s="23" t="s">
        <v>68</v>
      </c>
      <c r="J12" s="23">
        <f>'Finishers model '!$B$41</f>
        <v>20000</v>
      </c>
      <c r="K12" s="23">
        <f>'Finishers model '!$B$40</f>
        <v>0.2</v>
      </c>
      <c r="L12" s="23" t="s">
        <v>101</v>
      </c>
      <c r="M12" s="22" t="s">
        <v>69</v>
      </c>
      <c r="O12" s="23" t="str">
        <f>'Finishers model '!$C$40</f>
        <v>S-Induced Effects</v>
      </c>
      <c r="P12" s="23" t="b">
        <v>0</v>
      </c>
    </row>
    <row r="13" spans="1:16" x14ac:dyDescent="0.2">
      <c r="A13" s="23">
        <f>'Finishers model '!$D$39</f>
        <v>0</v>
      </c>
      <c r="B13" s="22" t="s">
        <v>73</v>
      </c>
      <c r="C13" s="23">
        <v>0</v>
      </c>
      <c r="H13" s="23" t="s">
        <v>68</v>
      </c>
      <c r="I13" s="23" t="s">
        <v>68</v>
      </c>
      <c r="J13" s="23" t="e">
        <f ca="1">'Finishers model '!$C$39</f>
        <v>#NAME?</v>
      </c>
      <c r="K13" s="23" t="e">
        <f ca="1">'Finishers model '!$C$38</f>
        <v>#NAME?</v>
      </c>
      <c r="L13" s="23" t="s">
        <v>93</v>
      </c>
      <c r="M13" s="22" t="s">
        <v>69</v>
      </c>
      <c r="P13" s="23" t="b">
        <v>0</v>
      </c>
    </row>
    <row r="14" spans="1:16" x14ac:dyDescent="0.2">
      <c r="A14" s="23">
        <f>'Finishers model '!$D$43</f>
        <v>0</v>
      </c>
      <c r="B14" s="22" t="s">
        <v>74</v>
      </c>
      <c r="C14" s="23">
        <v>0</v>
      </c>
      <c r="H14" s="23" t="s">
        <v>68</v>
      </c>
      <c r="I14" s="23" t="s">
        <v>68</v>
      </c>
      <c r="J14" s="23" t="e">
        <f ca="1">'Finishers model '!$C$43</f>
        <v>#NAME?</v>
      </c>
      <c r="K14" s="23" t="e">
        <f ca="1">'Finishers model '!$C$42</f>
        <v>#NAME?</v>
      </c>
      <c r="L14" s="23" t="s">
        <v>93</v>
      </c>
      <c r="M14" s="22" t="s">
        <v>69</v>
      </c>
      <c r="P14" s="23" t="b">
        <v>0</v>
      </c>
    </row>
    <row r="15" spans="1:16" x14ac:dyDescent="0.2">
      <c r="A15" s="23">
        <f>'Finishers model '!$C$49</f>
        <v>0</v>
      </c>
      <c r="B15" s="22" t="s">
        <v>91</v>
      </c>
      <c r="C15" s="23">
        <v>0</v>
      </c>
      <c r="I15" s="23" t="s">
        <v>68</v>
      </c>
      <c r="J15" s="23">
        <f>'Finishers model '!$B$49</f>
        <v>20000</v>
      </c>
      <c r="K15" s="23">
        <f>'Finishers model '!$B$48</f>
        <v>0.2</v>
      </c>
      <c r="L15" s="23" t="s">
        <v>102</v>
      </c>
      <c r="M15" s="22" t="s">
        <v>69</v>
      </c>
      <c r="O15" s="23" t="str">
        <f>'Finishers model '!$C$48</f>
        <v>S-Induced Effects</v>
      </c>
      <c r="P15" s="23" t="b">
        <v>0</v>
      </c>
    </row>
    <row r="16" spans="1:16" x14ac:dyDescent="0.2">
      <c r="A16" s="23">
        <f>'Finishers model '!$D$47</f>
        <v>0</v>
      </c>
      <c r="B16" s="22" t="s">
        <v>73</v>
      </c>
      <c r="C16" s="23">
        <v>0</v>
      </c>
      <c r="H16" s="23" t="s">
        <v>68</v>
      </c>
      <c r="I16" s="23" t="s">
        <v>68</v>
      </c>
      <c r="J16" s="23" t="e">
        <f ca="1">'Finishers model '!$C$47</f>
        <v>#NAME?</v>
      </c>
      <c r="K16" s="23" t="e">
        <f ca="1">'Finishers model '!$C$46</f>
        <v>#NAME?</v>
      </c>
      <c r="L16" s="23" t="s">
        <v>75</v>
      </c>
      <c r="M16" s="22" t="s">
        <v>69</v>
      </c>
      <c r="P16" s="23" t="b">
        <v>0</v>
      </c>
    </row>
    <row r="17" spans="1:16" x14ac:dyDescent="0.2">
      <c r="A17" s="23">
        <f>'Finishers model '!$D$51</f>
        <v>0</v>
      </c>
      <c r="B17" s="22" t="s">
        <v>74</v>
      </c>
      <c r="C17" s="23">
        <v>0</v>
      </c>
      <c r="H17" s="23" t="s">
        <v>68</v>
      </c>
      <c r="I17" s="23" t="s">
        <v>68</v>
      </c>
      <c r="J17" s="23" t="e">
        <f ca="1">'Finishers model '!$C$51</f>
        <v>#NAME?</v>
      </c>
      <c r="K17" s="23" t="e">
        <f ca="1">'Finishers model '!$C$50</f>
        <v>#NAME?</v>
      </c>
      <c r="L17" s="23" t="s">
        <v>75</v>
      </c>
      <c r="M17" s="22" t="s">
        <v>69</v>
      </c>
      <c r="P17" s="23" t="b">
        <v>0</v>
      </c>
    </row>
    <row r="18" spans="1:16" x14ac:dyDescent="0.2">
      <c r="A18" s="23">
        <f>'Finishers model '!$C$56</f>
        <v>0</v>
      </c>
      <c r="B18" s="22" t="s">
        <v>110</v>
      </c>
      <c r="C18" s="23">
        <v>0</v>
      </c>
      <c r="I18" s="23" t="s">
        <v>68</v>
      </c>
      <c r="J18" s="23">
        <f>'Finishers model '!$B$56</f>
        <v>20000</v>
      </c>
      <c r="K18" s="23">
        <f>'Finishers model '!$B$55</f>
        <v>0.2</v>
      </c>
      <c r="L18" s="23" t="s">
        <v>95</v>
      </c>
      <c r="M18" s="22" t="s">
        <v>69</v>
      </c>
      <c r="O18" s="23" t="str">
        <f>'Finishers model '!$C$55</f>
        <v>S-Induced Effects</v>
      </c>
      <c r="P18" s="23" t="b">
        <v>0</v>
      </c>
    </row>
    <row r="19" spans="1:16" x14ac:dyDescent="0.2">
      <c r="A19" s="23">
        <f>'Finishers model '!$D$54</f>
        <v>0</v>
      </c>
      <c r="B19" s="22" t="s">
        <v>73</v>
      </c>
      <c r="C19" s="23">
        <v>0</v>
      </c>
      <c r="H19" s="23" t="s">
        <v>68</v>
      </c>
      <c r="I19" s="23" t="s">
        <v>68</v>
      </c>
      <c r="J19" s="23" t="e">
        <f ca="1">'Finishers model '!$C$54</f>
        <v>#NAME?</v>
      </c>
      <c r="K19" s="23" t="e">
        <f ca="1">'Finishers model '!$C$53</f>
        <v>#NAME?</v>
      </c>
      <c r="L19" s="23" t="s">
        <v>77</v>
      </c>
      <c r="M19" s="22" t="s">
        <v>69</v>
      </c>
      <c r="P19" s="23" t="b">
        <v>0</v>
      </c>
    </row>
    <row r="20" spans="1:16" x14ac:dyDescent="0.2">
      <c r="A20" s="23">
        <f>'Finishers model '!$D$58</f>
        <v>0</v>
      </c>
      <c r="B20" s="22" t="s">
        <v>74</v>
      </c>
      <c r="C20" s="23">
        <v>0</v>
      </c>
      <c r="H20" s="23" t="s">
        <v>68</v>
      </c>
      <c r="I20" s="23" t="s">
        <v>68</v>
      </c>
      <c r="J20" s="23" t="e">
        <f ca="1">'Finishers model '!$C$58</f>
        <v>#NAME?</v>
      </c>
      <c r="K20" s="23" t="e">
        <f ca="1">'Finishers model '!$C$57</f>
        <v>#NAME?</v>
      </c>
      <c r="L20" s="23" t="s">
        <v>77</v>
      </c>
      <c r="M20" s="22" t="s">
        <v>69</v>
      </c>
      <c r="P20" s="23" t="b">
        <v>0</v>
      </c>
    </row>
    <row r="21" spans="1:16" x14ac:dyDescent="0.2">
      <c r="A21" s="23">
        <f>'Finishers model '!$C$63</f>
        <v>0</v>
      </c>
      <c r="B21" s="22" t="s">
        <v>92</v>
      </c>
      <c r="C21" s="23">
        <v>0</v>
      </c>
      <c r="I21" s="23" t="s">
        <v>68</v>
      </c>
      <c r="J21" s="23">
        <f>'Finishers model '!$B$63</f>
        <v>20000</v>
      </c>
      <c r="K21" s="23">
        <f>'Finishers model '!$B$62</f>
        <v>0.2</v>
      </c>
      <c r="L21" s="23" t="s">
        <v>103</v>
      </c>
      <c r="M21" s="22" t="s">
        <v>69</v>
      </c>
      <c r="O21" s="23" t="str">
        <f>'Finishers model '!$C$62</f>
        <v>S-Induced Effects</v>
      </c>
      <c r="P21" s="23" t="b">
        <v>0</v>
      </c>
    </row>
    <row r="22" spans="1:16" x14ac:dyDescent="0.2">
      <c r="A22" s="23">
        <f>'Finishers model '!$D$61</f>
        <v>0</v>
      </c>
      <c r="B22" s="22" t="s">
        <v>73</v>
      </c>
      <c r="C22" s="23">
        <v>0</v>
      </c>
      <c r="H22" s="23" t="s">
        <v>68</v>
      </c>
      <c r="I22" s="23" t="s">
        <v>68</v>
      </c>
      <c r="J22" s="23" t="e">
        <f ca="1">'Finishers model '!$C$61</f>
        <v>#NAME?</v>
      </c>
      <c r="K22" s="23" t="e">
        <f ca="1">'Finishers model '!$C$60</f>
        <v>#NAME?</v>
      </c>
      <c r="L22" s="23" t="s">
        <v>104</v>
      </c>
      <c r="M22" s="22" t="s">
        <v>69</v>
      </c>
      <c r="P22" s="23" t="b">
        <v>0</v>
      </c>
    </row>
    <row r="23" spans="1:16" x14ac:dyDescent="0.2">
      <c r="A23" s="23">
        <f>'Finishers model '!$D$65</f>
        <v>0</v>
      </c>
      <c r="B23" s="22" t="s">
        <v>74</v>
      </c>
      <c r="C23" s="23">
        <v>0</v>
      </c>
      <c r="H23" s="23" t="s">
        <v>68</v>
      </c>
      <c r="I23" s="23" t="s">
        <v>68</v>
      </c>
      <c r="J23" s="23" t="e">
        <f ca="1">'Finishers model '!$C$65</f>
        <v>#NAME?</v>
      </c>
      <c r="K23" s="23" t="e">
        <f ca="1">'Finishers model '!$C$64</f>
        <v>#NAME?</v>
      </c>
      <c r="L23" s="23" t="s">
        <v>104</v>
      </c>
      <c r="M23" s="22" t="s">
        <v>69</v>
      </c>
      <c r="P23" s="23" t="b">
        <v>0</v>
      </c>
    </row>
    <row r="24" spans="1:16" x14ac:dyDescent="0.2">
      <c r="A24" s="23">
        <f>'Finishers model '!$C$70</f>
        <v>0</v>
      </c>
      <c r="B24" s="22" t="s">
        <v>111</v>
      </c>
      <c r="C24" s="23">
        <v>0</v>
      </c>
      <c r="I24" s="23" t="s">
        <v>68</v>
      </c>
      <c r="J24" s="23">
        <f>'Finishers model '!$B$70</f>
        <v>20000</v>
      </c>
      <c r="K24" s="23">
        <f>'Finishers model '!$B$69</f>
        <v>0.2</v>
      </c>
      <c r="L24" s="23" t="s">
        <v>99</v>
      </c>
      <c r="M24" s="22" t="s">
        <v>69</v>
      </c>
      <c r="O24" s="23" t="str">
        <f>'Finishers model '!$C$69</f>
        <v>S-Induced Effects</v>
      </c>
      <c r="P24" s="23" t="b">
        <v>0</v>
      </c>
    </row>
    <row r="25" spans="1:16" x14ac:dyDescent="0.2">
      <c r="A25" s="23">
        <f>'Finishers model '!$D$68</f>
        <v>0</v>
      </c>
      <c r="B25" s="22" t="s">
        <v>73</v>
      </c>
      <c r="C25" s="23">
        <v>0</v>
      </c>
      <c r="H25" s="23" t="s">
        <v>68</v>
      </c>
      <c r="I25" s="23" t="s">
        <v>68</v>
      </c>
      <c r="J25" s="23" t="e">
        <f ca="1">'Finishers model '!$C$68</f>
        <v>#NAME?</v>
      </c>
      <c r="K25" s="23" t="e">
        <f ca="1">'Finishers model '!$C$67</f>
        <v>#NAME?</v>
      </c>
      <c r="L25" s="23" t="s">
        <v>105</v>
      </c>
      <c r="M25" s="22" t="s">
        <v>69</v>
      </c>
      <c r="P25" s="23" t="b">
        <v>0</v>
      </c>
    </row>
    <row r="26" spans="1:16" x14ac:dyDescent="0.2">
      <c r="A26" s="23">
        <f>'Finishers model '!$D$72</f>
        <v>0</v>
      </c>
      <c r="B26" s="22" t="s">
        <v>74</v>
      </c>
      <c r="C26" s="23">
        <v>0</v>
      </c>
      <c r="H26" s="23" t="s">
        <v>68</v>
      </c>
      <c r="I26" s="23" t="s">
        <v>68</v>
      </c>
      <c r="J26" s="23" t="e">
        <f ca="1">'Finishers model '!$C$72</f>
        <v>#NAME?</v>
      </c>
      <c r="K26" s="23" t="e">
        <f ca="1">'Finishers model '!$C$71</f>
        <v>#NAME?</v>
      </c>
      <c r="L26" s="23" t="s">
        <v>105</v>
      </c>
      <c r="M26" s="22" t="s">
        <v>69</v>
      </c>
      <c r="P26" s="23" t="b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6"/>
  <sheetViews>
    <sheetView workbookViewId="0"/>
  </sheetViews>
  <sheetFormatPr baseColWidth="10" defaultColWidth="15.6640625" defaultRowHeight="16" x14ac:dyDescent="0.2"/>
  <cols>
    <col min="1" max="16384" width="15.6640625" style="23"/>
  </cols>
  <sheetData>
    <row r="1" spans="1:16" x14ac:dyDescent="0.2">
      <c r="A1" s="23" t="s">
        <v>26</v>
      </c>
      <c r="B1" s="22" t="s">
        <v>112</v>
      </c>
      <c r="E1" s="23" t="s">
        <v>34</v>
      </c>
      <c r="F1" s="23">
        <v>3</v>
      </c>
      <c r="H1" s="23" t="s">
        <v>41</v>
      </c>
      <c r="I1" s="22" t="s">
        <v>67</v>
      </c>
      <c r="K1" s="23" t="s">
        <v>46</v>
      </c>
      <c r="L1" s="23">
        <v>100</v>
      </c>
    </row>
    <row r="2" spans="1:16" x14ac:dyDescent="0.2">
      <c r="A2" s="23" t="s">
        <v>27</v>
      </c>
      <c r="B2" s="23" t="e">
        <f>'Finishers model '!#REF!</f>
        <v>#REF!</v>
      </c>
      <c r="E2" s="23" t="s">
        <v>36</v>
      </c>
      <c r="F2" s="23" t="e">
        <f ca="1">_xll.PTreeEvaluate5(B3,$L$11:$L$26,$J$11:$J$26,$K$11:$K$26,$N$11:$N$26,$G$11:$G$26,,L1)</f>
        <v>#NAME?</v>
      </c>
    </row>
    <row r="3" spans="1:16" x14ac:dyDescent="0.2">
      <c r="A3" s="23" t="s">
        <v>28</v>
      </c>
      <c r="B3" s="23" t="s">
        <v>107</v>
      </c>
      <c r="E3" s="23" t="s">
        <v>37</v>
      </c>
      <c r="F3" s="22" t="s">
        <v>63</v>
      </c>
      <c r="H3" s="23" t="s">
        <v>42</v>
      </c>
      <c r="I3" s="23" t="s">
        <v>65</v>
      </c>
    </row>
    <row r="4" spans="1:16" x14ac:dyDescent="0.2">
      <c r="A4" s="23" t="s">
        <v>29</v>
      </c>
      <c r="B4" s="23" t="s">
        <v>62</v>
      </c>
      <c r="E4" s="23" t="s">
        <v>38</v>
      </c>
      <c r="F4" s="22" t="s">
        <v>64</v>
      </c>
      <c r="H4" s="23" t="s">
        <v>43</v>
      </c>
      <c r="I4" s="22" t="s">
        <v>66</v>
      </c>
    </row>
    <row r="5" spans="1:16" x14ac:dyDescent="0.2">
      <c r="A5" s="23" t="s">
        <v>30</v>
      </c>
      <c r="B5" s="23">
        <v>0</v>
      </c>
      <c r="E5" s="23" t="s">
        <v>39</v>
      </c>
      <c r="F5" s="22" t="s">
        <v>64</v>
      </c>
      <c r="H5" s="23" t="s">
        <v>44</v>
      </c>
      <c r="I5" s="23" t="s">
        <v>65</v>
      </c>
    </row>
    <row r="6" spans="1:16" x14ac:dyDescent="0.2">
      <c r="A6" s="23" t="s">
        <v>31</v>
      </c>
      <c r="E6" s="23" t="s">
        <v>40</v>
      </c>
      <c r="F6" s="22" t="s">
        <v>63</v>
      </c>
      <c r="H6" s="23" t="s">
        <v>45</v>
      </c>
      <c r="I6" s="22" t="s">
        <v>66</v>
      </c>
    </row>
    <row r="7" spans="1:16" x14ac:dyDescent="0.2">
      <c r="A7" s="23" t="s">
        <v>32</v>
      </c>
      <c r="E7" s="23" t="s">
        <v>35</v>
      </c>
      <c r="F7" s="22" t="s">
        <v>106</v>
      </c>
    </row>
    <row r="8" spans="1:16" x14ac:dyDescent="0.2">
      <c r="A8" s="23" t="s">
        <v>33</v>
      </c>
      <c r="B8" s="23">
        <v>16</v>
      </c>
    </row>
    <row r="10" spans="1:16" x14ac:dyDescent="0.2">
      <c r="A10" s="23" t="s">
        <v>47</v>
      </c>
      <c r="B10" s="23" t="s">
        <v>48</v>
      </c>
      <c r="C10" s="23" t="s">
        <v>49</v>
      </c>
      <c r="D10" s="23" t="s">
        <v>50</v>
      </c>
      <c r="E10" s="23" t="s">
        <v>51</v>
      </c>
      <c r="F10" s="23" t="s">
        <v>52</v>
      </c>
      <c r="G10" s="23" t="s">
        <v>53</v>
      </c>
      <c r="H10" s="23" t="s">
        <v>54</v>
      </c>
      <c r="I10" s="23" t="s">
        <v>55</v>
      </c>
      <c r="J10" s="23" t="s">
        <v>56</v>
      </c>
      <c r="K10" s="23" t="s">
        <v>57</v>
      </c>
      <c r="L10" s="23" t="s">
        <v>28</v>
      </c>
      <c r="M10" s="23" t="s">
        <v>58</v>
      </c>
      <c r="N10" s="23" t="s">
        <v>59</v>
      </c>
      <c r="O10" s="23" t="s">
        <v>60</v>
      </c>
      <c r="P10" s="23" t="s">
        <v>61</v>
      </c>
    </row>
    <row r="11" spans="1:16" x14ac:dyDescent="0.2">
      <c r="A11" s="23" t="e">
        <f>'Finishers model '!#REF!</f>
        <v>#REF!</v>
      </c>
      <c r="B11" s="23" t="str">
        <f>B1</f>
        <v>TDS Risk Analysis: Feedlot Cattle Consuming Finishing Diets</v>
      </c>
      <c r="C11" s="23">
        <v>0</v>
      </c>
      <c r="I11" s="23" t="s">
        <v>68</v>
      </c>
      <c r="J11" s="23" t="e">
        <f>'Finishers model '!#REF!</f>
        <v>#REF!</v>
      </c>
      <c r="K11" s="23" t="e">
        <f>'Finishers model '!#REF!</f>
        <v>#REF!</v>
      </c>
      <c r="L11" s="23" t="s">
        <v>100</v>
      </c>
      <c r="M11" s="22" t="s">
        <v>69</v>
      </c>
      <c r="O11" s="23" t="e">
        <f>'Finishers model '!#REF!</f>
        <v>#REF!</v>
      </c>
      <c r="P11" s="23" t="b">
        <v>0</v>
      </c>
    </row>
    <row r="12" spans="1:16" x14ac:dyDescent="0.2">
      <c r="A12" s="23" t="e">
        <f>'Finishers model '!#REF!</f>
        <v>#REF!</v>
      </c>
      <c r="B12" s="22" t="s">
        <v>90</v>
      </c>
      <c r="C12" s="23">
        <v>0</v>
      </c>
      <c r="I12" s="23" t="s">
        <v>68</v>
      </c>
      <c r="J12" s="23" t="e">
        <f>'Finishers model '!#REF!</f>
        <v>#REF!</v>
      </c>
      <c r="K12" s="23" t="e">
        <f>'Finishers model '!#REF!</f>
        <v>#REF!</v>
      </c>
      <c r="L12" s="23" t="s">
        <v>101</v>
      </c>
      <c r="M12" s="22" t="s">
        <v>69</v>
      </c>
      <c r="O12" s="23" t="e">
        <f>'Finishers model '!#REF!</f>
        <v>#REF!</v>
      </c>
      <c r="P12" s="23" t="b">
        <v>0</v>
      </c>
    </row>
    <row r="13" spans="1:16" x14ac:dyDescent="0.2">
      <c r="A13" s="23" t="e">
        <f>'Finishers model '!#REF!</f>
        <v>#REF!</v>
      </c>
      <c r="B13" s="22" t="s">
        <v>73</v>
      </c>
      <c r="C13" s="23">
        <v>0</v>
      </c>
      <c r="H13" s="23" t="s">
        <v>68</v>
      </c>
      <c r="I13" s="23" t="s">
        <v>68</v>
      </c>
      <c r="J13" s="23" t="e">
        <f>'Finishers model '!#REF!</f>
        <v>#REF!</v>
      </c>
      <c r="K13" s="23" t="e">
        <f>'Finishers model '!#REF!</f>
        <v>#REF!</v>
      </c>
      <c r="L13" s="23" t="s">
        <v>93</v>
      </c>
      <c r="M13" s="22" t="s">
        <v>69</v>
      </c>
      <c r="P13" s="23" t="b">
        <v>0</v>
      </c>
    </row>
    <row r="14" spans="1:16" x14ac:dyDescent="0.2">
      <c r="A14" s="23" t="e">
        <f>'Finishers model '!#REF!</f>
        <v>#REF!</v>
      </c>
      <c r="B14" s="22" t="s">
        <v>74</v>
      </c>
      <c r="C14" s="23">
        <v>0</v>
      </c>
      <c r="H14" s="23" t="s">
        <v>68</v>
      </c>
      <c r="I14" s="23" t="s">
        <v>68</v>
      </c>
      <c r="J14" s="23" t="e">
        <f>'Finishers model '!#REF!</f>
        <v>#REF!</v>
      </c>
      <c r="K14" s="23" t="e">
        <f>'Finishers model '!#REF!</f>
        <v>#REF!</v>
      </c>
      <c r="L14" s="23" t="s">
        <v>93</v>
      </c>
      <c r="M14" s="22" t="s">
        <v>69</v>
      </c>
      <c r="P14" s="23" t="b">
        <v>0</v>
      </c>
    </row>
    <row r="15" spans="1:16" x14ac:dyDescent="0.2">
      <c r="A15" s="23" t="e">
        <f>'Finishers model '!#REF!</f>
        <v>#REF!</v>
      </c>
      <c r="B15" s="22" t="s">
        <v>91</v>
      </c>
      <c r="C15" s="23">
        <v>0</v>
      </c>
      <c r="I15" s="23" t="s">
        <v>68</v>
      </c>
      <c r="J15" s="23" t="e">
        <f>'Finishers model '!#REF!</f>
        <v>#REF!</v>
      </c>
      <c r="K15" s="23" t="e">
        <f>'Finishers model '!#REF!</f>
        <v>#REF!</v>
      </c>
      <c r="L15" s="23" t="s">
        <v>102</v>
      </c>
      <c r="M15" s="22" t="s">
        <v>69</v>
      </c>
      <c r="O15" s="23" t="e">
        <f>'Finishers model '!#REF!</f>
        <v>#REF!</v>
      </c>
      <c r="P15" s="23" t="b">
        <v>0</v>
      </c>
    </row>
    <row r="16" spans="1:16" x14ac:dyDescent="0.2">
      <c r="A16" s="23" t="e">
        <f>'Finishers model '!#REF!</f>
        <v>#REF!</v>
      </c>
      <c r="B16" s="22" t="s">
        <v>73</v>
      </c>
      <c r="C16" s="23">
        <v>0</v>
      </c>
      <c r="H16" s="23" t="s">
        <v>68</v>
      </c>
      <c r="I16" s="23" t="s">
        <v>68</v>
      </c>
      <c r="J16" s="23" t="e">
        <f>'Finishers model '!#REF!</f>
        <v>#REF!</v>
      </c>
      <c r="K16" s="23" t="e">
        <f>'Finishers model '!#REF!</f>
        <v>#REF!</v>
      </c>
      <c r="L16" s="23" t="s">
        <v>75</v>
      </c>
      <c r="M16" s="22" t="s">
        <v>69</v>
      </c>
      <c r="P16" s="23" t="b">
        <v>0</v>
      </c>
    </row>
    <row r="17" spans="1:16" x14ac:dyDescent="0.2">
      <c r="A17" s="23" t="e">
        <f>'Finishers model '!#REF!</f>
        <v>#REF!</v>
      </c>
      <c r="B17" s="22" t="s">
        <v>74</v>
      </c>
      <c r="C17" s="23">
        <v>0</v>
      </c>
      <c r="H17" s="23" t="s">
        <v>68</v>
      </c>
      <c r="I17" s="23" t="s">
        <v>68</v>
      </c>
      <c r="J17" s="23" t="e">
        <f>'Finishers model '!#REF!</f>
        <v>#REF!</v>
      </c>
      <c r="K17" s="23" t="e">
        <f>'Finishers model '!#REF!</f>
        <v>#REF!</v>
      </c>
      <c r="L17" s="23" t="s">
        <v>75</v>
      </c>
      <c r="M17" s="22" t="s">
        <v>69</v>
      </c>
      <c r="P17" s="23" t="b">
        <v>0</v>
      </c>
    </row>
    <row r="18" spans="1:16" x14ac:dyDescent="0.2">
      <c r="A18" s="23" t="e">
        <f>'Finishers model '!#REF!</f>
        <v>#REF!</v>
      </c>
      <c r="B18" s="22" t="s">
        <v>110</v>
      </c>
      <c r="C18" s="23">
        <v>0</v>
      </c>
      <c r="I18" s="23" t="s">
        <v>68</v>
      </c>
      <c r="J18" s="23" t="e">
        <f>'Finishers model '!#REF!</f>
        <v>#REF!</v>
      </c>
      <c r="K18" s="23" t="e">
        <f>'Finishers model '!#REF!</f>
        <v>#REF!</v>
      </c>
      <c r="L18" s="23" t="s">
        <v>95</v>
      </c>
      <c r="M18" s="22" t="s">
        <v>69</v>
      </c>
      <c r="O18" s="23" t="e">
        <f>'Finishers model '!#REF!</f>
        <v>#REF!</v>
      </c>
      <c r="P18" s="23" t="b">
        <v>0</v>
      </c>
    </row>
    <row r="19" spans="1:16" x14ac:dyDescent="0.2">
      <c r="A19" s="23" t="e">
        <f>'Finishers model '!#REF!</f>
        <v>#REF!</v>
      </c>
      <c r="B19" s="22" t="s">
        <v>73</v>
      </c>
      <c r="C19" s="23">
        <v>0</v>
      </c>
      <c r="H19" s="23" t="s">
        <v>68</v>
      </c>
      <c r="I19" s="23" t="s">
        <v>68</v>
      </c>
      <c r="J19" s="23" t="e">
        <f>'Finishers model '!#REF!</f>
        <v>#REF!</v>
      </c>
      <c r="K19" s="23" t="e">
        <f>'Finishers model '!#REF!</f>
        <v>#REF!</v>
      </c>
      <c r="L19" s="23" t="s">
        <v>77</v>
      </c>
      <c r="M19" s="22" t="s">
        <v>69</v>
      </c>
      <c r="P19" s="23" t="b">
        <v>0</v>
      </c>
    </row>
    <row r="20" spans="1:16" x14ac:dyDescent="0.2">
      <c r="A20" s="23" t="e">
        <f>'Finishers model '!#REF!</f>
        <v>#REF!</v>
      </c>
      <c r="B20" s="22" t="s">
        <v>74</v>
      </c>
      <c r="C20" s="23">
        <v>0</v>
      </c>
      <c r="H20" s="23" t="s">
        <v>68</v>
      </c>
      <c r="I20" s="23" t="s">
        <v>68</v>
      </c>
      <c r="J20" s="23" t="e">
        <f>'Finishers model '!#REF!</f>
        <v>#REF!</v>
      </c>
      <c r="K20" s="23" t="e">
        <f>'Finishers model '!#REF!</f>
        <v>#REF!</v>
      </c>
      <c r="L20" s="23" t="s">
        <v>77</v>
      </c>
      <c r="M20" s="22" t="s">
        <v>69</v>
      </c>
      <c r="P20" s="23" t="b">
        <v>0</v>
      </c>
    </row>
    <row r="21" spans="1:16" x14ac:dyDescent="0.2">
      <c r="A21" s="23" t="e">
        <f>'Finishers model '!#REF!</f>
        <v>#REF!</v>
      </c>
      <c r="B21" s="22" t="s">
        <v>92</v>
      </c>
      <c r="C21" s="23">
        <v>0</v>
      </c>
      <c r="I21" s="23" t="s">
        <v>68</v>
      </c>
      <c r="J21" s="23" t="e">
        <f>'Finishers model '!#REF!</f>
        <v>#REF!</v>
      </c>
      <c r="K21" s="23" t="e">
        <f>'Finishers model '!#REF!</f>
        <v>#REF!</v>
      </c>
      <c r="L21" s="23" t="s">
        <v>103</v>
      </c>
      <c r="M21" s="22" t="s">
        <v>69</v>
      </c>
      <c r="O21" s="23" t="e">
        <f>'Finishers model '!#REF!</f>
        <v>#REF!</v>
      </c>
      <c r="P21" s="23" t="b">
        <v>0</v>
      </c>
    </row>
    <row r="22" spans="1:16" x14ac:dyDescent="0.2">
      <c r="A22" s="23" t="e">
        <f>'Finishers model '!#REF!</f>
        <v>#REF!</v>
      </c>
      <c r="B22" s="22" t="s">
        <v>73</v>
      </c>
      <c r="C22" s="23">
        <v>0</v>
      </c>
      <c r="H22" s="23" t="s">
        <v>68</v>
      </c>
      <c r="I22" s="23" t="s">
        <v>68</v>
      </c>
      <c r="J22" s="23" t="e">
        <f>'Finishers model '!#REF!</f>
        <v>#REF!</v>
      </c>
      <c r="K22" s="23" t="e">
        <f>'Finishers model '!#REF!</f>
        <v>#REF!</v>
      </c>
      <c r="L22" s="23" t="s">
        <v>104</v>
      </c>
      <c r="M22" s="22" t="s">
        <v>69</v>
      </c>
      <c r="P22" s="23" t="b">
        <v>0</v>
      </c>
    </row>
    <row r="23" spans="1:16" x14ac:dyDescent="0.2">
      <c r="A23" s="23" t="e">
        <f>'Finishers model '!#REF!</f>
        <v>#REF!</v>
      </c>
      <c r="B23" s="22" t="s">
        <v>74</v>
      </c>
      <c r="C23" s="23">
        <v>0</v>
      </c>
      <c r="H23" s="23" t="s">
        <v>68</v>
      </c>
      <c r="I23" s="23" t="s">
        <v>68</v>
      </c>
      <c r="J23" s="23" t="e">
        <f>'Finishers model '!#REF!</f>
        <v>#REF!</v>
      </c>
      <c r="K23" s="23" t="e">
        <f>'Finishers model '!#REF!</f>
        <v>#REF!</v>
      </c>
      <c r="L23" s="23" t="s">
        <v>104</v>
      </c>
      <c r="M23" s="22" t="s">
        <v>69</v>
      </c>
      <c r="P23" s="23" t="b">
        <v>0</v>
      </c>
    </row>
    <row r="24" spans="1:16" x14ac:dyDescent="0.2">
      <c r="A24" s="23" t="e">
        <f>'Finishers model '!#REF!</f>
        <v>#REF!</v>
      </c>
      <c r="B24" s="22" t="s">
        <v>111</v>
      </c>
      <c r="C24" s="23">
        <v>0</v>
      </c>
      <c r="I24" s="23" t="s">
        <v>68</v>
      </c>
      <c r="J24" s="23" t="e">
        <f>'Finishers model '!#REF!</f>
        <v>#REF!</v>
      </c>
      <c r="K24" s="23" t="e">
        <f>'Finishers model '!#REF!</f>
        <v>#REF!</v>
      </c>
      <c r="L24" s="23" t="s">
        <v>99</v>
      </c>
      <c r="M24" s="22" t="s">
        <v>69</v>
      </c>
      <c r="O24" s="23" t="e">
        <f>'Finishers model '!#REF!</f>
        <v>#REF!</v>
      </c>
      <c r="P24" s="23" t="b">
        <v>0</v>
      </c>
    </row>
    <row r="25" spans="1:16" x14ac:dyDescent="0.2">
      <c r="A25" s="23" t="e">
        <f>'Finishers model '!#REF!</f>
        <v>#REF!</v>
      </c>
      <c r="B25" s="22" t="s">
        <v>73</v>
      </c>
      <c r="C25" s="23">
        <v>0</v>
      </c>
      <c r="H25" s="23" t="s">
        <v>68</v>
      </c>
      <c r="I25" s="23" t="s">
        <v>68</v>
      </c>
      <c r="J25" s="23" t="e">
        <f>'Finishers model '!#REF!</f>
        <v>#REF!</v>
      </c>
      <c r="K25" s="23" t="e">
        <f>'Finishers model '!#REF!</f>
        <v>#REF!</v>
      </c>
      <c r="L25" s="23" t="s">
        <v>105</v>
      </c>
      <c r="M25" s="22" t="s">
        <v>69</v>
      </c>
      <c r="P25" s="23" t="b">
        <v>0</v>
      </c>
    </row>
    <row r="26" spans="1:16" x14ac:dyDescent="0.2">
      <c r="A26" s="23" t="e">
        <f>'Finishers model '!#REF!</f>
        <v>#REF!</v>
      </c>
      <c r="B26" s="22" t="s">
        <v>74</v>
      </c>
      <c r="C26" s="23">
        <v>0</v>
      </c>
      <c r="H26" s="23" t="s">
        <v>68</v>
      </c>
      <c r="I26" s="23" t="s">
        <v>68</v>
      </c>
      <c r="J26" s="23" t="e">
        <f>'Finishers model '!#REF!</f>
        <v>#REF!</v>
      </c>
      <c r="K26" s="23" t="e">
        <f>'Finishers model '!#REF!</f>
        <v>#REF!</v>
      </c>
      <c r="L26" s="23" t="s">
        <v>105</v>
      </c>
      <c r="M26" s="22" t="s">
        <v>69</v>
      </c>
      <c r="P26" s="23" t="b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8"/>
  <sheetViews>
    <sheetView workbookViewId="0"/>
  </sheetViews>
  <sheetFormatPr baseColWidth="10" defaultColWidth="15.6640625" defaultRowHeight="16" x14ac:dyDescent="0.2"/>
  <cols>
    <col min="1" max="16384" width="15.6640625" style="23"/>
  </cols>
  <sheetData>
    <row r="1" spans="1:16" x14ac:dyDescent="0.2">
      <c r="A1" s="23" t="s">
        <v>26</v>
      </c>
      <c r="B1" s="22" t="s">
        <v>108</v>
      </c>
      <c r="E1" s="23" t="s">
        <v>34</v>
      </c>
      <c r="F1" s="23">
        <v>3</v>
      </c>
      <c r="H1" s="23" t="s">
        <v>41</v>
      </c>
      <c r="I1" s="22" t="s">
        <v>67</v>
      </c>
      <c r="K1" s="23" t="s">
        <v>46</v>
      </c>
      <c r="L1" s="23">
        <v>100</v>
      </c>
    </row>
    <row r="2" spans="1:16" x14ac:dyDescent="0.2">
      <c r="A2" s="23" t="s">
        <v>27</v>
      </c>
      <c r="B2" s="23" t="e">
        <f>'Growers model'!#REF!</f>
        <v>#REF!</v>
      </c>
      <c r="E2" s="23" t="s">
        <v>36</v>
      </c>
      <c r="F2" s="23" t="e">
        <f ca="1">_xll.PTreeEvaluate5(B3,$L$11:$L$28,$J$11:$J$28,$K$11:$K$28,$N$11:$N$28,$G$11:$G$28,,L1)</f>
        <v>#NAME?</v>
      </c>
    </row>
    <row r="3" spans="1:16" x14ac:dyDescent="0.2">
      <c r="A3" s="23" t="s">
        <v>28</v>
      </c>
      <c r="B3" s="23" t="s">
        <v>79</v>
      </c>
      <c r="E3" s="23" t="s">
        <v>37</v>
      </c>
      <c r="F3" s="22" t="s">
        <v>63</v>
      </c>
      <c r="H3" s="23" t="s">
        <v>42</v>
      </c>
      <c r="I3" s="23" t="s">
        <v>65</v>
      </c>
    </row>
    <row r="4" spans="1:16" x14ac:dyDescent="0.2">
      <c r="A4" s="23" t="s">
        <v>29</v>
      </c>
      <c r="B4" s="23" t="s">
        <v>62</v>
      </c>
      <c r="E4" s="23" t="s">
        <v>38</v>
      </c>
      <c r="F4" s="22" t="s">
        <v>64</v>
      </c>
      <c r="H4" s="23" t="s">
        <v>43</v>
      </c>
      <c r="I4" s="22" t="s">
        <v>66</v>
      </c>
    </row>
    <row r="5" spans="1:16" x14ac:dyDescent="0.2">
      <c r="A5" s="23" t="s">
        <v>30</v>
      </c>
      <c r="B5" s="23">
        <v>0</v>
      </c>
      <c r="E5" s="23" t="s">
        <v>39</v>
      </c>
      <c r="F5" s="22" t="s">
        <v>64</v>
      </c>
      <c r="H5" s="23" t="s">
        <v>44</v>
      </c>
      <c r="I5" s="23" t="s">
        <v>65</v>
      </c>
    </row>
    <row r="6" spans="1:16" x14ac:dyDescent="0.2">
      <c r="A6" s="23" t="s">
        <v>31</v>
      </c>
      <c r="E6" s="23" t="s">
        <v>40</v>
      </c>
      <c r="F6" s="22" t="s">
        <v>63</v>
      </c>
      <c r="H6" s="23" t="s">
        <v>45</v>
      </c>
      <c r="I6" s="22" t="s">
        <v>66</v>
      </c>
    </row>
    <row r="7" spans="1:16" x14ac:dyDescent="0.2">
      <c r="A7" s="23" t="s">
        <v>32</v>
      </c>
      <c r="E7" s="23" t="s">
        <v>35</v>
      </c>
      <c r="F7" s="22" t="s">
        <v>78</v>
      </c>
    </row>
    <row r="8" spans="1:16" x14ac:dyDescent="0.2">
      <c r="A8" s="23" t="s">
        <v>33</v>
      </c>
      <c r="B8" s="23">
        <v>18</v>
      </c>
    </row>
    <row r="10" spans="1:16" x14ac:dyDescent="0.2">
      <c r="A10" s="23" t="s">
        <v>47</v>
      </c>
      <c r="B10" s="23" t="s">
        <v>48</v>
      </c>
      <c r="C10" s="23" t="s">
        <v>49</v>
      </c>
      <c r="D10" s="23" t="s">
        <v>50</v>
      </c>
      <c r="E10" s="23" t="s">
        <v>51</v>
      </c>
      <c r="F10" s="23" t="s">
        <v>52</v>
      </c>
      <c r="G10" s="23" t="s">
        <v>53</v>
      </c>
      <c r="H10" s="23" t="s">
        <v>54</v>
      </c>
      <c r="I10" s="23" t="s">
        <v>55</v>
      </c>
      <c r="J10" s="23" t="s">
        <v>56</v>
      </c>
      <c r="K10" s="23" t="s">
        <v>57</v>
      </c>
      <c r="L10" s="23" t="s">
        <v>28</v>
      </c>
      <c r="M10" s="23" t="s">
        <v>58</v>
      </c>
      <c r="N10" s="23" t="s">
        <v>59</v>
      </c>
      <c r="O10" s="23" t="s">
        <v>60</v>
      </c>
      <c r="P10" s="23" t="s">
        <v>61</v>
      </c>
    </row>
    <row r="11" spans="1:16" x14ac:dyDescent="0.2">
      <c r="A11" s="23">
        <f>'Growers model'!$B$45</f>
        <v>0</v>
      </c>
      <c r="B11" s="23" t="str">
        <f>B1</f>
        <v>RDS Risk Analysis: Feedlot Cattle Consuming Background Diets</v>
      </c>
      <c r="C11" s="23">
        <v>0</v>
      </c>
      <c r="I11" s="23" t="s">
        <v>68</v>
      </c>
      <c r="J11" s="23">
        <f>'Growers model'!$A$45</f>
        <v>0</v>
      </c>
      <c r="K11" s="28">
        <f>'Growers model'!$A$44</f>
        <v>100000</v>
      </c>
      <c r="L11" s="23" t="s">
        <v>100</v>
      </c>
      <c r="M11" s="22" t="s">
        <v>69</v>
      </c>
      <c r="O11" s="23" t="str">
        <f>'Growers model'!$B$44</f>
        <v>Forage Levels, % diet DM</v>
      </c>
      <c r="P11" s="23" t="b">
        <v>0</v>
      </c>
    </row>
    <row r="12" spans="1:16" x14ac:dyDescent="0.2">
      <c r="A12" s="23">
        <f>'Growers model'!$C$41</f>
        <v>0</v>
      </c>
      <c r="B12" s="22" t="s">
        <v>90</v>
      </c>
      <c r="C12" s="23">
        <v>0</v>
      </c>
      <c r="I12" s="23" t="s">
        <v>68</v>
      </c>
      <c r="J12" s="23">
        <f>'Growers model'!$B$41</f>
        <v>20000</v>
      </c>
      <c r="K12" s="23">
        <f>'Growers model'!$B$40</f>
        <v>0.2</v>
      </c>
      <c r="L12" s="23" t="s">
        <v>101</v>
      </c>
      <c r="M12" s="22" t="s">
        <v>69</v>
      </c>
      <c r="O12" s="23" t="str">
        <f>'Growers model'!$C$40</f>
        <v>S-Induced Effects</v>
      </c>
      <c r="P12" s="23" t="b">
        <v>0</v>
      </c>
    </row>
    <row r="13" spans="1:16" x14ac:dyDescent="0.2">
      <c r="A13" s="23">
        <f>'Growers model'!$D$39</f>
        <v>0</v>
      </c>
      <c r="B13" s="22" t="s">
        <v>73</v>
      </c>
      <c r="C13" s="23">
        <v>0</v>
      </c>
      <c r="H13" s="23" t="s">
        <v>68</v>
      </c>
      <c r="I13" s="23" t="s">
        <v>68</v>
      </c>
      <c r="J13" s="23" t="e">
        <f ca="1">'Growers model'!$C$39</f>
        <v>#NAME?</v>
      </c>
      <c r="K13" s="23" t="e">
        <f ca="1">'Growers model'!$C$38</f>
        <v>#NAME?</v>
      </c>
      <c r="L13" s="23" t="s">
        <v>93</v>
      </c>
      <c r="M13" s="22" t="s">
        <v>69</v>
      </c>
      <c r="P13" s="23" t="b">
        <v>0</v>
      </c>
    </row>
    <row r="14" spans="1:16" x14ac:dyDescent="0.2">
      <c r="A14" s="23">
        <f>'Growers model'!$D$43</f>
        <v>0</v>
      </c>
      <c r="B14" s="22" t="s">
        <v>74</v>
      </c>
      <c r="C14" s="23">
        <v>0</v>
      </c>
      <c r="H14" s="23" t="s">
        <v>68</v>
      </c>
      <c r="I14" s="23" t="s">
        <v>68</v>
      </c>
      <c r="J14" s="23" t="e">
        <f ca="1">'Growers model'!$C$43</f>
        <v>#NAME?</v>
      </c>
      <c r="K14" s="23" t="e">
        <f ca="1">'Growers model'!$C$42</f>
        <v>#NAME?</v>
      </c>
      <c r="L14" s="23" t="s">
        <v>93</v>
      </c>
      <c r="M14" s="22" t="s">
        <v>69</v>
      </c>
      <c r="P14" s="23" t="b">
        <v>0</v>
      </c>
    </row>
    <row r="15" spans="1:16" x14ac:dyDescent="0.2">
      <c r="A15" s="23">
        <f>'Growers model'!$C$49</f>
        <v>0</v>
      </c>
      <c r="B15" s="22" t="s">
        <v>91</v>
      </c>
      <c r="C15" s="23">
        <v>0</v>
      </c>
      <c r="I15" s="23" t="s">
        <v>68</v>
      </c>
      <c r="J15" s="23">
        <f>'Growers model'!$B$49</f>
        <v>20000</v>
      </c>
      <c r="K15" s="23">
        <f>'Growers model'!$B$48</f>
        <v>0.2</v>
      </c>
      <c r="L15" s="23" t="s">
        <v>102</v>
      </c>
      <c r="M15" s="22" t="s">
        <v>69</v>
      </c>
      <c r="O15" s="23" t="str">
        <f>'Growers model'!$C$48</f>
        <v>S-Induced Effects</v>
      </c>
      <c r="P15" s="23" t="b">
        <v>0</v>
      </c>
    </row>
    <row r="16" spans="1:16" x14ac:dyDescent="0.2">
      <c r="A16" s="23">
        <f>'Growers model'!$D$47</f>
        <v>0</v>
      </c>
      <c r="B16" s="22" t="s">
        <v>73</v>
      </c>
      <c r="C16" s="23">
        <v>0</v>
      </c>
      <c r="H16" s="23" t="s">
        <v>68</v>
      </c>
      <c r="I16" s="23" t="s">
        <v>68</v>
      </c>
      <c r="J16" s="23" t="e">
        <f ca="1">'Growers model'!$C$47</f>
        <v>#NAME?</v>
      </c>
      <c r="K16" s="23" t="e">
        <f ca="1">'Growers model'!$C$46</f>
        <v>#NAME?</v>
      </c>
      <c r="L16" s="23" t="s">
        <v>75</v>
      </c>
      <c r="M16" s="22" t="s">
        <v>69</v>
      </c>
      <c r="P16" s="23" t="b">
        <v>0</v>
      </c>
    </row>
    <row r="17" spans="1:16" x14ac:dyDescent="0.2">
      <c r="A17" s="23">
        <f>'Growers model'!$D$51</f>
        <v>0</v>
      </c>
      <c r="B17" s="22" t="s">
        <v>74</v>
      </c>
      <c r="C17" s="23">
        <v>0</v>
      </c>
      <c r="H17" s="23" t="s">
        <v>68</v>
      </c>
      <c r="I17" s="23" t="s">
        <v>68</v>
      </c>
      <c r="J17" s="23" t="e">
        <f ca="1">'Growers model'!$C$51</f>
        <v>#NAME?</v>
      </c>
      <c r="K17" s="23" t="e">
        <f ca="1">'Growers model'!$C$50</f>
        <v>#NAME?</v>
      </c>
      <c r="L17" s="23" t="s">
        <v>75</v>
      </c>
      <c r="M17" s="22" t="s">
        <v>69</v>
      </c>
      <c r="P17" s="23" t="b">
        <v>0</v>
      </c>
    </row>
    <row r="18" spans="1:16" x14ac:dyDescent="0.2">
      <c r="A18" s="23">
        <f>'Growers model'!$C$56</f>
        <v>0</v>
      </c>
      <c r="B18" s="22" t="s">
        <v>110</v>
      </c>
      <c r="C18" s="23">
        <v>0</v>
      </c>
      <c r="I18" s="23" t="s">
        <v>68</v>
      </c>
      <c r="J18" s="23">
        <f>'Growers model'!$B$56</f>
        <v>20000</v>
      </c>
      <c r="K18" s="23">
        <f>'Growers model'!$B$55</f>
        <v>0.2</v>
      </c>
      <c r="L18" s="23" t="s">
        <v>95</v>
      </c>
      <c r="M18" s="22" t="s">
        <v>69</v>
      </c>
      <c r="O18" s="23" t="str">
        <f>'Growers model'!$C$55</f>
        <v>S-Induced Effects</v>
      </c>
      <c r="P18" s="23" t="b">
        <v>0</v>
      </c>
    </row>
    <row r="19" spans="1:16" x14ac:dyDescent="0.2">
      <c r="A19" s="23">
        <f>'Growers model'!$D$54</f>
        <v>0</v>
      </c>
      <c r="B19" s="22" t="s">
        <v>73</v>
      </c>
      <c r="C19" s="23">
        <v>0</v>
      </c>
      <c r="H19" s="23" t="s">
        <v>68</v>
      </c>
      <c r="I19" s="23" t="s">
        <v>68</v>
      </c>
      <c r="J19" s="23" t="e">
        <f ca="1">'Growers model'!$C$54</f>
        <v>#NAME?</v>
      </c>
      <c r="K19" s="23" t="e">
        <f ca="1">'Growers model'!$C$53</f>
        <v>#NAME?</v>
      </c>
      <c r="L19" s="23" t="s">
        <v>77</v>
      </c>
      <c r="M19" s="22" t="s">
        <v>69</v>
      </c>
      <c r="P19" s="23" t="b">
        <v>0</v>
      </c>
    </row>
    <row r="20" spans="1:16" x14ac:dyDescent="0.2">
      <c r="A20" s="23">
        <f>'Growers model'!$D$58</f>
        <v>0</v>
      </c>
      <c r="B20" s="22" t="s">
        <v>74</v>
      </c>
      <c r="C20" s="23">
        <v>0</v>
      </c>
      <c r="H20" s="23" t="s">
        <v>68</v>
      </c>
      <c r="I20" s="23" t="s">
        <v>68</v>
      </c>
      <c r="J20" s="23" t="e">
        <f ca="1">'Growers model'!$C$58</f>
        <v>#NAME?</v>
      </c>
      <c r="K20" s="23" t="e">
        <f ca="1">'Growers model'!$C$57</f>
        <v>#NAME?</v>
      </c>
      <c r="L20" s="23" t="s">
        <v>77</v>
      </c>
      <c r="M20" s="22" t="s">
        <v>69</v>
      </c>
      <c r="P20" s="23" t="b">
        <v>0</v>
      </c>
    </row>
    <row r="21" spans="1:16" x14ac:dyDescent="0.2">
      <c r="A21" s="23">
        <f>'Growers model'!$C$63</f>
        <v>0</v>
      </c>
      <c r="B21" s="22" t="s">
        <v>92</v>
      </c>
      <c r="C21" s="23">
        <v>0</v>
      </c>
      <c r="I21" s="23" t="s">
        <v>68</v>
      </c>
      <c r="J21" s="23">
        <f>'Growers model'!$B$63</f>
        <v>20000</v>
      </c>
      <c r="K21" s="23">
        <f>'Growers model'!$B$62</f>
        <v>0.2</v>
      </c>
      <c r="L21" s="23" t="s">
        <v>103</v>
      </c>
      <c r="M21" s="22" t="s">
        <v>69</v>
      </c>
      <c r="O21" s="23" t="str">
        <f>'Growers model'!$C$62</f>
        <v>S-Induced Effects</v>
      </c>
      <c r="P21" s="23" t="b">
        <v>0</v>
      </c>
    </row>
    <row r="22" spans="1:16" x14ac:dyDescent="0.2">
      <c r="A22" s="23">
        <f>'Growers model'!$D$61</f>
        <v>0</v>
      </c>
      <c r="B22" s="22" t="s">
        <v>73</v>
      </c>
      <c r="C22" s="23">
        <v>0</v>
      </c>
      <c r="H22" s="23" t="s">
        <v>68</v>
      </c>
      <c r="I22" s="23" t="s">
        <v>68</v>
      </c>
      <c r="J22" s="23" t="e">
        <f ca="1">'Growers model'!$C$61</f>
        <v>#NAME?</v>
      </c>
      <c r="K22" s="23" t="e">
        <f ca="1">'Growers model'!$C$60</f>
        <v>#NAME?</v>
      </c>
      <c r="L22" s="23" t="s">
        <v>104</v>
      </c>
      <c r="M22" s="22" t="s">
        <v>69</v>
      </c>
      <c r="P22" s="23" t="b">
        <v>0</v>
      </c>
    </row>
    <row r="23" spans="1:16" x14ac:dyDescent="0.2">
      <c r="A23" s="23">
        <f>'Growers model'!$D$65</f>
        <v>0</v>
      </c>
      <c r="B23" s="22" t="s">
        <v>74</v>
      </c>
      <c r="C23" s="23">
        <v>0</v>
      </c>
      <c r="H23" s="23" t="s">
        <v>68</v>
      </c>
      <c r="I23" s="23" t="s">
        <v>68</v>
      </c>
      <c r="J23" s="23" t="e">
        <f ca="1">'Growers model'!$C$65</f>
        <v>#NAME?</v>
      </c>
      <c r="K23" s="23" t="e">
        <f ca="1">'Growers model'!$C$64</f>
        <v>#NAME?</v>
      </c>
      <c r="L23" s="23" t="s">
        <v>104</v>
      </c>
      <c r="M23" s="22" t="s">
        <v>69</v>
      </c>
      <c r="P23" s="23" t="b">
        <v>0</v>
      </c>
    </row>
    <row r="24" spans="1:16" x14ac:dyDescent="0.2">
      <c r="A24" s="23">
        <f>'Growers model'!$C$70</f>
        <v>0</v>
      </c>
      <c r="B24" s="22" t="s">
        <v>111</v>
      </c>
      <c r="C24" s="23">
        <v>0</v>
      </c>
      <c r="I24" s="23" t="s">
        <v>68</v>
      </c>
      <c r="J24" s="23">
        <f>'Growers model'!$B$70</f>
        <v>20000</v>
      </c>
      <c r="K24" s="23">
        <f>'Growers model'!$B$69</f>
        <v>0.2</v>
      </c>
      <c r="L24" s="23" t="s">
        <v>99</v>
      </c>
      <c r="M24" s="22" t="s">
        <v>69</v>
      </c>
      <c r="O24" s="23" t="str">
        <f>'Growers model'!$C$69</f>
        <v>S-Induced Effects</v>
      </c>
      <c r="P24" s="23" t="b">
        <v>0</v>
      </c>
    </row>
    <row r="25" spans="1:16" x14ac:dyDescent="0.2">
      <c r="A25" s="23">
        <f>'Growers model'!$D$68</f>
        <v>0</v>
      </c>
      <c r="B25" s="22" t="s">
        <v>73</v>
      </c>
      <c r="C25" s="23">
        <v>0</v>
      </c>
      <c r="H25" s="23" t="s">
        <v>68</v>
      </c>
      <c r="I25" s="23" t="s">
        <v>68</v>
      </c>
      <c r="J25" s="23" t="e">
        <f ca="1">'Growers model'!$C$68</f>
        <v>#NAME?</v>
      </c>
      <c r="K25" s="23" t="e">
        <f ca="1">'Growers model'!$C$67</f>
        <v>#NAME?</v>
      </c>
      <c r="L25" s="23" t="s">
        <v>105</v>
      </c>
      <c r="M25" s="22" t="s">
        <v>69</v>
      </c>
      <c r="P25" s="23" t="b">
        <v>0</v>
      </c>
    </row>
    <row r="26" spans="1:16" x14ac:dyDescent="0.2">
      <c r="A26" s="23">
        <f>'Growers model'!$D$72</f>
        <v>0</v>
      </c>
      <c r="B26" s="22" t="s">
        <v>74</v>
      </c>
      <c r="C26" s="23">
        <v>0</v>
      </c>
      <c r="H26" s="23" t="s">
        <v>68</v>
      </c>
      <c r="I26" s="23" t="s">
        <v>68</v>
      </c>
      <c r="J26" s="23" t="e">
        <f ca="1">'Growers model'!$C$72</f>
        <v>#NAME?</v>
      </c>
      <c r="K26" s="23" t="e">
        <f ca="1">'Growers model'!$C$71</f>
        <v>#NAME?</v>
      </c>
      <c r="L26" s="23" t="s">
        <v>105</v>
      </c>
      <c r="M26" s="22" t="s">
        <v>69</v>
      </c>
      <c r="P26" s="23" t="b">
        <v>0</v>
      </c>
    </row>
    <row r="27" spans="1:16" x14ac:dyDescent="0.2">
      <c r="B27" s="22"/>
      <c r="M27" s="22"/>
    </row>
    <row r="28" spans="1:16" x14ac:dyDescent="0.2">
      <c r="B28" s="22"/>
      <c r="M28" s="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ColWidth="8.83203125" defaultRowHeight="16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8"/>
  <sheetViews>
    <sheetView workbookViewId="0"/>
  </sheetViews>
  <sheetFormatPr baseColWidth="10" defaultColWidth="15.6640625" defaultRowHeight="16" x14ac:dyDescent="0.2"/>
  <cols>
    <col min="1" max="16384" width="15.6640625" style="23"/>
  </cols>
  <sheetData>
    <row r="1" spans="1:16" x14ac:dyDescent="0.2">
      <c r="A1" s="23" t="s">
        <v>26</v>
      </c>
      <c r="B1" s="22" t="s">
        <v>109</v>
      </c>
      <c r="E1" s="23" t="s">
        <v>34</v>
      </c>
      <c r="F1" s="23">
        <v>3</v>
      </c>
      <c r="H1" s="23" t="s">
        <v>41</v>
      </c>
      <c r="I1" s="22" t="s">
        <v>67</v>
      </c>
      <c r="K1" s="23" t="s">
        <v>46</v>
      </c>
      <c r="L1" s="23">
        <v>100</v>
      </c>
    </row>
    <row r="2" spans="1:16" x14ac:dyDescent="0.2">
      <c r="A2" s="23" t="s">
        <v>27</v>
      </c>
      <c r="B2" s="23" t="e">
        <f>'Growers model'!#REF!</f>
        <v>#REF!</v>
      </c>
      <c r="E2" s="23" t="s">
        <v>36</v>
      </c>
      <c r="F2" s="23" t="e">
        <f ca="1">_xll.PTreeEvaluate5(B3,$L$11:$L$28,$J$11:$J$28,$K$11:$K$28,$N$11:$N$28,$G$11:$G$28,,L1)</f>
        <v>#NAME?</v>
      </c>
    </row>
    <row r="3" spans="1:16" x14ac:dyDescent="0.2">
      <c r="A3" s="23" t="s">
        <v>28</v>
      </c>
      <c r="B3" s="23" t="s">
        <v>70</v>
      </c>
      <c r="E3" s="23" t="s">
        <v>37</v>
      </c>
      <c r="F3" s="22" t="s">
        <v>63</v>
      </c>
      <c r="H3" s="23" t="s">
        <v>42</v>
      </c>
      <c r="I3" s="23" t="s">
        <v>65</v>
      </c>
    </row>
    <row r="4" spans="1:16" x14ac:dyDescent="0.2">
      <c r="A4" s="23" t="s">
        <v>29</v>
      </c>
      <c r="B4" s="23" t="s">
        <v>62</v>
      </c>
      <c r="E4" s="23" t="s">
        <v>38</v>
      </c>
      <c r="F4" s="22" t="s">
        <v>64</v>
      </c>
      <c r="H4" s="23" t="s">
        <v>43</v>
      </c>
      <c r="I4" s="22" t="s">
        <v>66</v>
      </c>
    </row>
    <row r="5" spans="1:16" x14ac:dyDescent="0.2">
      <c r="A5" s="23" t="s">
        <v>30</v>
      </c>
      <c r="B5" s="23">
        <v>0</v>
      </c>
      <c r="E5" s="23" t="s">
        <v>39</v>
      </c>
      <c r="F5" s="22" t="s">
        <v>64</v>
      </c>
      <c r="H5" s="23" t="s">
        <v>44</v>
      </c>
      <c r="I5" s="23" t="s">
        <v>65</v>
      </c>
    </row>
    <row r="6" spans="1:16" x14ac:dyDescent="0.2">
      <c r="A6" s="23" t="s">
        <v>31</v>
      </c>
      <c r="E6" s="23" t="s">
        <v>40</v>
      </c>
      <c r="F6" s="22" t="s">
        <v>63</v>
      </c>
      <c r="H6" s="23" t="s">
        <v>45</v>
      </c>
      <c r="I6" s="22" t="s">
        <v>66</v>
      </c>
    </row>
    <row r="7" spans="1:16" x14ac:dyDescent="0.2">
      <c r="A7" s="23" t="s">
        <v>32</v>
      </c>
      <c r="E7" s="23" t="s">
        <v>35</v>
      </c>
      <c r="F7" s="22" t="s">
        <v>25</v>
      </c>
    </row>
    <row r="8" spans="1:16" x14ac:dyDescent="0.2">
      <c r="A8" s="23" t="s">
        <v>33</v>
      </c>
      <c r="B8" s="23">
        <v>18</v>
      </c>
    </row>
    <row r="10" spans="1:16" x14ac:dyDescent="0.2">
      <c r="A10" s="23" t="s">
        <v>47</v>
      </c>
      <c r="B10" s="23" t="s">
        <v>48</v>
      </c>
      <c r="C10" s="23" t="s">
        <v>49</v>
      </c>
      <c r="D10" s="23" t="s">
        <v>50</v>
      </c>
      <c r="E10" s="23" t="s">
        <v>51</v>
      </c>
      <c r="F10" s="23" t="s">
        <v>52</v>
      </c>
      <c r="G10" s="23" t="s">
        <v>53</v>
      </c>
      <c r="H10" s="23" t="s">
        <v>54</v>
      </c>
      <c r="I10" s="23" t="s">
        <v>55</v>
      </c>
      <c r="J10" s="23" t="s">
        <v>56</v>
      </c>
      <c r="K10" s="23" t="s">
        <v>57</v>
      </c>
      <c r="L10" s="23" t="s">
        <v>28</v>
      </c>
      <c r="M10" s="23" t="s">
        <v>58</v>
      </c>
      <c r="N10" s="23" t="s">
        <v>59</v>
      </c>
      <c r="O10" s="23" t="s">
        <v>60</v>
      </c>
      <c r="P10" s="23" t="s">
        <v>61</v>
      </c>
    </row>
    <row r="11" spans="1:16" x14ac:dyDescent="0.2">
      <c r="A11" s="23" t="e">
        <f>'Growers model'!#REF!</f>
        <v>#REF!</v>
      </c>
      <c r="B11" s="23" t="str">
        <f>B1</f>
        <v>TDS Risk Analysis: Feedlot Cattle Consuming Background Diets</v>
      </c>
      <c r="C11" s="23">
        <v>0</v>
      </c>
      <c r="I11" s="23" t="s">
        <v>68</v>
      </c>
      <c r="J11" s="23" t="e">
        <f>'Growers model'!#REF!</f>
        <v>#REF!</v>
      </c>
      <c r="K11" s="28" t="e">
        <f>'Growers model'!#REF!</f>
        <v>#REF!</v>
      </c>
      <c r="L11" s="23" t="s">
        <v>89</v>
      </c>
      <c r="M11" s="22" t="s">
        <v>69</v>
      </c>
      <c r="O11" s="23" t="e">
        <f>'Growers model'!#REF!</f>
        <v>#REF!</v>
      </c>
      <c r="P11" s="23" t="b">
        <v>0</v>
      </c>
    </row>
    <row r="12" spans="1:16" x14ac:dyDescent="0.2">
      <c r="A12" s="23" t="e">
        <f>'Growers model'!#REF!</f>
        <v>#REF!</v>
      </c>
      <c r="B12" s="22" t="s">
        <v>90</v>
      </c>
      <c r="C12" s="23">
        <v>0</v>
      </c>
      <c r="I12" s="23" t="s">
        <v>68</v>
      </c>
      <c r="J12" s="23" t="e">
        <f>'Growers model'!#REF!</f>
        <v>#REF!</v>
      </c>
      <c r="K12" s="23" t="e">
        <f>'Growers model'!#REF!</f>
        <v>#REF!</v>
      </c>
      <c r="L12" s="23" t="s">
        <v>94</v>
      </c>
      <c r="M12" s="22" t="s">
        <v>69</v>
      </c>
      <c r="O12" s="23" t="e">
        <f>'Growers model'!#REF!</f>
        <v>#REF!</v>
      </c>
      <c r="P12" s="23" t="b">
        <v>0</v>
      </c>
    </row>
    <row r="13" spans="1:16" x14ac:dyDescent="0.2">
      <c r="A13" s="23" t="e">
        <f>'Growers model'!#REF!</f>
        <v>#REF!</v>
      </c>
      <c r="B13" s="22" t="s">
        <v>91</v>
      </c>
      <c r="C13" s="23">
        <v>0</v>
      </c>
      <c r="I13" s="23" t="s">
        <v>68</v>
      </c>
      <c r="J13" s="23" t="e">
        <f>'Growers model'!#REF!</f>
        <v>#REF!</v>
      </c>
      <c r="K13" s="23" t="e">
        <f>'Growers model'!#REF!</f>
        <v>#REF!</v>
      </c>
      <c r="L13" s="23" t="s">
        <v>95</v>
      </c>
      <c r="M13" s="22" t="s">
        <v>69</v>
      </c>
      <c r="O13" s="23" t="e">
        <f>'Growers model'!#REF!</f>
        <v>#REF!</v>
      </c>
      <c r="P13" s="23" t="b">
        <v>0</v>
      </c>
    </row>
    <row r="14" spans="1:16" x14ac:dyDescent="0.2">
      <c r="A14" s="23" t="e">
        <f>'Growers model'!#REF!</f>
        <v>#REF!</v>
      </c>
      <c r="B14" s="22" t="s">
        <v>110</v>
      </c>
      <c r="C14" s="23">
        <v>0</v>
      </c>
      <c r="I14" s="23" t="s">
        <v>68</v>
      </c>
      <c r="J14" s="23" t="e">
        <f>'Growers model'!#REF!</f>
        <v>#REF!</v>
      </c>
      <c r="K14" s="23" t="e">
        <f>'Growers model'!#REF!</f>
        <v>#REF!</v>
      </c>
      <c r="L14" s="23" t="s">
        <v>97</v>
      </c>
      <c r="M14" s="22" t="s">
        <v>69</v>
      </c>
      <c r="O14" s="23" t="e">
        <f>'Growers model'!#REF!</f>
        <v>#REF!</v>
      </c>
      <c r="P14" s="23" t="b">
        <v>0</v>
      </c>
    </row>
    <row r="15" spans="1:16" x14ac:dyDescent="0.2">
      <c r="A15" s="23" t="e">
        <f>'Growers model'!#REF!</f>
        <v>#REF!</v>
      </c>
      <c r="B15" s="22" t="s">
        <v>92</v>
      </c>
      <c r="C15" s="23">
        <v>0</v>
      </c>
      <c r="I15" s="23" t="s">
        <v>68</v>
      </c>
      <c r="J15" s="23" t="e">
        <f>'Growers model'!#REF!</f>
        <v>#REF!</v>
      </c>
      <c r="K15" s="23" t="e">
        <f>'Growers model'!#REF!</f>
        <v>#REF!</v>
      </c>
      <c r="L15" s="23" t="s">
        <v>98</v>
      </c>
      <c r="M15" s="22" t="s">
        <v>69</v>
      </c>
      <c r="O15" s="23" t="e">
        <f>'Growers model'!#REF!</f>
        <v>#REF!</v>
      </c>
      <c r="P15" s="23" t="b">
        <v>0</v>
      </c>
    </row>
    <row r="16" spans="1:16" x14ac:dyDescent="0.2">
      <c r="A16" s="23" t="e">
        <f>'Growers model'!#REF!</f>
        <v>#REF!</v>
      </c>
      <c r="B16" s="22" t="s">
        <v>111</v>
      </c>
      <c r="C16" s="23">
        <v>0</v>
      </c>
      <c r="I16" s="23" t="s">
        <v>68</v>
      </c>
      <c r="J16" s="23" t="e">
        <f>'Growers model'!#REF!</f>
        <v>#REF!</v>
      </c>
      <c r="K16" s="23" t="e">
        <f>'Growers model'!#REF!</f>
        <v>#REF!</v>
      </c>
      <c r="L16" s="23" t="s">
        <v>99</v>
      </c>
      <c r="M16" s="22" t="s">
        <v>69</v>
      </c>
      <c r="O16" s="23" t="e">
        <f>'Growers model'!#REF!</f>
        <v>#REF!</v>
      </c>
      <c r="P16" s="23" t="b">
        <v>0</v>
      </c>
    </row>
    <row r="17" spans="1:16" x14ac:dyDescent="0.2">
      <c r="A17" s="23" t="e">
        <f>'Growers model'!#REF!</f>
        <v>#REF!</v>
      </c>
      <c r="B17" s="22" t="s">
        <v>73</v>
      </c>
      <c r="C17" s="23">
        <v>0</v>
      </c>
      <c r="H17" s="23" t="s">
        <v>68</v>
      </c>
      <c r="I17" s="23" t="s">
        <v>68</v>
      </c>
      <c r="J17" s="23" t="e">
        <f>'Growers model'!#REF!</f>
        <v>#REF!</v>
      </c>
      <c r="K17" s="23" t="e">
        <f>'Growers model'!#REF!</f>
        <v>#REF!</v>
      </c>
      <c r="L17" s="23" t="s">
        <v>93</v>
      </c>
      <c r="M17" s="22" t="s">
        <v>69</v>
      </c>
      <c r="P17" s="23" t="b">
        <v>0</v>
      </c>
    </row>
    <row r="18" spans="1:16" x14ac:dyDescent="0.2">
      <c r="A18" s="23" t="e">
        <f>'Growers model'!#REF!</f>
        <v>#REF!</v>
      </c>
      <c r="B18" s="22" t="s">
        <v>74</v>
      </c>
      <c r="C18" s="23">
        <v>0</v>
      </c>
      <c r="H18" s="23" t="s">
        <v>68</v>
      </c>
      <c r="I18" s="23" t="s">
        <v>68</v>
      </c>
      <c r="J18" s="23" t="e">
        <f>'Growers model'!#REF!</f>
        <v>#REF!</v>
      </c>
      <c r="K18" s="23" t="e">
        <f>'Growers model'!#REF!</f>
        <v>#REF!</v>
      </c>
      <c r="L18" s="23" t="s">
        <v>93</v>
      </c>
      <c r="M18" s="22" t="s">
        <v>69</v>
      </c>
      <c r="P18" s="23" t="b">
        <v>0</v>
      </c>
    </row>
    <row r="19" spans="1:16" x14ac:dyDescent="0.2">
      <c r="A19" s="23" t="e">
        <f>'Growers model'!#REF!</f>
        <v>#REF!</v>
      </c>
      <c r="B19" s="22" t="s">
        <v>73</v>
      </c>
      <c r="C19" s="23">
        <v>0</v>
      </c>
      <c r="H19" s="23" t="s">
        <v>68</v>
      </c>
      <c r="I19" s="23" t="s">
        <v>68</v>
      </c>
      <c r="J19" s="23" t="e">
        <f>'Growers model'!#REF!</f>
        <v>#REF!</v>
      </c>
      <c r="K19" s="23" t="e">
        <f>'Growers model'!#REF!</f>
        <v>#REF!</v>
      </c>
      <c r="L19" s="23" t="s">
        <v>96</v>
      </c>
      <c r="M19" s="22" t="s">
        <v>69</v>
      </c>
      <c r="P19" s="23" t="b">
        <v>0</v>
      </c>
    </row>
    <row r="20" spans="1:16" x14ac:dyDescent="0.2">
      <c r="A20" s="23" t="e">
        <f>'Growers model'!#REF!</f>
        <v>#REF!</v>
      </c>
      <c r="B20" s="22" t="s">
        <v>74</v>
      </c>
      <c r="C20" s="23">
        <v>0</v>
      </c>
      <c r="H20" s="23" t="s">
        <v>68</v>
      </c>
      <c r="I20" s="23" t="s">
        <v>68</v>
      </c>
      <c r="J20" s="23" t="e">
        <f>'Growers model'!#REF!</f>
        <v>#REF!</v>
      </c>
      <c r="K20" s="23" t="e">
        <f>'Growers model'!#REF!</f>
        <v>#REF!</v>
      </c>
      <c r="L20" s="23" t="s">
        <v>96</v>
      </c>
      <c r="M20" s="22" t="s">
        <v>69</v>
      </c>
      <c r="P20" s="23" t="b">
        <v>0</v>
      </c>
    </row>
    <row r="21" spans="1:16" x14ac:dyDescent="0.2">
      <c r="A21" s="23" t="e">
        <f>'Growers model'!#REF!</f>
        <v>#REF!</v>
      </c>
      <c r="B21" s="22" t="s">
        <v>73</v>
      </c>
      <c r="C21" s="23">
        <v>0</v>
      </c>
      <c r="H21" s="23" t="s">
        <v>68</v>
      </c>
      <c r="I21" s="23" t="s">
        <v>68</v>
      </c>
      <c r="J21" s="23" t="e">
        <f>'Growers model'!#REF!</f>
        <v>#REF!</v>
      </c>
      <c r="K21" s="23" t="e">
        <f>'Growers model'!#REF!</f>
        <v>#REF!</v>
      </c>
      <c r="L21" s="23" t="s">
        <v>72</v>
      </c>
      <c r="M21" s="22" t="s">
        <v>69</v>
      </c>
      <c r="P21" s="23" t="b">
        <v>0</v>
      </c>
    </row>
    <row r="22" spans="1:16" x14ac:dyDescent="0.2">
      <c r="A22" s="23" t="e">
        <f>'Growers model'!#REF!</f>
        <v>#REF!</v>
      </c>
      <c r="B22" s="22" t="s">
        <v>74</v>
      </c>
      <c r="C22" s="23">
        <v>0</v>
      </c>
      <c r="H22" s="23" t="s">
        <v>68</v>
      </c>
      <c r="I22" s="23" t="s">
        <v>68</v>
      </c>
      <c r="J22" s="23" t="e">
        <f>'Growers model'!#REF!</f>
        <v>#REF!</v>
      </c>
      <c r="K22" s="23" t="e">
        <f>'Growers model'!#REF!</f>
        <v>#REF!</v>
      </c>
      <c r="L22" s="23" t="s">
        <v>72</v>
      </c>
      <c r="M22" s="22" t="s">
        <v>69</v>
      </c>
      <c r="P22" s="23" t="b">
        <v>0</v>
      </c>
    </row>
    <row r="23" spans="1:16" x14ac:dyDescent="0.2">
      <c r="A23" s="23" t="e">
        <f>'Growers model'!#REF!</f>
        <v>#REF!</v>
      </c>
      <c r="B23" s="22" t="s">
        <v>73</v>
      </c>
      <c r="C23" s="23">
        <v>0</v>
      </c>
      <c r="H23" s="23" t="s">
        <v>68</v>
      </c>
      <c r="I23" s="23" t="s">
        <v>68</v>
      </c>
      <c r="J23" s="23" t="e">
        <f>'Growers model'!#REF!</f>
        <v>#REF!</v>
      </c>
      <c r="K23" s="23" t="e">
        <f>'Growers model'!#REF!</f>
        <v>#REF!</v>
      </c>
      <c r="L23" s="23" t="s">
        <v>75</v>
      </c>
      <c r="M23" s="22" t="s">
        <v>69</v>
      </c>
      <c r="P23" s="23" t="b">
        <v>0</v>
      </c>
    </row>
    <row r="24" spans="1:16" x14ac:dyDescent="0.2">
      <c r="A24" s="23" t="e">
        <f>'Growers model'!#REF!</f>
        <v>#REF!</v>
      </c>
      <c r="B24" s="22" t="s">
        <v>74</v>
      </c>
      <c r="C24" s="23">
        <v>0</v>
      </c>
      <c r="H24" s="23" t="s">
        <v>68</v>
      </c>
      <c r="I24" s="23" t="s">
        <v>68</v>
      </c>
      <c r="J24" s="23" t="e">
        <f>'Growers model'!#REF!</f>
        <v>#REF!</v>
      </c>
      <c r="K24" s="23" t="e">
        <f>'Growers model'!#REF!</f>
        <v>#REF!</v>
      </c>
      <c r="L24" s="23" t="s">
        <v>75</v>
      </c>
      <c r="M24" s="22" t="s">
        <v>69</v>
      </c>
      <c r="P24" s="23" t="b">
        <v>0</v>
      </c>
    </row>
    <row r="25" spans="1:16" x14ac:dyDescent="0.2">
      <c r="A25" s="23" t="e">
        <f>'Growers model'!#REF!</f>
        <v>#REF!</v>
      </c>
      <c r="B25" s="22" t="s">
        <v>73</v>
      </c>
      <c r="C25" s="23">
        <v>0</v>
      </c>
      <c r="H25" s="23" t="s">
        <v>68</v>
      </c>
      <c r="I25" s="23" t="s">
        <v>68</v>
      </c>
      <c r="J25" s="23" t="e">
        <f>'Growers model'!#REF!</f>
        <v>#REF!</v>
      </c>
      <c r="K25" s="23" t="e">
        <f>'Growers model'!#REF!</f>
        <v>#REF!</v>
      </c>
      <c r="L25" s="23" t="s">
        <v>76</v>
      </c>
      <c r="M25" s="22" t="s">
        <v>69</v>
      </c>
      <c r="P25" s="23" t="b">
        <v>0</v>
      </c>
    </row>
    <row r="26" spans="1:16" x14ac:dyDescent="0.2">
      <c r="A26" s="23" t="e">
        <f>'Growers model'!#REF!</f>
        <v>#REF!</v>
      </c>
      <c r="B26" s="22" t="s">
        <v>74</v>
      </c>
      <c r="C26" s="23">
        <v>0</v>
      </c>
      <c r="H26" s="23" t="s">
        <v>68</v>
      </c>
      <c r="I26" s="23" t="s">
        <v>68</v>
      </c>
      <c r="J26" s="23" t="e">
        <f>'Growers model'!#REF!</f>
        <v>#REF!</v>
      </c>
      <c r="K26" s="23" t="e">
        <f>'Growers model'!#REF!</f>
        <v>#REF!</v>
      </c>
      <c r="L26" s="23" t="s">
        <v>76</v>
      </c>
      <c r="M26" s="22" t="s">
        <v>69</v>
      </c>
      <c r="P26" s="23" t="b">
        <v>0</v>
      </c>
    </row>
    <row r="27" spans="1:16" x14ac:dyDescent="0.2">
      <c r="B27" s="22"/>
      <c r="M27" s="22"/>
    </row>
    <row r="28" spans="1:16" x14ac:dyDescent="0.2">
      <c r="B28" s="22"/>
      <c r="M28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S in TX DDGS</vt:lpstr>
      <vt:lpstr>S in TX water wells</vt:lpstr>
      <vt:lpstr>Growers model</vt:lpstr>
      <vt:lpstr>Finishers model </vt:lpstr>
      <vt:lpstr>treeCalc_4</vt:lpstr>
      <vt:lpstr>treeCalc_3</vt:lpstr>
      <vt:lpstr>treeCalc_2</vt:lpstr>
      <vt:lpstr>_PalUtilTempWorksheet</vt:lpstr>
      <vt:lpstr>treeCalc_1</vt:lpstr>
      <vt:lpstr>'Finishers model '!OLE_LINK1</vt:lpstr>
      <vt:lpstr>'Growers model'!OLE_LINK5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Brown, Ashli Amari</cp:lastModifiedBy>
  <dcterms:created xsi:type="dcterms:W3CDTF">2022-01-27T16:51:37Z</dcterms:created>
  <dcterms:modified xsi:type="dcterms:W3CDTF">2024-08-18T17:03:40Z</dcterms:modified>
</cp:coreProperties>
</file>