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7EAF54A6-580D-4277-8309-C30E7CF1FBA0}" xr6:coauthVersionLast="47" xr6:coauthVersionMax="47" xr10:uidLastSave="{00000000-0000-0000-0000-000000000000}"/>
  <bookViews>
    <workbookView xWindow="-110" yWindow="-110" windowWidth="25820" windowHeight="15500" tabRatio="871" firstSheet="4" activeTab="19" xr2:uid="{00000000-000D-0000-FFFF-FFFF00000000}"/>
  </bookViews>
  <sheets>
    <sheet name="statistics" sheetId="20" r:id="rId1"/>
    <sheet name="Duroc" sheetId="1" r:id="rId2"/>
    <sheet name="Bama" sheetId="2" r:id="rId3"/>
    <sheet name="Bamei" sheetId="13" r:id="rId4"/>
    <sheet name="Berkshire" sheetId="11" r:id="rId5"/>
    <sheet name="cross-bred" sheetId="19" r:id="rId6"/>
    <sheet name="EGMP" sheetId="14" r:id="rId7"/>
    <sheet name="Jinhua" sheetId="17" r:id="rId8"/>
    <sheet name="Kenya" sheetId="9" r:id="rId9"/>
    <sheet name="Landrace" sheetId="22" r:id="rId10"/>
    <sheet name="largeWhite" sheetId="18" r:id="rId11"/>
    <sheet name="MSBJ" sheetId="3" r:id="rId12"/>
    <sheet name="MS_old" sheetId="8" r:id="rId13"/>
    <sheet name="ninghe" sheetId="16" r:id="rId14"/>
    <sheet name="Ningxiang" sheetId="6" r:id="rId15"/>
    <sheet name="NS" sheetId="4" r:id="rId16"/>
    <sheet name="Pitrain" sheetId="12" r:id="rId17"/>
    <sheet name="Rongchang" sheetId="5" r:id="rId18"/>
    <sheet name="Tibeten" sheetId="21" r:id="rId19"/>
    <sheet name="wuzhishan" sheetId="10" r:id="rId20"/>
  </sheets>
  <definedNames>
    <definedName name="_xlnm._FilterDatabase" localSheetId="2" hidden="1">Bama!$A$2:$N$15</definedName>
    <definedName name="_xlnm._FilterDatabase" localSheetId="5" hidden="1">'cross-bred'!$A$2:$S$70</definedName>
    <definedName name="_xlnm._FilterDatabase" localSheetId="1" hidden="1">Duroc!$A$2:$P$36</definedName>
    <definedName name="_xlnm._FilterDatabase" localSheetId="8" hidden="1">Kenya!$C$2:$O$8</definedName>
    <definedName name="_xlnm._FilterDatabase" localSheetId="10" hidden="1">largeWhite!$B$2:$H$8</definedName>
    <definedName name="_xlnm._FilterDatabase" localSheetId="11" hidden="1">MSBJ!$C$2:$P$25</definedName>
    <definedName name="_xlnm._FilterDatabase" localSheetId="13" hidden="1">ninghe!$C$2:$N$25</definedName>
    <definedName name="_xlnm._FilterDatabase" localSheetId="14" hidden="1">Ningxiang!$C$2:$O$21</definedName>
    <definedName name="_xlnm._FilterDatabase" localSheetId="15" hidden="1">NS!$A$2:$N$31</definedName>
    <definedName name="_xlnm._FilterDatabase" localSheetId="17" hidden="1">Rongchang!$C$2:$M$6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10" l="1"/>
  <c r="H3" i="10"/>
  <c r="G3" i="10"/>
  <c r="M5" i="5"/>
  <c r="K5" i="5"/>
  <c r="I5" i="5"/>
  <c r="H5" i="5"/>
  <c r="K4" i="5"/>
  <c r="I4" i="5"/>
  <c r="H3" i="5"/>
  <c r="L5" i="12"/>
  <c r="J5" i="12"/>
  <c r="H5" i="12"/>
  <c r="G4" i="12"/>
  <c r="G29" i="4"/>
  <c r="J27" i="4"/>
  <c r="H27" i="4"/>
  <c r="I27" i="4" s="1"/>
  <c r="G27" i="4"/>
  <c r="G26" i="4"/>
  <c r="G24" i="4"/>
  <c r="M23" i="4"/>
  <c r="K23" i="4"/>
  <c r="I23" i="4"/>
  <c r="M22" i="4"/>
  <c r="K22" i="4"/>
  <c r="I22" i="4"/>
  <c r="G22" i="4"/>
  <c r="G21" i="4"/>
  <c r="I20" i="4"/>
  <c r="G20" i="4"/>
  <c r="M19" i="4"/>
  <c r="K19" i="4"/>
  <c r="I19" i="4"/>
  <c r="M18" i="4"/>
  <c r="K18" i="4"/>
  <c r="I18" i="4"/>
  <c r="G17" i="4"/>
  <c r="M16" i="4"/>
  <c r="K16" i="4"/>
  <c r="I16" i="4"/>
  <c r="M15" i="4"/>
  <c r="K15" i="4"/>
  <c r="I15" i="4"/>
  <c r="M14" i="4"/>
  <c r="K14" i="4"/>
  <c r="I14" i="4"/>
  <c r="M13" i="4"/>
  <c r="K13" i="4"/>
  <c r="I13" i="4"/>
  <c r="G13" i="4"/>
  <c r="M12" i="4"/>
  <c r="K12" i="4"/>
  <c r="I12" i="4"/>
  <c r="G11" i="4"/>
  <c r="M10" i="4"/>
  <c r="K10" i="4"/>
  <c r="I10" i="4"/>
  <c r="G9" i="4"/>
  <c r="M8" i="4"/>
  <c r="K8" i="4"/>
  <c r="I8" i="4"/>
  <c r="M7" i="4"/>
  <c r="K7" i="4"/>
  <c r="I7" i="4"/>
  <c r="G7" i="4"/>
  <c r="I6" i="4"/>
  <c r="M5" i="4"/>
  <c r="K5" i="4"/>
  <c r="I5" i="4"/>
  <c r="G5" i="4"/>
  <c r="M4" i="4"/>
  <c r="K4" i="4"/>
  <c r="I4" i="4"/>
  <c r="M3" i="4"/>
  <c r="K3" i="4"/>
  <c r="I3" i="4"/>
  <c r="G3" i="4"/>
  <c r="N21" i="6"/>
  <c r="O21" i="6" s="1"/>
  <c r="L21" i="6"/>
  <c r="M21" i="6" s="1"/>
  <c r="K21" i="6"/>
  <c r="N20" i="6"/>
  <c r="O20" i="6" s="1"/>
  <c r="L20" i="6"/>
  <c r="M20" i="6" s="1"/>
  <c r="K20" i="6"/>
  <c r="N19" i="6"/>
  <c r="O19" i="6" s="1"/>
  <c r="L19" i="6"/>
  <c r="M19" i="6" s="1"/>
  <c r="K19" i="6"/>
  <c r="N18" i="6"/>
  <c r="O18" i="6" s="1"/>
  <c r="L18" i="6"/>
  <c r="M18" i="6" s="1"/>
  <c r="J18" i="6"/>
  <c r="K18" i="6" s="1"/>
  <c r="N17" i="6"/>
  <c r="O17" i="6" s="1"/>
  <c r="L17" i="6"/>
  <c r="M17" i="6" s="1"/>
  <c r="J17" i="6"/>
  <c r="K17" i="6" s="1"/>
  <c r="N16" i="6"/>
  <c r="O16" i="6" s="1"/>
  <c r="L16" i="6"/>
  <c r="M16" i="6" s="1"/>
  <c r="J16" i="6"/>
  <c r="K16" i="6" s="1"/>
  <c r="N15" i="6"/>
  <c r="O15" i="6" s="1"/>
  <c r="L15" i="6"/>
  <c r="M15" i="6" s="1"/>
  <c r="J15" i="6"/>
  <c r="K15" i="6" s="1"/>
  <c r="N14" i="6"/>
  <c r="O14" i="6" s="1"/>
  <c r="L14" i="6"/>
  <c r="M14" i="6" s="1"/>
  <c r="J14" i="6"/>
  <c r="K14" i="6" s="1"/>
  <c r="N13" i="6"/>
  <c r="O13" i="6" s="1"/>
  <c r="L13" i="6"/>
  <c r="M13" i="6" s="1"/>
  <c r="K13" i="6"/>
  <c r="J13" i="6"/>
  <c r="O12" i="6"/>
  <c r="L12" i="6"/>
  <c r="M12" i="6" s="1"/>
  <c r="J12" i="6"/>
  <c r="K12" i="6" s="1"/>
  <c r="I12" i="6"/>
  <c r="O11" i="6"/>
  <c r="M11" i="6"/>
  <c r="K11" i="6"/>
  <c r="I11" i="6"/>
  <c r="O10" i="6"/>
  <c r="M10" i="6"/>
  <c r="K10" i="6"/>
  <c r="O9" i="6"/>
  <c r="M9" i="6"/>
  <c r="K9" i="6"/>
  <c r="I9" i="6"/>
  <c r="O8" i="6"/>
  <c r="M8" i="6"/>
  <c r="K8" i="6"/>
  <c r="N7" i="6"/>
  <c r="O7" i="6" s="1"/>
  <c r="L7" i="6"/>
  <c r="M7" i="6" s="1"/>
  <c r="J7" i="6"/>
  <c r="K7" i="6" s="1"/>
  <c r="I7" i="6"/>
  <c r="O6" i="6"/>
  <c r="L6" i="6"/>
  <c r="M6" i="6" s="1"/>
  <c r="K6" i="6"/>
  <c r="O5" i="6"/>
  <c r="L5" i="6"/>
  <c r="M5" i="6" s="1"/>
  <c r="K5" i="6"/>
  <c r="N4" i="6"/>
  <c r="O4" i="6" s="1"/>
  <c r="L4" i="6"/>
  <c r="M4" i="6" s="1"/>
  <c r="K4" i="6"/>
  <c r="O3" i="6"/>
  <c r="M3" i="6"/>
  <c r="K3" i="6"/>
  <c r="M25" i="16"/>
  <c r="N25" i="16" s="1"/>
  <c r="K25" i="16"/>
  <c r="I25" i="16"/>
  <c r="J25" i="16" s="1"/>
  <c r="H25" i="16"/>
  <c r="H24" i="16"/>
  <c r="H23" i="16"/>
  <c r="K19" i="16"/>
  <c r="I19" i="16"/>
  <c r="H19" i="16"/>
  <c r="H16" i="16"/>
  <c r="M15" i="16"/>
  <c r="K15" i="16"/>
  <c r="L15" i="16" s="1"/>
  <c r="H13" i="16"/>
  <c r="H12" i="16"/>
  <c r="H6" i="16"/>
  <c r="H5" i="16"/>
  <c r="H4" i="16"/>
  <c r="H25" i="3"/>
  <c r="H23" i="3"/>
  <c r="N22" i="3"/>
  <c r="L22" i="3"/>
  <c r="J22" i="3"/>
  <c r="N21" i="3"/>
  <c r="L21" i="3"/>
  <c r="J21" i="3"/>
  <c r="H21" i="3"/>
  <c r="N20" i="3"/>
  <c r="L20" i="3"/>
  <c r="J20" i="3"/>
  <c r="N19" i="3"/>
  <c r="L19" i="3"/>
  <c r="J19" i="3"/>
  <c r="N18" i="3"/>
  <c r="L18" i="3"/>
  <c r="J18" i="3"/>
  <c r="H18" i="3"/>
  <c r="N17" i="3"/>
  <c r="L17" i="3"/>
  <c r="J17" i="3"/>
  <c r="N16" i="3"/>
  <c r="L16" i="3"/>
  <c r="J16" i="3"/>
  <c r="H16" i="3"/>
  <c r="N15" i="3"/>
  <c r="L15" i="3"/>
  <c r="J15" i="3"/>
  <c r="H15" i="3"/>
  <c r="N14" i="3"/>
  <c r="L14" i="3"/>
  <c r="J14" i="3"/>
  <c r="N13" i="3"/>
  <c r="L13" i="3"/>
  <c r="J13" i="3"/>
  <c r="N12" i="3"/>
  <c r="L12" i="3"/>
  <c r="J12" i="3"/>
  <c r="N11" i="3"/>
  <c r="L11" i="3"/>
  <c r="J11" i="3"/>
  <c r="H11" i="3"/>
  <c r="N10" i="3"/>
  <c r="L10" i="3"/>
  <c r="J10" i="3"/>
  <c r="H10" i="3"/>
  <c r="N9" i="3"/>
  <c r="L9" i="3"/>
  <c r="J9" i="3"/>
  <c r="H9" i="3"/>
  <c r="N8" i="3"/>
  <c r="L8" i="3"/>
  <c r="J8" i="3"/>
  <c r="N7" i="3"/>
  <c r="L7" i="3"/>
  <c r="J7" i="3"/>
  <c r="H7" i="3"/>
  <c r="N6" i="3"/>
  <c r="L6" i="3"/>
  <c r="J6" i="3"/>
  <c r="H6" i="3"/>
  <c r="N5" i="3"/>
  <c r="L5" i="3"/>
  <c r="J5" i="3"/>
  <c r="N4" i="3"/>
  <c r="L4" i="3"/>
  <c r="J4" i="3"/>
  <c r="H4" i="3"/>
  <c r="N3" i="3"/>
  <c r="L3" i="3"/>
  <c r="J3" i="3"/>
  <c r="J8" i="18"/>
  <c r="G8" i="18"/>
  <c r="G7" i="18"/>
  <c r="G6" i="18"/>
  <c r="N8" i="9"/>
  <c r="O8" i="9" s="1"/>
  <c r="L8" i="9"/>
  <c r="M8" i="9" s="1"/>
  <c r="J8" i="9"/>
  <c r="K8" i="9" s="1"/>
  <c r="N7" i="9"/>
  <c r="O7" i="9" s="1"/>
  <c r="L7" i="9"/>
  <c r="M7" i="9" s="1"/>
  <c r="J7" i="9"/>
  <c r="K7" i="9" s="1"/>
  <c r="N6" i="9"/>
  <c r="O6" i="9" s="1"/>
  <c r="L6" i="9"/>
  <c r="M6" i="9" s="1"/>
  <c r="J6" i="9"/>
  <c r="K6" i="9" s="1"/>
  <c r="N5" i="9"/>
  <c r="O5" i="9" s="1"/>
  <c r="L5" i="9"/>
  <c r="M5" i="9" s="1"/>
  <c r="J5" i="9"/>
  <c r="K5" i="9" s="1"/>
  <c r="I5" i="9"/>
  <c r="O4" i="9"/>
  <c r="M4" i="9"/>
  <c r="K4" i="9"/>
  <c r="I4" i="9"/>
  <c r="N3" i="9"/>
  <c r="O3" i="9" s="1"/>
  <c r="L3" i="9"/>
  <c r="M3" i="9" s="1"/>
  <c r="J3" i="9"/>
  <c r="K3" i="9" s="1"/>
  <c r="I6" i="14"/>
  <c r="N4" i="14"/>
  <c r="O4" i="14" s="1"/>
  <c r="L4" i="14"/>
  <c r="K4" i="14"/>
  <c r="N3" i="14"/>
  <c r="L3" i="14"/>
  <c r="J3" i="14"/>
  <c r="I67" i="19"/>
  <c r="I64" i="19"/>
  <c r="R63" i="19"/>
  <c r="Q63" i="19"/>
  <c r="P63" i="19"/>
  <c r="O63" i="19"/>
  <c r="N63" i="19"/>
  <c r="I62" i="19"/>
  <c r="S60" i="19"/>
  <c r="P60" i="19"/>
  <c r="N60" i="19"/>
  <c r="I56" i="19"/>
  <c r="R50" i="19"/>
  <c r="P50" i="19"/>
  <c r="I49" i="19"/>
  <c r="I47" i="19"/>
  <c r="R45" i="19"/>
  <c r="P45" i="19"/>
  <c r="Q45" i="19" s="1"/>
  <c r="N45" i="19"/>
  <c r="P44" i="19"/>
  <c r="Q44" i="19" s="1"/>
  <c r="N44" i="19"/>
  <c r="I41" i="19"/>
  <c r="I38" i="19"/>
  <c r="P36" i="19"/>
  <c r="R32" i="19"/>
  <c r="Q32" i="19"/>
  <c r="P32" i="19"/>
  <c r="N32" i="19"/>
  <c r="I31" i="19"/>
  <c r="I30" i="19"/>
  <c r="P24" i="19"/>
  <c r="Q24" i="19" s="1"/>
  <c r="I23" i="19"/>
  <c r="I21" i="19"/>
  <c r="I19" i="19"/>
  <c r="R17" i="19"/>
  <c r="Q17" i="19"/>
  <c r="P17" i="19"/>
  <c r="N17" i="19"/>
  <c r="I17" i="19"/>
  <c r="I16" i="19"/>
  <c r="I15" i="19"/>
  <c r="I14" i="19"/>
  <c r="I13" i="19"/>
  <c r="I11" i="19"/>
  <c r="I10" i="19"/>
  <c r="R8" i="19"/>
  <c r="Q8" i="19"/>
  <c r="P8" i="19"/>
  <c r="N8" i="19"/>
  <c r="I8" i="19"/>
  <c r="R7" i="19"/>
  <c r="S7" i="19" s="1"/>
  <c r="P7" i="19"/>
  <c r="Q7" i="19" s="1"/>
  <c r="N7" i="19"/>
  <c r="O7" i="19" s="1"/>
  <c r="I7" i="19"/>
  <c r="I6" i="19"/>
  <c r="I5" i="19"/>
  <c r="R3" i="19"/>
  <c r="P3" i="19"/>
  <c r="I3" i="19"/>
  <c r="K5" i="11"/>
  <c r="I5" i="11"/>
  <c r="G5" i="11"/>
  <c r="F5" i="11"/>
  <c r="K3" i="13"/>
  <c r="I3" i="13"/>
  <c r="G3" i="13"/>
  <c r="L15" i="2"/>
  <c r="J15" i="2"/>
  <c r="H15" i="2"/>
  <c r="L14" i="2"/>
  <c r="J14" i="2"/>
  <c r="H14" i="2"/>
  <c r="L13" i="2"/>
  <c r="J13" i="2"/>
  <c r="H13" i="2"/>
  <c r="F13" i="2"/>
  <c r="L12" i="2"/>
  <c r="J12" i="2"/>
  <c r="H12" i="2"/>
  <c r="F12" i="2"/>
  <c r="L11" i="2"/>
  <c r="J11" i="2"/>
  <c r="H11" i="2"/>
  <c r="L10" i="2"/>
  <c r="J10" i="2"/>
  <c r="H10" i="2"/>
  <c r="F10" i="2"/>
  <c r="L9" i="2"/>
  <c r="J9" i="2"/>
  <c r="H9" i="2"/>
  <c r="L8" i="2"/>
  <c r="J8" i="2"/>
  <c r="H8" i="2"/>
  <c r="L7" i="2"/>
  <c r="J7" i="2"/>
  <c r="H7" i="2"/>
  <c r="L6" i="2"/>
  <c r="J6" i="2"/>
  <c r="H6" i="2"/>
  <c r="L5" i="2"/>
  <c r="J5" i="2"/>
  <c r="H5" i="2"/>
  <c r="F5" i="2"/>
  <c r="L4" i="2"/>
  <c r="J4" i="2"/>
  <c r="H4" i="2"/>
  <c r="L3" i="2"/>
  <c r="I3" i="2"/>
  <c r="J3" i="2" s="1"/>
  <c r="H3" i="2"/>
  <c r="F3" i="2"/>
  <c r="N31" i="1"/>
  <c r="M31" i="1"/>
  <c r="K31" i="1"/>
  <c r="I31" i="1"/>
  <c r="O30" i="1"/>
  <c r="N30" i="1"/>
  <c r="M30" i="1"/>
  <c r="K30" i="1"/>
  <c r="I30" i="1"/>
  <c r="M29" i="1"/>
  <c r="K29" i="1"/>
  <c r="I29" i="1"/>
  <c r="M28" i="1"/>
  <c r="K28" i="1"/>
  <c r="I28" i="1"/>
  <c r="M27" i="1"/>
  <c r="K27" i="1"/>
  <c r="I27" i="1"/>
  <c r="M26" i="1"/>
  <c r="K26" i="1"/>
  <c r="I26" i="1"/>
  <c r="M25" i="1"/>
  <c r="K25" i="1"/>
  <c r="I25" i="1"/>
  <c r="M24" i="1"/>
  <c r="K24" i="1"/>
  <c r="I24" i="1"/>
  <c r="M23" i="1"/>
  <c r="K23" i="1"/>
  <c r="I23" i="1"/>
  <c r="M22" i="1"/>
  <c r="K22" i="1"/>
  <c r="I22" i="1"/>
  <c r="M21" i="1"/>
  <c r="K21" i="1"/>
  <c r="I21" i="1"/>
  <c r="M20" i="1"/>
  <c r="K20" i="1"/>
  <c r="I20" i="1"/>
  <c r="M19" i="1"/>
  <c r="K19" i="1"/>
  <c r="I19" i="1"/>
  <c r="M18" i="1"/>
  <c r="K18" i="1"/>
  <c r="I18" i="1"/>
  <c r="M17" i="1"/>
  <c r="K17" i="1"/>
  <c r="I17" i="1"/>
  <c r="M16" i="1"/>
  <c r="K16" i="1"/>
  <c r="I16" i="1"/>
  <c r="M15" i="1"/>
  <c r="K15" i="1"/>
  <c r="I15" i="1"/>
  <c r="M14" i="1"/>
  <c r="K14" i="1"/>
  <c r="I14" i="1"/>
  <c r="M13" i="1"/>
  <c r="K13" i="1"/>
  <c r="I13" i="1"/>
  <c r="M12" i="1"/>
  <c r="K12" i="1"/>
  <c r="I12" i="1"/>
  <c r="M11" i="1"/>
  <c r="K11" i="1"/>
  <c r="I11" i="1"/>
  <c r="M10" i="1"/>
  <c r="K10" i="1"/>
  <c r="I10" i="1"/>
  <c r="M9" i="1"/>
  <c r="K9" i="1"/>
  <c r="I9" i="1"/>
  <c r="M8" i="1"/>
  <c r="K8" i="1"/>
  <c r="I8" i="1"/>
  <c r="M7" i="1"/>
  <c r="K7" i="1"/>
  <c r="I7" i="1"/>
  <c r="M6" i="1"/>
  <c r="K6" i="1"/>
  <c r="I6" i="1"/>
  <c r="M5" i="1"/>
  <c r="K5" i="1"/>
  <c r="I5" i="1"/>
  <c r="M4" i="1"/>
  <c r="K4" i="1"/>
  <c r="I4" i="1"/>
  <c r="M3" i="1"/>
  <c r="K3" i="1"/>
  <c r="I3" i="1"/>
</calcChain>
</file>

<file path=xl/sharedStrings.xml><?xml version="1.0" encoding="utf-8"?>
<sst xmlns="http://schemas.openxmlformats.org/spreadsheetml/2006/main" count="1282" uniqueCount="391">
  <si>
    <r>
      <rPr>
        <sz val="8"/>
        <rFont val="Times New Roman"/>
        <family val="1"/>
      </rPr>
      <t>name</t>
    </r>
  </si>
  <si>
    <r>
      <rPr>
        <sz val="8"/>
        <rFont val="Times New Roman"/>
        <family val="1"/>
      </rPr>
      <t>Insertion/Deletion</t>
    </r>
  </si>
  <si>
    <r>
      <rPr>
        <sz val="8"/>
        <rFont val="Times New Roman"/>
        <family val="1"/>
      </rPr>
      <t>strand</t>
    </r>
  </si>
  <si>
    <r>
      <rPr>
        <sz val="8"/>
        <rFont val="Times New Roman"/>
        <family val="1"/>
      </rPr>
      <t>chr</t>
    </r>
  </si>
  <si>
    <r>
      <rPr>
        <sz val="8"/>
        <rFont val="Times New Roman"/>
        <family val="1"/>
      </rPr>
      <t>ERV_start</t>
    </r>
  </si>
  <si>
    <r>
      <rPr>
        <sz val="8"/>
        <rFont val="Times New Roman"/>
        <family val="1"/>
      </rPr>
      <t>ERV_end</t>
    </r>
  </si>
  <si>
    <r>
      <rPr>
        <sz val="8"/>
        <rFont val="Times New Roman"/>
        <family val="1"/>
      </rPr>
      <t>gag_aa length</t>
    </r>
  </si>
  <si>
    <r>
      <rPr>
        <sz val="8"/>
        <rFont val="Times New Roman"/>
        <family val="1"/>
      </rPr>
      <t>pol_aa length</t>
    </r>
  </si>
  <si>
    <r>
      <rPr>
        <sz val="8"/>
        <rFont val="Times New Roman"/>
        <family val="1"/>
      </rPr>
      <t>env_aa length</t>
    </r>
  </si>
  <si>
    <r>
      <rPr>
        <sz val="8"/>
        <rFont val="Times New Roman"/>
        <family val="1"/>
      </rPr>
      <t>D1</t>
    </r>
  </si>
  <si>
    <r>
      <rPr>
        <sz val="8"/>
        <rFont val="Times New Roman"/>
        <family val="1"/>
      </rPr>
      <t>NS_4_D; NX_1_D;KY_4_D;NH_1_D; CB_3_D</t>
    </r>
  </si>
  <si>
    <r>
      <rPr>
        <sz val="8"/>
        <rFont val="Times New Roman"/>
        <family val="1"/>
      </rPr>
      <t>+</t>
    </r>
  </si>
  <si>
    <r>
      <rPr>
        <sz val="8"/>
        <rFont val="Times New Roman"/>
        <family val="1"/>
      </rPr>
      <t>chr13</t>
    </r>
  </si>
  <si>
    <r>
      <rPr>
        <sz val="8"/>
        <rFont val="Times New Roman"/>
        <family val="1"/>
      </rPr>
      <t>D2</t>
    </r>
  </si>
  <si>
    <r>
      <rPr>
        <sz val="8"/>
        <rFont val="Times New Roman"/>
        <family val="1"/>
      </rPr>
      <t>NS_3_D;CB_2_D</t>
    </r>
  </si>
  <si>
    <r>
      <rPr>
        <sz val="8"/>
        <rFont val="Times New Roman"/>
        <family val="1"/>
      </rPr>
      <t>chr8</t>
    </r>
  </si>
  <si>
    <r>
      <rPr>
        <sz val="8"/>
        <rFont val="Times New Roman"/>
        <family val="1"/>
      </rPr>
      <t>D3</t>
    </r>
  </si>
  <si>
    <r>
      <rPr>
        <sz val="8"/>
        <rFont val="Times New Roman"/>
        <family val="1"/>
      </rPr>
      <t>chr5</t>
    </r>
  </si>
  <si>
    <r>
      <rPr>
        <sz val="8"/>
        <rFont val="Times New Roman"/>
        <family val="1"/>
      </rPr>
      <t>D4</t>
    </r>
  </si>
  <si>
    <r>
      <rPr>
        <sz val="8"/>
        <rFont val="Times New Roman"/>
        <family val="1"/>
      </rPr>
      <t>NS_1_D</t>
    </r>
  </si>
  <si>
    <r>
      <rPr>
        <sz val="8"/>
        <rFont val="Times New Roman"/>
        <family val="1"/>
      </rPr>
      <t>chr1</t>
    </r>
  </si>
  <si>
    <r>
      <rPr>
        <sz val="8"/>
        <rFont val="Times New Roman"/>
        <family val="1"/>
      </rPr>
      <t>D5</t>
    </r>
  </si>
  <si>
    <r>
      <rPr>
        <sz val="8"/>
        <rFont val="Times New Roman"/>
        <family val="1"/>
      </rPr>
      <t>NS_2_D</t>
    </r>
  </si>
  <si>
    <r>
      <rPr>
        <sz val="8"/>
        <rFont val="Times New Roman"/>
        <family val="1"/>
      </rPr>
      <t>D6</t>
    </r>
  </si>
  <si>
    <r>
      <rPr>
        <sz val="8"/>
        <rFont val="Times New Roman"/>
        <family val="1"/>
      </rPr>
      <t>chr17</t>
    </r>
  </si>
  <si>
    <r>
      <rPr>
        <sz val="8"/>
        <rFont val="Times New Roman"/>
        <family val="1"/>
      </rPr>
      <t>D7</t>
    </r>
  </si>
  <si>
    <r>
      <rPr>
        <sz val="8"/>
        <rFont val="Times New Roman"/>
        <family val="1"/>
      </rPr>
      <t>chrX</t>
    </r>
  </si>
  <si>
    <r>
      <rPr>
        <sz val="8"/>
        <rFont val="Times New Roman"/>
        <family val="1"/>
      </rPr>
      <t>D8</t>
    </r>
  </si>
  <si>
    <r>
      <rPr>
        <sz val="8"/>
        <rFont val="Times New Roman"/>
        <family val="1"/>
      </rPr>
      <t>CB_1_D</t>
    </r>
  </si>
  <si>
    <r>
      <rPr>
        <sz val="8"/>
        <rFont val="Times New Roman"/>
        <family val="1"/>
      </rPr>
      <t>D9</t>
    </r>
  </si>
  <si>
    <r>
      <rPr>
        <sz val="8"/>
        <rFont val="Times New Roman"/>
        <family val="1"/>
      </rPr>
      <t>BM_3_D; MSBJ_7_D; NS_10_D; NX_6_D; CB_4_D</t>
    </r>
  </si>
  <si>
    <r>
      <rPr>
        <sz val="8"/>
        <rFont val="Times New Roman"/>
        <family val="1"/>
      </rPr>
      <t>D10</t>
    </r>
  </si>
  <si>
    <r>
      <rPr>
        <sz val="8"/>
        <rFont val="Times New Roman"/>
        <family val="1"/>
      </rPr>
      <t>chrUn_NW_018085136v1</t>
    </r>
  </si>
  <si>
    <r>
      <rPr>
        <sz val="8"/>
        <rFont val="Times New Roman"/>
        <family val="1"/>
      </rPr>
      <t>D11</t>
    </r>
  </si>
  <si>
    <r>
      <rPr>
        <sz val="8"/>
        <rFont val="Times New Roman"/>
        <family val="1"/>
      </rPr>
      <t>NS_9_D</t>
    </r>
  </si>
  <si>
    <r>
      <rPr>
        <sz val="8"/>
        <rFont val="Times New Roman"/>
        <family val="1"/>
      </rPr>
      <t>chrY</t>
    </r>
  </si>
  <si>
    <r>
      <rPr>
        <sz val="8"/>
        <rFont val="Times New Roman"/>
        <family val="1"/>
      </rPr>
      <t>D12</t>
    </r>
  </si>
  <si>
    <r>
      <rPr>
        <sz val="8"/>
        <rFont val="Times New Roman"/>
        <family val="1"/>
      </rPr>
      <t>NS_8_D</t>
    </r>
  </si>
  <si>
    <r>
      <rPr>
        <sz val="8"/>
        <rFont val="Times New Roman"/>
        <family val="1"/>
      </rPr>
      <t>chr3</t>
    </r>
  </si>
  <si>
    <r>
      <rPr>
        <sz val="8"/>
        <rFont val="Times New Roman"/>
        <family val="1"/>
      </rPr>
      <t>D13</t>
    </r>
  </si>
  <si>
    <r>
      <rPr>
        <sz val="8"/>
        <rFont val="Times New Roman"/>
        <family val="1"/>
      </rPr>
      <t>chrUn_NW_018085086v1</t>
    </r>
  </si>
  <si>
    <r>
      <rPr>
        <sz val="8"/>
        <rFont val="Times New Roman"/>
        <family val="1"/>
      </rPr>
      <t>D14</t>
    </r>
  </si>
  <si>
    <r>
      <rPr>
        <sz val="8"/>
        <rFont val="Times New Roman"/>
        <family val="1"/>
      </rPr>
      <t>chrUn_NW_018085331v1</t>
    </r>
  </si>
  <si>
    <r>
      <rPr>
        <sz val="8"/>
        <rFont val="Times New Roman"/>
        <family val="1"/>
      </rPr>
      <t>D15</t>
    </r>
  </si>
  <si>
    <r>
      <rPr>
        <sz val="8"/>
        <rFont val="Times New Roman"/>
        <family val="1"/>
      </rPr>
      <t>KY_3_D; NH_2_D</t>
    </r>
  </si>
  <si>
    <r>
      <rPr>
        <sz val="8"/>
        <rFont val="Times New Roman"/>
        <family val="1"/>
      </rPr>
      <t>chr14</t>
    </r>
  </si>
  <si>
    <r>
      <rPr>
        <sz val="8"/>
        <rFont val="Times New Roman"/>
        <family val="1"/>
      </rPr>
      <t>D16</t>
    </r>
  </si>
  <si>
    <r>
      <rPr>
        <sz val="8"/>
        <rFont val="Times New Roman"/>
        <family val="1"/>
      </rPr>
      <t>NS_6_D</t>
    </r>
  </si>
  <si>
    <r>
      <rPr>
        <sz val="8"/>
        <rFont val="Times New Roman"/>
        <family val="1"/>
      </rPr>
      <t>chr4</t>
    </r>
  </si>
  <si>
    <r>
      <rPr>
        <sz val="8"/>
        <rFont val="Times New Roman"/>
        <family val="1"/>
      </rPr>
      <t>D17</t>
    </r>
  </si>
  <si>
    <r>
      <rPr>
        <sz val="8"/>
        <rFont val="Times New Roman"/>
        <family val="1"/>
      </rPr>
      <t>NS_7_D</t>
    </r>
  </si>
  <si>
    <r>
      <rPr>
        <sz val="8"/>
        <rFont val="Times New Roman"/>
        <family val="1"/>
      </rPr>
      <t>D18</t>
    </r>
  </si>
  <si>
    <r>
      <rPr>
        <sz val="8"/>
        <rFont val="Times New Roman"/>
        <family val="1"/>
      </rPr>
      <t>chr16</t>
    </r>
  </si>
  <si>
    <r>
      <rPr>
        <sz val="8"/>
        <rFont val="Times New Roman"/>
        <family val="1"/>
      </rPr>
      <t>D19</t>
    </r>
  </si>
  <si>
    <r>
      <rPr>
        <sz val="8"/>
        <rFont val="Times New Roman"/>
        <family val="1"/>
      </rPr>
      <t>MSBJ_2_D;NS_11_D; CB_8_D</t>
    </r>
  </si>
  <si>
    <r>
      <rPr>
        <sz val="8"/>
        <rFont val="Times New Roman"/>
        <family val="1"/>
      </rPr>
      <t>chr11</t>
    </r>
  </si>
  <si>
    <r>
      <rPr>
        <sz val="8"/>
        <rFont val="Times New Roman"/>
        <family val="1"/>
      </rPr>
      <t>D20</t>
    </r>
  </si>
  <si>
    <r>
      <rPr>
        <sz val="8"/>
        <rFont val="Times New Roman"/>
        <family val="1"/>
      </rPr>
      <t>NS_12_D</t>
    </r>
  </si>
  <si>
    <r>
      <rPr>
        <sz val="8"/>
        <rFont val="Times New Roman"/>
        <family val="1"/>
      </rPr>
      <t>chr15</t>
    </r>
  </si>
  <si>
    <r>
      <rPr>
        <sz val="8"/>
        <rFont val="Times New Roman"/>
        <family val="1"/>
      </rPr>
      <t>D21</t>
    </r>
  </si>
  <si>
    <r>
      <rPr>
        <sz val="8"/>
        <rFont val="Times New Roman"/>
        <family val="1"/>
      </rPr>
      <t>NS_5_D;CB_7_D</t>
    </r>
  </si>
  <si>
    <r>
      <rPr>
        <sz val="8"/>
        <rFont val="Times New Roman"/>
        <family val="1"/>
      </rPr>
      <t>chr9</t>
    </r>
  </si>
  <si>
    <r>
      <rPr>
        <sz val="8"/>
        <rFont val="Times New Roman"/>
        <family val="1"/>
      </rPr>
      <t>D23</t>
    </r>
  </si>
  <si>
    <r>
      <rPr>
        <sz val="8"/>
        <rFont val="Times New Roman"/>
        <family val="1"/>
      </rPr>
      <t>MSBJ_6_D;RC_2_D;KY_2_D; CB_6_D</t>
    </r>
  </si>
  <si>
    <r>
      <rPr>
        <sz val="8"/>
        <rFont val="Times New Roman"/>
        <family val="1"/>
      </rPr>
      <t>chr7</t>
    </r>
  </si>
  <si>
    <r>
      <rPr>
        <sz val="8"/>
        <rFont val="Times New Roman"/>
        <family val="1"/>
      </rPr>
      <t>D24</t>
    </r>
  </si>
  <si>
    <r>
      <rPr>
        <sz val="8"/>
        <rFont val="Times New Roman"/>
        <family val="1"/>
      </rPr>
      <t>BM_1_D</t>
    </r>
  </si>
  <si>
    <r>
      <rPr>
        <sz val="8"/>
        <rFont val="Times New Roman"/>
        <family val="1"/>
      </rPr>
      <t>deletion</t>
    </r>
  </si>
  <si>
    <r>
      <rPr>
        <sz val="8"/>
        <rFont val="Times New Roman"/>
        <family val="1"/>
      </rPr>
      <t>C</t>
    </r>
  </si>
  <si>
    <r>
      <rPr>
        <sz val="8"/>
        <rFont val="Times New Roman"/>
        <family val="1"/>
      </rPr>
      <t>BM_2_D</t>
    </r>
  </si>
  <si>
    <r>
      <rPr>
        <sz val="8"/>
        <rFont val="Times New Roman"/>
        <family val="1"/>
      </rPr>
      <t>chrx</t>
    </r>
  </si>
  <si>
    <r>
      <rPr>
        <sz val="8"/>
        <rFont val="Times New Roman"/>
        <family val="1"/>
      </rPr>
      <t>MSBJ_1_D</t>
    </r>
  </si>
  <si>
    <r>
      <rPr>
        <sz val="8"/>
        <rFont val="Times New Roman"/>
        <family val="1"/>
      </rPr>
      <t>MSBJ_8_D</t>
    </r>
  </si>
  <si>
    <r>
      <rPr>
        <sz val="8"/>
        <rFont val="Times New Roman"/>
        <family val="1"/>
      </rPr>
      <t>MSBJ_3_D</t>
    </r>
  </si>
  <si>
    <r>
      <rPr>
        <sz val="8"/>
        <rFont val="Times New Roman"/>
        <family val="1"/>
      </rPr>
      <t>MSBJ_4_D</t>
    </r>
  </si>
  <si>
    <r>
      <rPr>
        <sz val="8"/>
        <rFont val="Times New Roman"/>
        <family val="1"/>
      </rPr>
      <t>MSBJ_5_D</t>
    </r>
  </si>
  <si>
    <r>
      <rPr>
        <sz val="8"/>
        <rFont val="Times New Roman"/>
        <family val="1"/>
      </rPr>
      <t>NS_13_D</t>
    </r>
  </si>
  <si>
    <r>
      <rPr>
        <sz val="8"/>
        <rFont val="Times New Roman"/>
        <family val="1"/>
      </rPr>
      <t>CP071571.1</t>
    </r>
  </si>
  <si>
    <r>
      <rPr>
        <sz val="8"/>
        <rFont val="Times New Roman"/>
        <family val="1"/>
      </rPr>
      <t>RC_1_D</t>
    </r>
  </si>
  <si>
    <r>
      <rPr>
        <sz val="8"/>
        <rFont val="Times New Roman"/>
        <family val="1"/>
      </rPr>
      <t>LUXR01088996.1</t>
    </r>
  </si>
  <si>
    <r>
      <rPr>
        <sz val="8"/>
        <rFont val="Times New Roman"/>
        <family val="1"/>
      </rPr>
      <t>NX_2_D</t>
    </r>
  </si>
  <si>
    <r>
      <rPr>
        <sz val="8"/>
        <rFont val="Times New Roman"/>
        <family val="1"/>
      </rPr>
      <t>chr2</t>
    </r>
  </si>
  <si>
    <r>
      <rPr>
        <sz val="8"/>
        <rFont val="Times New Roman"/>
        <family val="1"/>
      </rPr>
      <t>NX_3_D</t>
    </r>
  </si>
  <si>
    <r>
      <rPr>
        <sz val="8"/>
        <rFont val="Times New Roman"/>
        <family val="1"/>
      </rPr>
      <t>NX_4_D</t>
    </r>
  </si>
  <si>
    <r>
      <rPr>
        <sz val="8"/>
        <rFont val="Times New Roman"/>
        <family val="1"/>
      </rPr>
      <t>NX_5_D</t>
    </r>
  </si>
  <si>
    <r>
      <rPr>
        <sz val="8"/>
        <rFont val="Times New Roman"/>
        <family val="1"/>
      </rPr>
      <t>NX_7_D</t>
    </r>
  </si>
  <si>
    <r>
      <rPr>
        <sz val="8"/>
        <rFont val="Times New Roman"/>
        <family val="1"/>
      </rPr>
      <t>chr6</t>
    </r>
  </si>
  <si>
    <r>
      <rPr>
        <sz val="8"/>
        <rFont val="Times New Roman"/>
        <family val="1"/>
      </rPr>
      <t>CB_5_D</t>
    </r>
  </si>
  <si>
    <r>
      <rPr>
        <sz val="8"/>
        <rFont val="Times New Roman"/>
        <family val="1"/>
      </rPr>
      <t>CM009103.1</t>
    </r>
  </si>
  <si>
    <r>
      <rPr>
        <sz val="8"/>
        <rFont val="Times New Roman"/>
        <family val="1"/>
      </rPr>
      <t>CB_9_D</t>
    </r>
  </si>
  <si>
    <r>
      <rPr>
        <sz val="8"/>
        <rFont val="Times New Roman"/>
        <family val="1"/>
      </rPr>
      <t>NPJO01003478.1</t>
    </r>
  </si>
  <si>
    <r>
      <rPr>
        <sz val="8"/>
        <rFont val="Times New Roman"/>
        <family val="1"/>
      </rPr>
      <t>Note: BM: Bama pig; ros: wild boar; CB: Cross-breed; NX: Ningxiang pig; NS: Sicilian pig; MSBJ: Meishan Pig; RC: Rongchang Pig; D: Duroc pig; KY: Kenyan pig.</t>
    </r>
  </si>
  <si>
    <t>Primer name</t>
  </si>
  <si>
    <t>chromosome</t>
  </si>
  <si>
    <t>ERV_start</t>
  </si>
  <si>
    <t>ERV_end</t>
  </si>
  <si>
    <t>5_LTR_length</t>
  </si>
  <si>
    <t>3_LTR_length</t>
  </si>
  <si>
    <t>aa_length</t>
  </si>
  <si>
    <t>gag_aa_length</t>
  </si>
  <si>
    <t>pol_aa_length</t>
  </si>
  <si>
    <t>env_aa_length</t>
  </si>
  <si>
    <t>In_length</t>
  </si>
  <si>
    <t xml:space="preserve">annothion_erv_full_length </t>
  </si>
  <si>
    <t>annotation</t>
  </si>
  <si>
    <t>D1</t>
  </si>
  <si>
    <t>chr13</t>
  </si>
  <si>
    <t>SscERV6A-I</t>
  </si>
  <si>
    <t>chr7</t>
  </si>
  <si>
    <t>D2</t>
  </si>
  <si>
    <t>chr8</t>
  </si>
  <si>
    <t>D3</t>
  </si>
  <si>
    <t>chr5</t>
  </si>
  <si>
    <t>D4</t>
  </si>
  <si>
    <t>chr1</t>
  </si>
  <si>
    <t>D5</t>
  </si>
  <si>
    <t>chr12</t>
  </si>
  <si>
    <t>D6</t>
  </si>
  <si>
    <t>chr17</t>
  </si>
  <si>
    <t>D7</t>
  </si>
  <si>
    <t>chrX</t>
  </si>
  <si>
    <t>D8</t>
  </si>
  <si>
    <t>D9</t>
  </si>
  <si>
    <t>chr15</t>
  </si>
  <si>
    <t>D10</t>
  </si>
  <si>
    <t>chrUn_NW_018085136v1</t>
  </si>
  <si>
    <t>D11</t>
  </si>
  <si>
    <t>chrY</t>
  </si>
  <si>
    <t>D12</t>
  </si>
  <si>
    <t>chr3</t>
  </si>
  <si>
    <t>SscERV6B-I</t>
  </si>
  <si>
    <t>D13</t>
  </si>
  <si>
    <t>chrUn_NW_018085086v1</t>
  </si>
  <si>
    <t>D14</t>
  </si>
  <si>
    <t>chrUn_NW_018085331v1</t>
  </si>
  <si>
    <t>D15</t>
  </si>
  <si>
    <t>chr14</t>
  </si>
  <si>
    <t>D16</t>
  </si>
  <si>
    <t>chr4</t>
  </si>
  <si>
    <t xml:space="preserve"> </t>
  </si>
  <si>
    <t>D17</t>
  </si>
  <si>
    <t>D18</t>
  </si>
  <si>
    <t>chr16</t>
  </si>
  <si>
    <t>D19</t>
  </si>
  <si>
    <t>chr11</t>
  </si>
  <si>
    <t>D20</t>
  </si>
  <si>
    <t>D21</t>
  </si>
  <si>
    <t>chr9</t>
  </si>
  <si>
    <t>chrUn_NW_018085255v1</t>
  </si>
  <si>
    <t>D23</t>
  </si>
  <si>
    <t>D24</t>
  </si>
  <si>
    <t>start</t>
  </si>
  <si>
    <t>end</t>
  </si>
  <si>
    <t>strand</t>
  </si>
  <si>
    <t>SIDA01000105.1</t>
  </si>
  <si>
    <t>+</t>
  </si>
  <si>
    <t>BM_1_D</t>
  </si>
  <si>
    <t>&amp;&amp;&amp;</t>
  </si>
  <si>
    <t>-</t>
  </si>
  <si>
    <t>BM_2_D</t>
  </si>
  <si>
    <t>chrx</t>
  </si>
  <si>
    <t>BM_3_D</t>
  </si>
  <si>
    <t>D_9</t>
  </si>
  <si>
    <t>无</t>
  </si>
  <si>
    <t>SIDA01000092.1</t>
  </si>
  <si>
    <t>SIDA01000652.1</t>
  </si>
  <si>
    <t>SscERV1-I</t>
  </si>
  <si>
    <t>chr10</t>
  </si>
  <si>
    <t>annoation</t>
  </si>
  <si>
    <t>aa__length</t>
  </si>
  <si>
    <t>LUXV01020898.1</t>
  </si>
  <si>
    <t>LUXW01089741.1</t>
  </si>
  <si>
    <t>LUXW01069599.1</t>
  </si>
  <si>
    <t>LUXW01074277.1</t>
  </si>
  <si>
    <t>前LTR_length</t>
  </si>
  <si>
    <t>后LTR_length</t>
  </si>
  <si>
    <t>CB_1_D</t>
  </si>
  <si>
    <t>D_8</t>
  </si>
  <si>
    <t>CM009098.1</t>
  </si>
  <si>
    <t>LTR/ERVI</t>
  </si>
  <si>
    <t>CB_2_D</t>
  </si>
  <si>
    <t>D_2</t>
  </si>
  <si>
    <t>CM009093.1</t>
  </si>
  <si>
    <t>CB_3_D</t>
  </si>
  <si>
    <t>D_1</t>
  </si>
  <si>
    <t>CB_4_D</t>
  </si>
  <si>
    <t>CM009102.1</t>
  </si>
  <si>
    <t>CB_5_D</t>
  </si>
  <si>
    <t>CM009103.1</t>
  </si>
  <si>
    <t>CM009088.1</t>
  </si>
  <si>
    <t>NPJO01001679.1</t>
  </si>
  <si>
    <t>CB_6_D</t>
  </si>
  <si>
    <t>D_23</t>
  </si>
  <si>
    <t>NPJO01000105.1</t>
  </si>
  <si>
    <t>NPJO01000789.1</t>
  </si>
  <si>
    <t>CM009092.1</t>
  </si>
  <si>
    <t>NPJO01003367.1</t>
  </si>
  <si>
    <t>CB_7_D</t>
  </si>
  <si>
    <t>D_21</t>
  </si>
  <si>
    <t>CM009094.1</t>
  </si>
  <si>
    <t>NPJO01003922.1</t>
  </si>
  <si>
    <t>NPJO01004487.1</t>
  </si>
  <si>
    <t>NPJO01003871.1</t>
  </si>
  <si>
    <t>NPJO01002698.1</t>
  </si>
  <si>
    <t>CB_8_D</t>
  </si>
  <si>
    <t>D_19</t>
  </si>
  <si>
    <t>CM009096.1</t>
  </si>
  <si>
    <t>NPJO01001217.1</t>
  </si>
  <si>
    <t>NPJO01006756.1</t>
  </si>
  <si>
    <t>NPJO01000565.1</t>
  </si>
  <si>
    <t>NPJO01001648.1</t>
  </si>
  <si>
    <t>NPJO01003536.1</t>
  </si>
  <si>
    <t>NPJO01004113.1</t>
  </si>
  <si>
    <t>NPJO01001388.1</t>
  </si>
  <si>
    <t>NPJO01012958.1</t>
  </si>
  <si>
    <t>NPJO01005560.1</t>
  </si>
  <si>
    <t>NPJO01000288.1</t>
  </si>
  <si>
    <t>CM009097.1</t>
  </si>
  <si>
    <t>NPJO01001982.1</t>
  </si>
  <si>
    <t>NPJO01002500.1</t>
  </si>
  <si>
    <t>NPJO01005447.1</t>
  </si>
  <si>
    <t>NPJO01010568.1</t>
  </si>
  <si>
    <t>NPJO01005532.1</t>
  </si>
  <si>
    <t>CM009104.1</t>
  </si>
  <si>
    <t>NPJO01003986.1</t>
  </si>
  <si>
    <t>NPJO01007515.1</t>
  </si>
  <si>
    <t>NPJO01005367.1</t>
  </si>
  <si>
    <t>NPJO01003743.1</t>
  </si>
  <si>
    <t>NPJO01010391.1</t>
  </si>
  <si>
    <t>NPJO01010963.1</t>
  </si>
  <si>
    <t>NPJO01006391.1</t>
  </si>
  <si>
    <t>NPJO01013781.1</t>
  </si>
  <si>
    <t>NPJO01013936.1</t>
  </si>
  <si>
    <t>CM009087.1</t>
  </si>
  <si>
    <t>CB_9_D</t>
  </si>
  <si>
    <t>NPJO01003478.1</t>
  </si>
  <si>
    <t>CM009090.1</t>
  </si>
  <si>
    <t>NPJO01006614.1</t>
  </si>
  <si>
    <t>NPJO01013183.1</t>
  </si>
  <si>
    <t>NPJO01002035.1</t>
  </si>
  <si>
    <t>CM009100.1</t>
  </si>
  <si>
    <t>NPJO01003499.1</t>
  </si>
  <si>
    <t>NPJO01007726.1</t>
  </si>
  <si>
    <t>CM009089.1</t>
  </si>
  <si>
    <t>CB_11_D</t>
  </si>
  <si>
    <t>NPJO01003093.1</t>
  </si>
  <si>
    <t>CM009095.1</t>
  </si>
  <si>
    <t>CB_12_D</t>
  </si>
  <si>
    <t>NPJO01000088.1</t>
  </si>
  <si>
    <t>NPJO01001996.1</t>
  </si>
  <si>
    <t>NPJO01011311.1</t>
  </si>
  <si>
    <t>NPJO01001146.1</t>
  </si>
  <si>
    <t>NPJO01008465.1</t>
  </si>
  <si>
    <t>CM009086.1</t>
  </si>
  <si>
    <t>NPJO01000103.1</t>
  </si>
  <si>
    <t>NPJO01006956.1</t>
  </si>
  <si>
    <t>nt_length</t>
  </si>
  <si>
    <t>LTR_length</t>
  </si>
  <si>
    <t>AOCR01098665.1</t>
  </si>
  <si>
    <t>C</t>
  </si>
  <si>
    <t>AOCR01107158.1</t>
  </si>
  <si>
    <t>AOCR01135586.1</t>
  </si>
  <si>
    <t>SscERV6B-LTR</t>
  </si>
  <si>
    <t>no</t>
  </si>
  <si>
    <t>AOCR01079940.1</t>
  </si>
  <si>
    <t>AOCR01031838.1</t>
  </si>
  <si>
    <t>AOCR01017097.1</t>
  </si>
  <si>
    <t>AOCR01214680.1</t>
  </si>
  <si>
    <t>AOCR01116418.1</t>
  </si>
  <si>
    <t>AOCR01000130.1</t>
  </si>
  <si>
    <t>env</t>
  </si>
  <si>
    <t>LUXY01101100.1</t>
  </si>
  <si>
    <t>LUXY01013808.1</t>
  </si>
  <si>
    <t>JAFEHA010000061.1</t>
  </si>
  <si>
    <t>JAFEHA010000010.1</t>
  </si>
  <si>
    <t>KY_1_D</t>
  </si>
  <si>
    <t>JAFEHA010000032.1</t>
  </si>
  <si>
    <t>KY_2_D</t>
  </si>
  <si>
    <t>JAFEHA010000222.1</t>
  </si>
  <si>
    <t>KY_3_D</t>
  </si>
  <si>
    <t>D_15</t>
  </si>
  <si>
    <t>JAFEHA010000044.1</t>
  </si>
  <si>
    <t>KY_4_D</t>
  </si>
  <si>
    <t>JAFEHA010000002.1</t>
  </si>
  <si>
    <t>​It may be that the assembly level of the genome in this breed is not very good and we do not find good results in this breed.</t>
  </si>
  <si>
    <t>gag</t>
  </si>
  <si>
    <t>pol</t>
  </si>
  <si>
    <t>LUXX01063348.1</t>
  </si>
  <si>
    <t>LUXX01033707.1</t>
  </si>
  <si>
    <t>LUXX01080744.1</t>
  </si>
  <si>
    <t>LUXX01006697.1</t>
  </si>
  <si>
    <t>LUXX01090830.1</t>
  </si>
  <si>
    <t>LW_1_D</t>
  </si>
  <si>
    <t>LUXX01045907.1</t>
  </si>
  <si>
    <t>LTR突变情况</t>
  </si>
  <si>
    <t>6.23_6A_6B_LTR_mafft</t>
  </si>
  <si>
    <t>后LTR存在40bp插入</t>
  </si>
  <si>
    <t>MSBJ_1_D</t>
  </si>
  <si>
    <t>MSBJ_8_D</t>
  </si>
  <si>
    <t>&amp;&amp;&amp;&amp;&amp;</t>
  </si>
  <si>
    <t>MSBJ_2_D</t>
  </si>
  <si>
    <t>MSBJ_3_D</t>
  </si>
  <si>
    <t>MSBJ_4_D</t>
  </si>
  <si>
    <t>MSBJ_5_D</t>
  </si>
  <si>
    <t>MSBJ_6_D</t>
  </si>
  <si>
    <t>MSBJ_7_D</t>
  </si>
  <si>
    <t>JABTCQ010000219.1</t>
  </si>
  <si>
    <t>chr2</t>
  </si>
  <si>
    <t>JABTCQ010000095.1</t>
  </si>
  <si>
    <t>LUXQ01071671.1</t>
  </si>
  <si>
    <t>LUXQ01076544.1</t>
  </si>
  <si>
    <t>chry</t>
  </si>
  <si>
    <t>JACDOW010000055.1</t>
  </si>
  <si>
    <t>JACDOW010000046.1</t>
  </si>
  <si>
    <t>NH_1_D</t>
  </si>
  <si>
    <t>chr6</t>
  </si>
  <si>
    <t>NH_2_D</t>
  </si>
  <si>
    <t>JADCTU010000022.1</t>
  </si>
  <si>
    <t>JADCTU010000020.1</t>
  </si>
  <si>
    <t>NX_1_D</t>
  </si>
  <si>
    <t>NX_2_D</t>
  </si>
  <si>
    <t>NX_3_D</t>
  </si>
  <si>
    <t>NX_4_D</t>
  </si>
  <si>
    <t>NX_5_D</t>
  </si>
  <si>
    <t>NX_6_D</t>
  </si>
  <si>
    <t>NX_7_D</t>
  </si>
  <si>
    <t>NS_13_D</t>
  </si>
  <si>
    <t>CP071571.1</t>
  </si>
  <si>
    <t>CP071564.1</t>
  </si>
  <si>
    <t>NS_1_D</t>
  </si>
  <si>
    <t>D_4</t>
  </si>
  <si>
    <t>CP071552.1</t>
  </si>
  <si>
    <t>CP071563.1</t>
  </si>
  <si>
    <t>NS_2_D</t>
  </si>
  <si>
    <t>D_5</t>
  </si>
  <si>
    <t>NS_3_D</t>
  </si>
  <si>
    <t>CP071559.1</t>
  </si>
  <si>
    <t>CP071570.1</t>
  </si>
  <si>
    <t>NS_4_D</t>
  </si>
  <si>
    <t>CP071553.1</t>
  </si>
  <si>
    <t>NS_5_D</t>
  </si>
  <si>
    <t>CP071560.1</t>
  </si>
  <si>
    <t>NS_6_D</t>
  </si>
  <si>
    <t>D_16</t>
  </si>
  <si>
    <t>CP071555.1</t>
  </si>
  <si>
    <t>NS_7_D</t>
  </si>
  <si>
    <t>D_17</t>
  </si>
  <si>
    <t>NS_8_D</t>
  </si>
  <si>
    <t>D_12</t>
  </si>
  <si>
    <t>CP071554.1</t>
  </si>
  <si>
    <t>CP071556.1</t>
  </si>
  <si>
    <t>NS_9_D</t>
  </si>
  <si>
    <t>D_11</t>
  </si>
  <si>
    <t>NS_10_D</t>
  </si>
  <si>
    <t>CP071568.1</t>
  </si>
  <si>
    <t>NS_11_D</t>
  </si>
  <si>
    <t>CP071562.1</t>
  </si>
  <si>
    <t>CP071558.1</t>
  </si>
  <si>
    <t>CP071567.1</t>
  </si>
  <si>
    <t>CP071566.1</t>
  </si>
  <si>
    <t>NS_12_D</t>
  </si>
  <si>
    <t>D_20</t>
  </si>
  <si>
    <t>CP071565.1</t>
  </si>
  <si>
    <t>LUXU01073709.1</t>
  </si>
  <si>
    <t>LUXU01062474.1</t>
  </si>
  <si>
    <t>LUXU01038095.1</t>
  </si>
  <si>
    <t>LUXR01022139.1</t>
  </si>
  <si>
    <t>LUXR01057621.1</t>
  </si>
  <si>
    <t>RC_1_D</t>
  </si>
  <si>
    <t>LUXR01088996.1</t>
  </si>
  <si>
    <t>RC_2_D</t>
  </si>
  <si>
    <t>LUXR01004647.1</t>
  </si>
  <si>
    <t>AJKK01232762.1</t>
  </si>
  <si>
    <t>Supplementary Table 2. Fl-ERV prediction of 19 pig breeds</t>
    <phoneticPr fontId="5" type="noConversion"/>
  </si>
  <si>
    <t>Supplementary Table 2. Fl-ERV prediction of 19 pig breeds——Duroc.</t>
    <phoneticPr fontId="5" type="noConversion"/>
  </si>
  <si>
    <t>Supplementary Table 2. Fl-ERV prediction of 19 pig breeds——Bama.</t>
    <phoneticPr fontId="5" type="noConversion"/>
  </si>
  <si>
    <t>Supplementary Table 2. Fl-ERV prediction of 19 pig breeds——Bamei.</t>
    <phoneticPr fontId="5" type="noConversion"/>
  </si>
  <si>
    <t>Supplementary Table 2. Fl-ERV prediction of 19 pig breeds——Berkshire.</t>
    <phoneticPr fontId="5" type="noConversion"/>
  </si>
  <si>
    <t>Supplementary Table 2. Fl-ERV prediction of 19 pig breeds——cross-bred.</t>
    <phoneticPr fontId="5" type="noConversion"/>
  </si>
  <si>
    <t>Supplementary Table 2. Fl-ERV prediction of 19 pig breeds——EGMP.</t>
    <phoneticPr fontId="5" type="noConversion"/>
  </si>
  <si>
    <t>Supplementary Table 2. Fl-ERV prediction of 19 pig breeds——Jinhua.</t>
    <phoneticPr fontId="5" type="noConversion"/>
  </si>
  <si>
    <t>Supplementary Table 2. Fl-ERV prediction of 19 pig breeds——Kenya.</t>
    <phoneticPr fontId="5" type="noConversion"/>
  </si>
  <si>
    <t>Supplementary Table 2. Fl-ERV prediction of 19 pig breeds——Largewhite.</t>
    <phoneticPr fontId="5" type="noConversion"/>
  </si>
  <si>
    <t>Supplementary Table 2. Fl-ERV prediction of 19 pig breeds——Meishan-Beijing.</t>
    <phoneticPr fontId="5" type="noConversion"/>
  </si>
  <si>
    <t>Supplementary Table 2. Fl-ERV prediction of 19 pig breeds——MSOD.</t>
    <phoneticPr fontId="5" type="noConversion"/>
  </si>
  <si>
    <t>Supplementary Table 2. Fl-ERV prediction of 19 pig breeds——Ninghe.</t>
    <phoneticPr fontId="5" type="noConversion"/>
  </si>
  <si>
    <t>Supplementary Table 2. Fl-ERV prediction of 19 pig breeds——Ningxiang.</t>
    <phoneticPr fontId="5" type="noConversion"/>
  </si>
  <si>
    <t>Supplementary Table 2. Fl-ERV prediction of 19 pig breeds——NS.</t>
    <phoneticPr fontId="5" type="noConversion"/>
  </si>
  <si>
    <t>Supplementary Table 2. Fl-ERV prediction of 19 pig breeds——Pitrain.</t>
    <phoneticPr fontId="5" type="noConversion"/>
  </si>
  <si>
    <t>Supplementary Table 2. Fl-ERV prediction of 19 pig breeds——Rongchang.</t>
    <phoneticPr fontId="5" type="noConversion"/>
  </si>
  <si>
    <t>Supplementary Table 2. Fl-ERV prediction of 19 pig breeds——Wuzhishan.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</si>
</sst>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name val="宋体"/>
      <charset val="134"/>
    </font>
    <font>
      <sz val="12"/>
      <color rgb="FFFF0000"/>
      <name val="宋体"/>
      <charset val="134"/>
    </font>
    <font>
      <sz val="11"/>
      <name val="等线"/>
      <charset val="134"/>
      <scheme val="minor"/>
    </font>
    <font>
      <sz val="8"/>
      <name val="Times New Roman"/>
      <family val="1"/>
    </font>
    <font>
      <sz val="10"/>
      <name val="Times New Roman"/>
      <family val="1"/>
    </font>
    <font>
      <sz val="9"/>
      <name val="宋体"/>
      <family val="3"/>
      <charset val="134"/>
    </font>
    <font>
      <sz val="12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0" xfId="0" applyFont="1">
      <alignment vertical="center"/>
    </xf>
    <xf numFmtId="11" fontId="0" fillId="0" borderId="0" xfId="0" applyNumberFormat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6" fillId="0" borderId="4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3"/>
  <sheetViews>
    <sheetView workbookViewId="0">
      <selection sqref="A1:I1"/>
    </sheetView>
  </sheetViews>
  <sheetFormatPr defaultColWidth="8.83203125" defaultRowHeight="15" x14ac:dyDescent="0.25"/>
  <cols>
    <col min="1" max="1" width="17.25"/>
    <col min="2" max="2" width="31.08203125" bestFit="1" customWidth="1"/>
    <col min="3" max="4" width="5.5"/>
    <col min="5" max="5" width="7.25" customWidth="1"/>
    <col min="6" max="7" width="10.5"/>
    <col min="8" max="8" width="6.5"/>
    <col min="9" max="9" width="10.5"/>
    <col min="10" max="10" width="8.5"/>
    <col min="11" max="11" width="6.5"/>
    <col min="12" max="12" width="5.5"/>
    <col min="13" max="13" width="7.5"/>
    <col min="14" max="16" width="11.58203125"/>
    <col min="17" max="17" width="3.5"/>
  </cols>
  <sheetData>
    <row r="1" spans="1:9" x14ac:dyDescent="0.25">
      <c r="A1" s="11" t="s">
        <v>373</v>
      </c>
      <c r="B1" s="11"/>
      <c r="C1" s="11"/>
      <c r="D1" s="11"/>
      <c r="E1" s="11"/>
      <c r="F1" s="11"/>
      <c r="G1" s="11"/>
      <c r="H1" s="11"/>
      <c r="I1" s="11"/>
    </row>
    <row r="2" spans="1:9" x14ac:dyDescent="0.2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6</v>
      </c>
      <c r="H2" s="12" t="s">
        <v>7</v>
      </c>
      <c r="I2" s="12" t="s">
        <v>8</v>
      </c>
    </row>
    <row r="3" spans="1:9" x14ac:dyDescent="0.25">
      <c r="A3" s="12"/>
      <c r="B3" s="12"/>
      <c r="C3" s="12"/>
      <c r="D3" s="12"/>
      <c r="E3" s="12"/>
      <c r="F3" s="12"/>
      <c r="G3" s="12"/>
      <c r="H3" s="12"/>
      <c r="I3" s="12"/>
    </row>
    <row r="4" spans="1:9" x14ac:dyDescent="0.25">
      <c r="A4" s="8" t="s">
        <v>9</v>
      </c>
      <c r="B4" s="9" t="s">
        <v>10</v>
      </c>
      <c r="C4" s="8" t="s">
        <v>11</v>
      </c>
      <c r="D4" s="8" t="s">
        <v>12</v>
      </c>
      <c r="E4" s="8">
        <v>142030847</v>
      </c>
      <c r="F4" s="8">
        <v>142039759</v>
      </c>
      <c r="G4" s="8">
        <v>311</v>
      </c>
      <c r="H4" s="8">
        <v>802</v>
      </c>
      <c r="I4" s="8">
        <v>245</v>
      </c>
    </row>
    <row r="5" spans="1:9" x14ac:dyDescent="0.25">
      <c r="A5" s="8" t="s">
        <v>13</v>
      </c>
      <c r="B5" s="9" t="s">
        <v>14</v>
      </c>
      <c r="C5" s="8" t="s">
        <v>11</v>
      </c>
      <c r="D5" s="8" t="s">
        <v>15</v>
      </c>
      <c r="E5" s="8">
        <v>51570546</v>
      </c>
      <c r="F5" s="8">
        <v>51579460</v>
      </c>
      <c r="G5" s="8">
        <v>471</v>
      </c>
      <c r="H5" s="8">
        <v>690</v>
      </c>
      <c r="I5" s="8">
        <v>220</v>
      </c>
    </row>
    <row r="6" spans="1:9" x14ac:dyDescent="0.25">
      <c r="A6" s="8" t="s">
        <v>16</v>
      </c>
      <c r="B6" s="10"/>
      <c r="C6" s="8" t="s">
        <v>11</v>
      </c>
      <c r="D6" s="8" t="s">
        <v>17</v>
      </c>
      <c r="E6" s="8">
        <v>92185134</v>
      </c>
      <c r="F6" s="8">
        <v>92194051</v>
      </c>
      <c r="G6" s="8">
        <v>417</v>
      </c>
      <c r="H6" s="8">
        <v>881</v>
      </c>
      <c r="I6" s="8">
        <v>220</v>
      </c>
    </row>
    <row r="7" spans="1:9" x14ac:dyDescent="0.25">
      <c r="A7" s="8" t="s">
        <v>18</v>
      </c>
      <c r="B7" s="9" t="s">
        <v>19</v>
      </c>
      <c r="C7" s="8" t="s">
        <v>11</v>
      </c>
      <c r="D7" s="8" t="s">
        <v>20</v>
      </c>
      <c r="E7" s="8">
        <v>262166347</v>
      </c>
      <c r="F7" s="8">
        <v>262175261</v>
      </c>
      <c r="G7" s="8">
        <v>523</v>
      </c>
      <c r="H7" s="8">
        <v>742</v>
      </c>
      <c r="I7" s="8">
        <v>108</v>
      </c>
    </row>
    <row r="8" spans="1:9" x14ac:dyDescent="0.25">
      <c r="A8" s="8" t="s">
        <v>21</v>
      </c>
      <c r="B8" s="9" t="s">
        <v>22</v>
      </c>
      <c r="C8" s="8" t="s">
        <v>11</v>
      </c>
      <c r="D8" s="8" t="s">
        <v>20</v>
      </c>
      <c r="E8" s="8">
        <v>132020281</v>
      </c>
      <c r="F8" s="8">
        <v>132028360</v>
      </c>
      <c r="G8" s="8">
        <v>271</v>
      </c>
      <c r="H8" s="8">
        <v>767</v>
      </c>
      <c r="I8" s="8">
        <v>141</v>
      </c>
    </row>
    <row r="9" spans="1:9" x14ac:dyDescent="0.25">
      <c r="A9" s="8" t="s">
        <v>23</v>
      </c>
      <c r="B9" s="10"/>
      <c r="C9" s="8" t="s">
        <v>11</v>
      </c>
      <c r="D9" s="8" t="s">
        <v>24</v>
      </c>
      <c r="E9" s="8">
        <v>33062883</v>
      </c>
      <c r="F9" s="8">
        <v>33071800</v>
      </c>
      <c r="G9" s="8">
        <v>479</v>
      </c>
      <c r="H9" s="8">
        <v>772</v>
      </c>
      <c r="I9" s="8">
        <v>205</v>
      </c>
    </row>
    <row r="10" spans="1:9" x14ac:dyDescent="0.25">
      <c r="A10" s="8" t="s">
        <v>25</v>
      </c>
      <c r="B10" s="10"/>
      <c r="C10" s="8" t="s">
        <v>11</v>
      </c>
      <c r="D10" s="8" t="s">
        <v>26</v>
      </c>
      <c r="E10" s="8">
        <v>73752987</v>
      </c>
      <c r="F10" s="8">
        <v>73761904</v>
      </c>
      <c r="G10" s="8">
        <v>267</v>
      </c>
      <c r="H10" s="8">
        <v>592</v>
      </c>
      <c r="I10" s="8">
        <v>220</v>
      </c>
    </row>
    <row r="11" spans="1:9" x14ac:dyDescent="0.25">
      <c r="A11" s="8" t="s">
        <v>27</v>
      </c>
      <c r="B11" s="9" t="s">
        <v>28</v>
      </c>
      <c r="C11" s="8" t="s">
        <v>11</v>
      </c>
      <c r="D11" s="8" t="s">
        <v>12</v>
      </c>
      <c r="E11" s="8">
        <v>146750568</v>
      </c>
      <c r="F11" s="8">
        <v>146759664</v>
      </c>
      <c r="G11" s="8">
        <v>362</v>
      </c>
      <c r="H11" s="8">
        <v>1094</v>
      </c>
      <c r="I11" s="8">
        <v>121</v>
      </c>
    </row>
    <row r="12" spans="1:9" x14ac:dyDescent="0.25">
      <c r="A12" s="8" t="s">
        <v>29</v>
      </c>
      <c r="B12" s="9" t="s">
        <v>30</v>
      </c>
      <c r="C12" s="8" t="s">
        <v>11</v>
      </c>
      <c r="D12" s="8" t="s">
        <v>24</v>
      </c>
      <c r="E12" s="8">
        <v>3793914</v>
      </c>
      <c r="F12" s="8">
        <v>3802815</v>
      </c>
      <c r="G12" s="8">
        <v>430</v>
      </c>
      <c r="H12" s="8">
        <v>1088</v>
      </c>
      <c r="I12" s="8">
        <v>468</v>
      </c>
    </row>
    <row r="13" spans="1:9" x14ac:dyDescent="0.25">
      <c r="A13" s="8" t="s">
        <v>31</v>
      </c>
      <c r="B13" s="10"/>
      <c r="C13" s="8" t="s">
        <v>11</v>
      </c>
      <c r="D13" s="8" t="s">
        <v>32</v>
      </c>
      <c r="E13" s="8">
        <v>563793</v>
      </c>
      <c r="F13" s="8">
        <v>572725</v>
      </c>
      <c r="G13" s="8">
        <v>275</v>
      </c>
      <c r="H13" s="8">
        <v>911</v>
      </c>
      <c r="I13" s="8">
        <v>394</v>
      </c>
    </row>
    <row r="14" spans="1:9" x14ac:dyDescent="0.25">
      <c r="A14" s="8" t="s">
        <v>33</v>
      </c>
      <c r="B14" s="9" t="s">
        <v>34</v>
      </c>
      <c r="C14" s="8" t="s">
        <v>11</v>
      </c>
      <c r="D14" s="8" t="s">
        <v>35</v>
      </c>
      <c r="E14" s="8">
        <v>21867228</v>
      </c>
      <c r="F14" s="8">
        <v>21876081</v>
      </c>
      <c r="G14" s="8">
        <v>441</v>
      </c>
      <c r="H14" s="8">
        <v>957</v>
      </c>
      <c r="I14" s="8">
        <v>417</v>
      </c>
    </row>
    <row r="15" spans="1:9" x14ac:dyDescent="0.25">
      <c r="A15" s="8" t="s">
        <v>36</v>
      </c>
      <c r="B15" s="9" t="s">
        <v>37</v>
      </c>
      <c r="C15" s="8" t="s">
        <v>11</v>
      </c>
      <c r="D15" s="8" t="s">
        <v>38</v>
      </c>
      <c r="E15" s="8">
        <v>51108602</v>
      </c>
      <c r="F15" s="8">
        <v>51117361</v>
      </c>
      <c r="G15" s="8">
        <v>492</v>
      </c>
      <c r="H15" s="8">
        <v>901</v>
      </c>
      <c r="I15" s="8">
        <v>121</v>
      </c>
    </row>
    <row r="16" spans="1:9" x14ac:dyDescent="0.25">
      <c r="A16" s="8" t="s">
        <v>39</v>
      </c>
      <c r="B16" s="10"/>
      <c r="C16" s="8" t="s">
        <v>11</v>
      </c>
      <c r="D16" s="8" t="s">
        <v>40</v>
      </c>
      <c r="E16" s="8">
        <v>42197</v>
      </c>
      <c r="F16" s="8">
        <v>50915</v>
      </c>
      <c r="G16" s="8">
        <v>284</v>
      </c>
      <c r="H16" s="8">
        <v>571</v>
      </c>
      <c r="I16" s="8">
        <v>156</v>
      </c>
    </row>
    <row r="17" spans="1:9" x14ac:dyDescent="0.25">
      <c r="A17" s="8" t="s">
        <v>41</v>
      </c>
      <c r="B17" s="10"/>
      <c r="C17" s="8" t="s">
        <v>11</v>
      </c>
      <c r="D17" s="8" t="s">
        <v>42</v>
      </c>
      <c r="E17" s="8">
        <v>13836</v>
      </c>
      <c r="F17" s="8">
        <v>22597</v>
      </c>
      <c r="G17" s="8">
        <v>492</v>
      </c>
      <c r="H17" s="8">
        <v>979</v>
      </c>
      <c r="I17" s="8">
        <v>192</v>
      </c>
    </row>
    <row r="18" spans="1:9" x14ac:dyDescent="0.25">
      <c r="A18" s="8" t="s">
        <v>43</v>
      </c>
      <c r="B18" s="9" t="s">
        <v>44</v>
      </c>
      <c r="C18" s="8" t="s">
        <v>11</v>
      </c>
      <c r="D18" s="8" t="s">
        <v>45</v>
      </c>
      <c r="E18" s="8">
        <v>119667621</v>
      </c>
      <c r="F18" s="8">
        <v>119676299</v>
      </c>
      <c r="G18" s="8">
        <v>457</v>
      </c>
      <c r="H18" s="8">
        <v>706</v>
      </c>
      <c r="I18" s="8">
        <v>135</v>
      </c>
    </row>
    <row r="19" spans="1:9" x14ac:dyDescent="0.25">
      <c r="A19" s="8" t="s">
        <v>46</v>
      </c>
      <c r="B19" s="9" t="s">
        <v>47</v>
      </c>
      <c r="C19" s="8" t="s">
        <v>11</v>
      </c>
      <c r="D19" s="8" t="s">
        <v>48</v>
      </c>
      <c r="E19" s="8">
        <v>45599495</v>
      </c>
      <c r="F19" s="8">
        <v>45608253</v>
      </c>
      <c r="G19" s="8">
        <v>465</v>
      </c>
      <c r="H19" s="8">
        <v>901</v>
      </c>
      <c r="I19" s="8">
        <v>121</v>
      </c>
    </row>
    <row r="20" spans="1:9" x14ac:dyDescent="0.25">
      <c r="A20" s="8" t="s">
        <v>49</v>
      </c>
      <c r="B20" s="9" t="s">
        <v>50</v>
      </c>
      <c r="C20" s="8" t="s">
        <v>11</v>
      </c>
      <c r="D20" s="8" t="s">
        <v>15</v>
      </c>
      <c r="E20" s="8">
        <v>15319428</v>
      </c>
      <c r="F20" s="8">
        <v>15328187</v>
      </c>
      <c r="G20" s="8">
        <v>492</v>
      </c>
      <c r="H20" s="8">
        <v>559</v>
      </c>
      <c r="I20" s="8">
        <v>122</v>
      </c>
    </row>
    <row r="21" spans="1:9" x14ac:dyDescent="0.25">
      <c r="A21" s="8" t="s">
        <v>51</v>
      </c>
      <c r="B21" s="10"/>
      <c r="C21" s="8" t="s">
        <v>11</v>
      </c>
      <c r="D21" s="8" t="s">
        <v>52</v>
      </c>
      <c r="E21" s="8">
        <v>59571885</v>
      </c>
      <c r="F21" s="8">
        <v>59580646</v>
      </c>
      <c r="G21" s="8">
        <v>492</v>
      </c>
      <c r="H21" s="8">
        <v>876</v>
      </c>
      <c r="I21" s="8">
        <v>192</v>
      </c>
    </row>
    <row r="22" spans="1:9" x14ac:dyDescent="0.25">
      <c r="A22" s="8" t="s">
        <v>53</v>
      </c>
      <c r="B22" s="9" t="s">
        <v>54</v>
      </c>
      <c r="C22" s="8" t="s">
        <v>11</v>
      </c>
      <c r="D22" s="8" t="s">
        <v>55</v>
      </c>
      <c r="E22" s="8">
        <v>38201361</v>
      </c>
      <c r="F22" s="8">
        <v>38210116</v>
      </c>
      <c r="G22" s="8">
        <v>406</v>
      </c>
      <c r="H22" s="8">
        <v>979</v>
      </c>
      <c r="I22" s="8">
        <v>192</v>
      </c>
    </row>
    <row r="23" spans="1:9" x14ac:dyDescent="0.25">
      <c r="A23" s="8" t="s">
        <v>56</v>
      </c>
      <c r="B23" s="9" t="s">
        <v>57</v>
      </c>
      <c r="C23" s="8" t="s">
        <v>11</v>
      </c>
      <c r="D23" s="8" t="s">
        <v>58</v>
      </c>
      <c r="E23" s="8">
        <v>110958946</v>
      </c>
      <c r="F23" s="8">
        <v>110967783</v>
      </c>
      <c r="G23" s="8">
        <v>417</v>
      </c>
      <c r="H23" s="8">
        <v>1057</v>
      </c>
      <c r="I23" s="8">
        <v>314</v>
      </c>
    </row>
    <row r="24" spans="1:9" x14ac:dyDescent="0.25">
      <c r="A24" s="8" t="s">
        <v>59</v>
      </c>
      <c r="B24" s="9" t="s">
        <v>60</v>
      </c>
      <c r="C24" s="8" t="s">
        <v>11</v>
      </c>
      <c r="D24" s="8" t="s">
        <v>61</v>
      </c>
      <c r="E24" s="8">
        <v>138895584</v>
      </c>
      <c r="F24" s="8">
        <v>138904340</v>
      </c>
      <c r="G24" s="8">
        <v>492</v>
      </c>
      <c r="H24" s="8">
        <v>979</v>
      </c>
      <c r="I24" s="8">
        <v>192</v>
      </c>
    </row>
    <row r="25" spans="1:9" x14ac:dyDescent="0.25">
      <c r="A25" s="8" t="s">
        <v>62</v>
      </c>
      <c r="B25" s="9" t="s">
        <v>63</v>
      </c>
      <c r="C25" s="8" t="s">
        <v>11</v>
      </c>
      <c r="D25" s="8" t="s">
        <v>64</v>
      </c>
      <c r="E25" s="8">
        <v>21236823</v>
      </c>
      <c r="F25" s="8">
        <v>21244313</v>
      </c>
      <c r="G25" s="8">
        <v>287</v>
      </c>
      <c r="H25" s="8">
        <v>506</v>
      </c>
      <c r="I25" s="8">
        <v>313</v>
      </c>
    </row>
    <row r="26" spans="1:9" x14ac:dyDescent="0.25">
      <c r="A26" s="8" t="s">
        <v>65</v>
      </c>
      <c r="B26" s="10"/>
      <c r="C26" s="8" t="s">
        <v>11</v>
      </c>
      <c r="D26" s="8" t="s">
        <v>35</v>
      </c>
      <c r="E26" s="8">
        <v>25245606</v>
      </c>
      <c r="F26" s="8">
        <v>25253905</v>
      </c>
      <c r="G26" s="8">
        <v>417</v>
      </c>
      <c r="H26" s="8">
        <v>1032</v>
      </c>
      <c r="I26" s="8">
        <v>206</v>
      </c>
    </row>
    <row r="27" spans="1:9" x14ac:dyDescent="0.25">
      <c r="A27" s="8" t="s">
        <v>66</v>
      </c>
      <c r="B27" s="8" t="s">
        <v>67</v>
      </c>
      <c r="C27" s="8" t="s">
        <v>68</v>
      </c>
      <c r="D27" s="8" t="s">
        <v>64</v>
      </c>
      <c r="E27" s="8">
        <v>62416555</v>
      </c>
      <c r="F27" s="8">
        <v>62422058</v>
      </c>
      <c r="G27" s="8">
        <v>492</v>
      </c>
      <c r="H27" s="8">
        <v>979</v>
      </c>
      <c r="I27" s="8">
        <v>192</v>
      </c>
    </row>
    <row r="28" spans="1:9" x14ac:dyDescent="0.25">
      <c r="A28" s="8" t="s">
        <v>69</v>
      </c>
      <c r="B28" s="8" t="s">
        <v>67</v>
      </c>
      <c r="C28" s="8" t="s">
        <v>11</v>
      </c>
      <c r="D28" s="8" t="s">
        <v>70</v>
      </c>
      <c r="E28" s="8">
        <v>66738746</v>
      </c>
      <c r="F28" s="8">
        <v>66744246</v>
      </c>
      <c r="G28" s="8">
        <v>492</v>
      </c>
      <c r="H28" s="8">
        <v>743</v>
      </c>
      <c r="I28" s="8">
        <v>156</v>
      </c>
    </row>
    <row r="29" spans="1:9" x14ac:dyDescent="0.25">
      <c r="A29" s="8" t="s">
        <v>71</v>
      </c>
      <c r="B29" s="8" t="s">
        <v>67</v>
      </c>
      <c r="C29" s="8" t="s">
        <v>11</v>
      </c>
      <c r="D29" s="8" t="s">
        <v>64</v>
      </c>
      <c r="E29" s="8">
        <v>126674088</v>
      </c>
      <c r="F29" s="8">
        <v>126679601</v>
      </c>
      <c r="G29" s="8">
        <v>417</v>
      </c>
      <c r="H29" s="8">
        <v>1032</v>
      </c>
      <c r="I29" s="8">
        <v>141</v>
      </c>
    </row>
    <row r="30" spans="1:9" x14ac:dyDescent="0.25">
      <c r="A30" s="8" t="s">
        <v>72</v>
      </c>
      <c r="B30" s="8" t="s">
        <v>67</v>
      </c>
      <c r="C30" s="8" t="s">
        <v>68</v>
      </c>
      <c r="D30" s="8" t="s">
        <v>61</v>
      </c>
      <c r="E30" s="8">
        <v>62631695</v>
      </c>
      <c r="F30" s="8">
        <v>62637198</v>
      </c>
      <c r="G30" s="8">
        <v>492</v>
      </c>
      <c r="H30" s="8">
        <v>979</v>
      </c>
      <c r="I30" s="8">
        <v>192</v>
      </c>
    </row>
    <row r="31" spans="1:9" x14ac:dyDescent="0.25">
      <c r="A31" s="8" t="s">
        <v>73</v>
      </c>
      <c r="B31" s="8" t="s">
        <v>67</v>
      </c>
      <c r="C31" s="8" t="s">
        <v>68</v>
      </c>
      <c r="D31" s="8" t="s">
        <v>20</v>
      </c>
      <c r="E31" s="8">
        <v>250447148</v>
      </c>
      <c r="F31" s="8">
        <v>250452649</v>
      </c>
      <c r="G31" s="8">
        <v>492</v>
      </c>
      <c r="H31" s="8">
        <v>889</v>
      </c>
      <c r="I31" s="8">
        <v>121</v>
      </c>
    </row>
    <row r="32" spans="1:9" x14ac:dyDescent="0.25">
      <c r="A32" s="8" t="s">
        <v>74</v>
      </c>
      <c r="B32" s="8" t="s">
        <v>67</v>
      </c>
      <c r="C32" s="8" t="s">
        <v>11</v>
      </c>
      <c r="D32" s="8" t="s">
        <v>70</v>
      </c>
      <c r="E32" s="8">
        <v>74329997</v>
      </c>
      <c r="F32" s="8">
        <v>74335500</v>
      </c>
      <c r="G32" s="8">
        <v>492</v>
      </c>
      <c r="H32" s="8">
        <v>678</v>
      </c>
      <c r="I32" s="8">
        <v>144</v>
      </c>
    </row>
    <row r="33" spans="1:9" x14ac:dyDescent="0.25">
      <c r="A33" s="8" t="s">
        <v>75</v>
      </c>
      <c r="B33" s="8" t="s">
        <v>67</v>
      </c>
      <c r="C33" s="8" t="s">
        <v>68</v>
      </c>
      <c r="D33" s="8" t="s">
        <v>45</v>
      </c>
      <c r="E33" s="8">
        <v>114606606</v>
      </c>
      <c r="F33" s="8">
        <v>114612042</v>
      </c>
      <c r="G33" s="8">
        <v>523</v>
      </c>
      <c r="H33" s="8">
        <v>689</v>
      </c>
      <c r="I33" s="8">
        <v>190</v>
      </c>
    </row>
    <row r="34" spans="1:9" x14ac:dyDescent="0.25">
      <c r="A34" s="8" t="s">
        <v>76</v>
      </c>
      <c r="B34" s="8" t="s">
        <v>67</v>
      </c>
      <c r="C34" s="8" t="s">
        <v>11</v>
      </c>
      <c r="D34" s="8" t="s">
        <v>77</v>
      </c>
      <c r="E34" s="8">
        <v>25214488</v>
      </c>
      <c r="F34" s="8">
        <v>25224001</v>
      </c>
      <c r="G34" s="8">
        <v>417</v>
      </c>
      <c r="H34" s="8">
        <v>1032</v>
      </c>
      <c r="I34" s="8">
        <v>138</v>
      </c>
    </row>
    <row r="35" spans="1:9" x14ac:dyDescent="0.25">
      <c r="A35" s="8" t="s">
        <v>78</v>
      </c>
      <c r="B35" s="8" t="s">
        <v>67</v>
      </c>
      <c r="C35" s="8" t="s">
        <v>68</v>
      </c>
      <c r="D35" s="8" t="s">
        <v>79</v>
      </c>
      <c r="E35" s="8">
        <v>1997965</v>
      </c>
      <c r="F35" s="8">
        <v>2007394</v>
      </c>
      <c r="G35" s="8">
        <v>515</v>
      </c>
      <c r="H35" s="8">
        <v>960</v>
      </c>
      <c r="I35" s="8">
        <v>631</v>
      </c>
    </row>
    <row r="36" spans="1:9" x14ac:dyDescent="0.25">
      <c r="A36" s="8" t="s">
        <v>80</v>
      </c>
      <c r="B36" s="8" t="s">
        <v>67</v>
      </c>
      <c r="C36" s="8" t="s">
        <v>11</v>
      </c>
      <c r="D36" s="8" t="s">
        <v>81</v>
      </c>
      <c r="E36" s="8">
        <v>151052074</v>
      </c>
      <c r="F36" s="8">
        <v>151053575</v>
      </c>
      <c r="G36" s="8">
        <v>492</v>
      </c>
      <c r="H36" s="8">
        <v>979</v>
      </c>
      <c r="I36" s="8">
        <v>192</v>
      </c>
    </row>
    <row r="37" spans="1:9" x14ac:dyDescent="0.25">
      <c r="A37" s="8" t="s">
        <v>82</v>
      </c>
      <c r="B37" s="8" t="s">
        <v>67</v>
      </c>
      <c r="C37" s="8" t="s">
        <v>11</v>
      </c>
      <c r="D37" s="8" t="s">
        <v>70</v>
      </c>
      <c r="E37" s="8">
        <v>73308792</v>
      </c>
      <c r="F37" s="8">
        <v>73310294</v>
      </c>
      <c r="G37" s="8">
        <v>492</v>
      </c>
      <c r="H37" s="8">
        <v>678</v>
      </c>
      <c r="I37" s="8">
        <v>144</v>
      </c>
    </row>
    <row r="38" spans="1:9" x14ac:dyDescent="0.25">
      <c r="A38" s="8" t="s">
        <v>83</v>
      </c>
      <c r="B38" s="8" t="s">
        <v>67</v>
      </c>
      <c r="C38" s="8" t="s">
        <v>11</v>
      </c>
      <c r="D38" s="8" t="s">
        <v>58</v>
      </c>
      <c r="E38" s="8">
        <v>106013270</v>
      </c>
      <c r="F38" s="8">
        <v>106014773</v>
      </c>
      <c r="G38" s="8">
        <v>492</v>
      </c>
      <c r="H38" s="8">
        <v>886</v>
      </c>
      <c r="I38" s="8">
        <v>180</v>
      </c>
    </row>
    <row r="39" spans="1:9" x14ac:dyDescent="0.25">
      <c r="A39" s="8" t="s">
        <v>84</v>
      </c>
      <c r="B39" s="8" t="s">
        <v>67</v>
      </c>
      <c r="C39" s="8" t="s">
        <v>68</v>
      </c>
      <c r="D39" s="8" t="s">
        <v>61</v>
      </c>
      <c r="E39" s="8">
        <v>24240887</v>
      </c>
      <c r="F39" s="8">
        <v>24242393</v>
      </c>
      <c r="G39" s="8">
        <v>497</v>
      </c>
      <c r="H39" s="8">
        <v>1004</v>
      </c>
      <c r="I39" s="8">
        <v>198</v>
      </c>
    </row>
    <row r="40" spans="1:9" x14ac:dyDescent="0.25">
      <c r="A40" s="8" t="s">
        <v>85</v>
      </c>
      <c r="B40" s="8" t="s">
        <v>67</v>
      </c>
      <c r="C40" s="8" t="s">
        <v>68</v>
      </c>
      <c r="D40" s="8" t="s">
        <v>86</v>
      </c>
      <c r="E40" s="8">
        <v>127671341</v>
      </c>
      <c r="F40" s="8">
        <v>127672853</v>
      </c>
      <c r="G40" s="8">
        <v>492</v>
      </c>
      <c r="H40" s="8">
        <v>887</v>
      </c>
      <c r="I40" s="8">
        <v>114</v>
      </c>
    </row>
    <row r="41" spans="1:9" x14ac:dyDescent="0.25">
      <c r="A41" s="8" t="s">
        <v>87</v>
      </c>
      <c r="B41" s="8" t="s">
        <v>67</v>
      </c>
      <c r="C41" s="8" t="s">
        <v>11</v>
      </c>
      <c r="D41" s="8" t="s">
        <v>88</v>
      </c>
      <c r="E41" s="8">
        <v>45295123</v>
      </c>
      <c r="F41" s="8">
        <v>45304632</v>
      </c>
      <c r="G41" s="8">
        <v>333</v>
      </c>
      <c r="H41" s="8">
        <v>679</v>
      </c>
      <c r="I41" s="8">
        <v>138</v>
      </c>
    </row>
    <row r="42" spans="1:9" x14ac:dyDescent="0.25">
      <c r="A42" s="7" t="s">
        <v>89</v>
      </c>
      <c r="B42" s="7" t="s">
        <v>67</v>
      </c>
      <c r="C42" s="7" t="s">
        <v>11</v>
      </c>
      <c r="D42" s="7" t="s">
        <v>90</v>
      </c>
      <c r="E42" s="7">
        <v>5001</v>
      </c>
      <c r="F42" s="7">
        <v>11208</v>
      </c>
      <c r="G42" s="7">
        <v>355</v>
      </c>
      <c r="H42" s="7">
        <v>924</v>
      </c>
      <c r="I42" s="7">
        <v>187</v>
      </c>
    </row>
    <row r="43" spans="1:9" x14ac:dyDescent="0.25">
      <c r="A43" s="9" t="s">
        <v>91</v>
      </c>
      <c r="B43" s="9"/>
      <c r="C43" s="9"/>
      <c r="D43" s="9"/>
      <c r="E43" s="9"/>
      <c r="F43" s="9"/>
      <c r="G43" s="9"/>
    </row>
  </sheetData>
  <mergeCells count="10">
    <mergeCell ref="A1:I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honeticPr fontId="5" type="noConversion"/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>
      <selection activeCell="G15" sqref="G15"/>
    </sheetView>
  </sheetViews>
  <sheetFormatPr defaultColWidth="8.83203125" defaultRowHeight="15" x14ac:dyDescent="0.25"/>
  <sheetData>
    <row r="1" spans="1:1" x14ac:dyDescent="0.25">
      <c r="A1" t="s">
        <v>284</v>
      </c>
    </row>
  </sheetData>
  <phoneticPr fontId="5" type="noConversion"/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8"/>
  <sheetViews>
    <sheetView workbookViewId="0">
      <selection activeCell="C5" sqref="C5"/>
    </sheetView>
  </sheetViews>
  <sheetFormatPr defaultColWidth="8.83203125" defaultRowHeight="15" x14ac:dyDescent="0.25"/>
  <cols>
    <col min="1" max="1" width="12.75" style="1"/>
    <col min="2" max="2" width="16.08203125" style="1"/>
    <col min="3" max="4" width="8.5" style="1"/>
    <col min="5" max="5" width="13.83203125" style="1"/>
    <col min="6" max="6" width="7.5" style="1"/>
    <col min="7" max="7" width="10.5" style="1"/>
    <col min="8" max="8" width="4.5" style="1"/>
    <col min="9" max="9" width="9.5" style="1" customWidth="1"/>
    <col min="10" max="10" width="4.5" style="1"/>
    <col min="11" max="11" width="9.5" style="1" customWidth="1"/>
    <col min="12" max="12" width="4.5" style="1"/>
    <col min="13" max="13" width="9.5" style="1" customWidth="1"/>
    <col min="14" max="32" width="9" style="1"/>
    <col min="33" max="16384" width="8.83203125" style="1"/>
  </cols>
  <sheetData>
    <row r="1" spans="1:12" x14ac:dyDescent="0.25">
      <c r="A1" s="14" t="s">
        <v>382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x14ac:dyDescent="0.25">
      <c r="A2" s="2" t="s">
        <v>92</v>
      </c>
      <c r="B2" s="1" t="s">
        <v>93</v>
      </c>
      <c r="C2" s="1" t="s">
        <v>151</v>
      </c>
      <c r="D2" s="1" t="s">
        <v>152</v>
      </c>
      <c r="E2" s="1" t="s">
        <v>168</v>
      </c>
      <c r="F2" s="1" t="s">
        <v>153</v>
      </c>
      <c r="G2" s="1" t="s">
        <v>98</v>
      </c>
      <c r="H2" s="1" t="s">
        <v>285</v>
      </c>
      <c r="J2" s="1" t="s">
        <v>286</v>
      </c>
      <c r="L2" s="1" t="s">
        <v>270</v>
      </c>
    </row>
    <row r="3" spans="1:12" x14ac:dyDescent="0.25">
      <c r="B3" s="1" t="s">
        <v>287</v>
      </c>
      <c r="C3" s="1">
        <v>281115</v>
      </c>
      <c r="D3" s="1">
        <v>288749</v>
      </c>
      <c r="E3" s="1" t="s">
        <v>262</v>
      </c>
      <c r="F3" s="1" t="s">
        <v>259</v>
      </c>
      <c r="G3" s="1">
        <v>1251</v>
      </c>
    </row>
    <row r="4" spans="1:12" x14ac:dyDescent="0.25">
      <c r="B4" s="1" t="s">
        <v>288</v>
      </c>
      <c r="C4" s="1">
        <v>226134</v>
      </c>
      <c r="D4" s="1">
        <v>232544</v>
      </c>
      <c r="E4" s="1" t="s">
        <v>130</v>
      </c>
      <c r="F4" s="1" t="s">
        <v>155</v>
      </c>
      <c r="G4" s="1">
        <v>691</v>
      </c>
    </row>
    <row r="5" spans="1:12" x14ac:dyDescent="0.25">
      <c r="B5" s="1" t="s">
        <v>289</v>
      </c>
      <c r="C5" s="1">
        <v>110141</v>
      </c>
      <c r="D5" s="1">
        <v>118783</v>
      </c>
      <c r="E5" s="1" t="s">
        <v>107</v>
      </c>
      <c r="F5" s="1" t="s">
        <v>155</v>
      </c>
      <c r="G5" s="1">
        <v>1481</v>
      </c>
    </row>
    <row r="6" spans="1:12" x14ac:dyDescent="0.25">
      <c r="B6" s="1" t="s">
        <v>290</v>
      </c>
      <c r="C6" s="1">
        <v>13319</v>
      </c>
      <c r="D6" s="1">
        <v>24793</v>
      </c>
      <c r="E6" s="1" t="s">
        <v>107</v>
      </c>
      <c r="F6" s="1" t="s">
        <v>155</v>
      </c>
      <c r="G6" s="1">
        <f>1395+221</f>
        <v>1616</v>
      </c>
    </row>
    <row r="7" spans="1:12" x14ac:dyDescent="0.25">
      <c r="B7" s="1" t="s">
        <v>291</v>
      </c>
      <c r="C7" s="1">
        <v>31730</v>
      </c>
      <c r="D7" s="1">
        <v>43227</v>
      </c>
      <c r="E7" s="1" t="s">
        <v>107</v>
      </c>
      <c r="F7" s="1" t="s">
        <v>259</v>
      </c>
      <c r="G7" s="1">
        <f>221+1262</f>
        <v>1483</v>
      </c>
    </row>
    <row r="8" spans="1:12" x14ac:dyDescent="0.25">
      <c r="A8" s="1" t="s">
        <v>292</v>
      </c>
      <c r="B8" s="1" t="s">
        <v>293</v>
      </c>
      <c r="C8" s="1">
        <v>2627112</v>
      </c>
      <c r="D8" s="1">
        <v>2638612</v>
      </c>
      <c r="E8" s="1" t="s">
        <v>130</v>
      </c>
      <c r="F8" s="1" t="s">
        <v>155</v>
      </c>
      <c r="G8" s="1">
        <f>548+1156</f>
        <v>1704</v>
      </c>
      <c r="J8" s="1">
        <f>1461-542</f>
        <v>919</v>
      </c>
    </row>
  </sheetData>
  <mergeCells count="1">
    <mergeCell ref="A1:L1"/>
  </mergeCells>
  <phoneticPr fontId="5" type="noConversion"/>
  <pageMargins left="0.7" right="0.7" top="0.75" bottom="0.75" header="0.3" footer="0.3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25"/>
  <sheetViews>
    <sheetView workbookViewId="0">
      <selection activeCell="F15" sqref="F15"/>
    </sheetView>
  </sheetViews>
  <sheetFormatPr defaultColWidth="8.83203125" defaultRowHeight="15" x14ac:dyDescent="0.25"/>
  <cols>
    <col min="1" max="1" width="12.75" style="1"/>
    <col min="2" max="2" width="6.5" style="1"/>
    <col min="3" max="3" width="19.33203125" style="1"/>
    <col min="4" max="5" width="10.5" style="1"/>
    <col min="6" max="6" width="7.5" style="1"/>
    <col min="7" max="7" width="11.58203125" style="1"/>
    <col min="8" max="8" width="10.5" style="1"/>
    <col min="9" max="9" width="15" style="1"/>
    <col min="10" max="10" width="12.75" style="1"/>
    <col min="11" max="11" width="13.58203125" style="1"/>
    <col min="12" max="12" width="13.83203125" style="1"/>
    <col min="13" max="13" width="13.58203125" style="1"/>
    <col min="14" max="14" width="13.83203125" style="1"/>
    <col min="15" max="15" width="22.75" style="1" hidden="1" customWidth="1"/>
    <col min="16" max="16" width="19.33203125" style="1" hidden="1" customWidth="1"/>
    <col min="17" max="32" width="9" style="1"/>
    <col min="33" max="16384" width="8.83203125" style="1"/>
  </cols>
  <sheetData>
    <row r="1" spans="1:16" x14ac:dyDescent="0.25">
      <c r="A1" s="14" t="s">
        <v>383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6" x14ac:dyDescent="0.25">
      <c r="A2" s="2" t="s">
        <v>92</v>
      </c>
      <c r="C2" s="1" t="s">
        <v>93</v>
      </c>
      <c r="D2" s="1" t="s">
        <v>151</v>
      </c>
      <c r="E2" s="1" t="s">
        <v>152</v>
      </c>
      <c r="F2" s="1" t="s">
        <v>153</v>
      </c>
      <c r="G2" s="1" t="s">
        <v>104</v>
      </c>
      <c r="H2" s="1" t="s">
        <v>98</v>
      </c>
      <c r="I2" s="1" t="s">
        <v>99</v>
      </c>
      <c r="K2" s="1" t="s">
        <v>100</v>
      </c>
      <c r="M2" s="1" t="s">
        <v>101</v>
      </c>
      <c r="P2" s="1" t="s">
        <v>294</v>
      </c>
    </row>
    <row r="3" spans="1:16" x14ac:dyDescent="0.25">
      <c r="C3" s="1" t="s">
        <v>116</v>
      </c>
      <c r="D3" s="1">
        <v>29716559</v>
      </c>
      <c r="E3" s="1">
        <v>29732058</v>
      </c>
      <c r="F3" s="1" t="s">
        <v>155</v>
      </c>
      <c r="G3" s="1" t="s">
        <v>130</v>
      </c>
      <c r="H3" s="1">
        <v>2078</v>
      </c>
      <c r="I3" s="1">
        <v>492</v>
      </c>
      <c r="J3" s="1">
        <f>(492-I3)/492</f>
        <v>0</v>
      </c>
      <c r="K3" s="1">
        <v>971</v>
      </c>
      <c r="L3" s="1">
        <f>(979-K3)/979</f>
        <v>8.171603677221655E-3</v>
      </c>
      <c r="M3" s="1">
        <v>138</v>
      </c>
      <c r="N3" s="1">
        <f>(192-M3)/192</f>
        <v>0.28125</v>
      </c>
      <c r="O3" s="1" t="s">
        <v>295</v>
      </c>
      <c r="P3" s="1" t="s">
        <v>296</v>
      </c>
    </row>
    <row r="4" spans="1:16" x14ac:dyDescent="0.25">
      <c r="A4" s="1" t="s">
        <v>297</v>
      </c>
      <c r="C4" s="1" t="s">
        <v>108</v>
      </c>
      <c r="D4" s="1">
        <v>126669088</v>
      </c>
      <c r="E4" s="1">
        <v>126684601</v>
      </c>
      <c r="F4" s="1" t="s">
        <v>155</v>
      </c>
      <c r="G4" s="1" t="s">
        <v>107</v>
      </c>
      <c r="H4" s="1">
        <f>1570+272</f>
        <v>1842</v>
      </c>
      <c r="I4" s="1">
        <v>417</v>
      </c>
      <c r="J4" s="1">
        <f t="shared" ref="J4:J22" si="0">(492-I4)/492</f>
        <v>0.1524390243902439</v>
      </c>
      <c r="K4" s="1">
        <v>1032</v>
      </c>
      <c r="L4" s="1">
        <f t="shared" ref="L4:L22" si="1">(979-K4)/979</f>
        <v>-5.4136874361593465E-2</v>
      </c>
      <c r="M4" s="1">
        <v>141</v>
      </c>
      <c r="N4" s="1">
        <f t="shared" ref="N4:N22" si="2">(192-M4)/192</f>
        <v>0.265625</v>
      </c>
      <c r="O4" s="1" t="s">
        <v>295</v>
      </c>
    </row>
    <row r="5" spans="1:16" x14ac:dyDescent="0.25">
      <c r="A5" s="1" t="s">
        <v>298</v>
      </c>
      <c r="B5" s="1" t="s">
        <v>299</v>
      </c>
      <c r="C5" s="1" t="s">
        <v>147</v>
      </c>
      <c r="D5" s="1">
        <v>62626695</v>
      </c>
      <c r="E5" s="1">
        <v>62642198</v>
      </c>
      <c r="F5" s="1" t="s">
        <v>158</v>
      </c>
      <c r="G5" s="1" t="s">
        <v>130</v>
      </c>
      <c r="H5" s="1">
        <v>1834</v>
      </c>
      <c r="I5" s="1">
        <v>492</v>
      </c>
      <c r="J5" s="1">
        <f t="shared" si="0"/>
        <v>0</v>
      </c>
      <c r="K5" s="1">
        <v>979</v>
      </c>
      <c r="L5" s="1">
        <f t="shared" si="1"/>
        <v>0</v>
      </c>
      <c r="M5" s="1">
        <v>192</v>
      </c>
      <c r="N5" s="1">
        <f t="shared" si="2"/>
        <v>0</v>
      </c>
      <c r="O5" s="1" t="s">
        <v>295</v>
      </c>
      <c r="P5" s="1">
        <v>1758</v>
      </c>
    </row>
    <row r="6" spans="1:16" x14ac:dyDescent="0.25">
      <c r="A6" s="1" t="s">
        <v>300</v>
      </c>
      <c r="B6" s="1" t="s">
        <v>205</v>
      </c>
      <c r="C6" s="1" t="s">
        <v>144</v>
      </c>
      <c r="D6" s="1">
        <v>41677413</v>
      </c>
      <c r="E6" s="1">
        <v>41692915</v>
      </c>
      <c r="F6" s="1" t="s">
        <v>158</v>
      </c>
      <c r="G6" s="1" t="s">
        <v>130</v>
      </c>
      <c r="H6" s="1">
        <f>251+1510</f>
        <v>1761</v>
      </c>
      <c r="I6" s="1">
        <v>399</v>
      </c>
      <c r="J6" s="1">
        <f t="shared" si="0"/>
        <v>0.18902439024390244</v>
      </c>
      <c r="K6" s="1">
        <v>979</v>
      </c>
      <c r="L6" s="1">
        <f t="shared" si="1"/>
        <v>0</v>
      </c>
      <c r="M6" s="1">
        <v>198</v>
      </c>
      <c r="N6" s="1">
        <f t="shared" si="2"/>
        <v>-3.125E-2</v>
      </c>
      <c r="O6" s="1" t="s">
        <v>295</v>
      </c>
    </row>
    <row r="7" spans="1:16" x14ac:dyDescent="0.25">
      <c r="C7" s="1" t="s">
        <v>129</v>
      </c>
      <c r="D7" s="1">
        <v>19289832</v>
      </c>
      <c r="E7" s="1">
        <v>19303252</v>
      </c>
      <c r="F7" s="1" t="s">
        <v>155</v>
      </c>
      <c r="G7" s="1" t="s">
        <v>130</v>
      </c>
      <c r="H7" s="1">
        <f>739+982</f>
        <v>1721</v>
      </c>
      <c r="I7" s="1">
        <v>522</v>
      </c>
      <c r="J7" s="1">
        <f t="shared" si="0"/>
        <v>-6.097560975609756E-2</v>
      </c>
      <c r="K7" s="1">
        <v>821</v>
      </c>
      <c r="L7" s="1">
        <f t="shared" si="1"/>
        <v>0.16138917262512767</v>
      </c>
      <c r="M7" s="1">
        <v>80</v>
      </c>
      <c r="N7" s="1">
        <f t="shared" si="2"/>
        <v>0.58333333333333337</v>
      </c>
      <c r="O7" s="1" t="s">
        <v>295</v>
      </c>
    </row>
    <row r="8" spans="1:16" x14ac:dyDescent="0.25">
      <c r="A8" s="1" t="s">
        <v>301</v>
      </c>
      <c r="C8" s="1" t="s">
        <v>114</v>
      </c>
      <c r="D8" s="1">
        <v>250442148</v>
      </c>
      <c r="E8" s="1">
        <v>250457649</v>
      </c>
      <c r="F8" s="1" t="s">
        <v>158</v>
      </c>
      <c r="G8" s="1" t="s">
        <v>107</v>
      </c>
      <c r="H8" s="1">
        <v>1688</v>
      </c>
      <c r="I8" s="1">
        <v>492</v>
      </c>
      <c r="J8" s="1">
        <f t="shared" si="0"/>
        <v>0</v>
      </c>
      <c r="K8" s="1">
        <v>889</v>
      </c>
      <c r="L8" s="1">
        <f t="shared" si="1"/>
        <v>9.193054136874361E-2</v>
      </c>
      <c r="M8" s="1">
        <v>121</v>
      </c>
      <c r="N8" s="1">
        <f t="shared" si="2"/>
        <v>0.36979166666666669</v>
      </c>
      <c r="O8" s="1" t="s">
        <v>295</v>
      </c>
    </row>
    <row r="9" spans="1:16" x14ac:dyDescent="0.25">
      <c r="C9" s="1" t="s">
        <v>106</v>
      </c>
      <c r="D9" s="1">
        <v>142205903</v>
      </c>
      <c r="E9" s="1">
        <v>142221412</v>
      </c>
      <c r="F9" s="1" t="s">
        <v>158</v>
      </c>
      <c r="G9" s="1" t="s">
        <v>107</v>
      </c>
      <c r="H9" s="1">
        <f>1403+217</f>
        <v>1620</v>
      </c>
      <c r="I9" s="1">
        <v>206</v>
      </c>
      <c r="J9" s="1">
        <f t="shared" si="0"/>
        <v>0.58130081300813008</v>
      </c>
      <c r="K9" s="1">
        <v>1032</v>
      </c>
      <c r="L9" s="1">
        <f t="shared" si="1"/>
        <v>-5.4136874361593465E-2</v>
      </c>
      <c r="M9" s="1">
        <v>138</v>
      </c>
      <c r="N9" s="1">
        <f t="shared" si="2"/>
        <v>0.28125</v>
      </c>
      <c r="O9" s="1" t="s">
        <v>295</v>
      </c>
    </row>
    <row r="10" spans="1:16" x14ac:dyDescent="0.25">
      <c r="A10" s="1" t="s">
        <v>302</v>
      </c>
      <c r="C10" s="1" t="s">
        <v>160</v>
      </c>
      <c r="D10" s="1">
        <v>74324997</v>
      </c>
      <c r="E10" s="1">
        <v>74340500</v>
      </c>
      <c r="F10" s="1" t="s">
        <v>155</v>
      </c>
      <c r="G10" s="1" t="s">
        <v>130</v>
      </c>
      <c r="H10" s="1">
        <f>120+1364+41</f>
        <v>1525</v>
      </c>
      <c r="I10" s="1">
        <v>492</v>
      </c>
      <c r="J10" s="1">
        <f t="shared" si="0"/>
        <v>0</v>
      </c>
      <c r="K10" s="1">
        <v>678</v>
      </c>
      <c r="L10" s="1">
        <f t="shared" si="1"/>
        <v>0.30745658835546474</v>
      </c>
      <c r="M10" s="1">
        <v>144</v>
      </c>
      <c r="N10" s="1">
        <f t="shared" si="2"/>
        <v>0.25</v>
      </c>
      <c r="O10" s="1" t="s">
        <v>295</v>
      </c>
    </row>
    <row r="11" spans="1:16" x14ac:dyDescent="0.25">
      <c r="A11" s="1" t="s">
        <v>303</v>
      </c>
      <c r="C11" s="1" t="s">
        <v>136</v>
      </c>
      <c r="D11" s="1">
        <v>114601606</v>
      </c>
      <c r="E11" s="1">
        <v>114617042</v>
      </c>
      <c r="F11" s="1" t="s">
        <v>158</v>
      </c>
      <c r="G11" s="1" t="s">
        <v>107</v>
      </c>
      <c r="H11" s="1">
        <f>554+868+42</f>
        <v>1464</v>
      </c>
      <c r="I11" s="1">
        <v>523</v>
      </c>
      <c r="J11" s="1">
        <f t="shared" si="0"/>
        <v>-6.3008130081300809E-2</v>
      </c>
      <c r="K11" s="1">
        <v>689</v>
      </c>
      <c r="L11" s="1">
        <f t="shared" si="1"/>
        <v>0.296220633299285</v>
      </c>
      <c r="M11" s="1">
        <v>190</v>
      </c>
      <c r="N11" s="1">
        <f t="shared" si="2"/>
        <v>1.0416666666666666E-2</v>
      </c>
      <c r="O11" s="1" t="s">
        <v>295</v>
      </c>
    </row>
    <row r="12" spans="1:16" x14ac:dyDescent="0.25">
      <c r="C12" s="1" t="s">
        <v>160</v>
      </c>
      <c r="D12" s="1">
        <v>79077083</v>
      </c>
      <c r="E12" s="1">
        <v>79089570</v>
      </c>
      <c r="F12" s="1" t="s">
        <v>158</v>
      </c>
      <c r="G12" s="1" t="s">
        <v>130</v>
      </c>
      <c r="H12" s="1">
        <v>1410</v>
      </c>
      <c r="I12" s="1">
        <v>168</v>
      </c>
      <c r="J12" s="1">
        <f t="shared" si="0"/>
        <v>0.65853658536585369</v>
      </c>
      <c r="K12" s="1">
        <v>1082</v>
      </c>
      <c r="L12" s="1">
        <f t="shared" si="1"/>
        <v>-0.10520939734422881</v>
      </c>
      <c r="M12" s="1">
        <v>132</v>
      </c>
      <c r="N12" s="1">
        <f t="shared" si="2"/>
        <v>0.3125</v>
      </c>
      <c r="O12" s="1" t="s">
        <v>295</v>
      </c>
    </row>
    <row r="13" spans="1:16" x14ac:dyDescent="0.25">
      <c r="C13" s="1" t="s">
        <v>160</v>
      </c>
      <c r="D13" s="1">
        <v>79060734</v>
      </c>
      <c r="E13" s="1">
        <v>79073221</v>
      </c>
      <c r="F13" s="1" t="s">
        <v>158</v>
      </c>
      <c r="G13" s="1" t="s">
        <v>130</v>
      </c>
      <c r="H13" s="1">
        <v>1410</v>
      </c>
      <c r="I13" s="1">
        <v>168</v>
      </c>
      <c r="J13" s="1">
        <f t="shared" si="0"/>
        <v>0.65853658536585369</v>
      </c>
      <c r="K13" s="1">
        <v>1082</v>
      </c>
      <c r="L13" s="1">
        <f t="shared" si="1"/>
        <v>-0.10520939734422881</v>
      </c>
      <c r="M13" s="1">
        <v>132</v>
      </c>
      <c r="N13" s="1">
        <f t="shared" si="2"/>
        <v>0.3125</v>
      </c>
      <c r="O13" s="1" t="s">
        <v>295</v>
      </c>
    </row>
    <row r="14" spans="1:16" x14ac:dyDescent="0.25">
      <c r="C14" s="1" t="s">
        <v>160</v>
      </c>
      <c r="D14" s="1">
        <v>79068908</v>
      </c>
      <c r="E14" s="1">
        <v>79081395</v>
      </c>
      <c r="F14" s="1" t="s">
        <v>158</v>
      </c>
      <c r="G14" s="1" t="s">
        <v>130</v>
      </c>
      <c r="H14" s="1">
        <v>1410</v>
      </c>
      <c r="I14" s="1">
        <v>168</v>
      </c>
      <c r="J14" s="1">
        <f t="shared" si="0"/>
        <v>0.65853658536585369</v>
      </c>
      <c r="K14" s="1">
        <v>1082</v>
      </c>
      <c r="L14" s="1">
        <f t="shared" si="1"/>
        <v>-0.10520939734422881</v>
      </c>
      <c r="M14" s="1">
        <v>132</v>
      </c>
      <c r="N14" s="1">
        <f t="shared" si="2"/>
        <v>0.3125</v>
      </c>
      <c r="O14" s="1" t="s">
        <v>295</v>
      </c>
    </row>
    <row r="15" spans="1:16" x14ac:dyDescent="0.25">
      <c r="C15" s="1" t="s">
        <v>116</v>
      </c>
      <c r="D15" s="1">
        <v>51343904</v>
      </c>
      <c r="E15" s="1">
        <v>51359429</v>
      </c>
      <c r="F15" s="1" t="s">
        <v>158</v>
      </c>
      <c r="G15" s="1" t="s">
        <v>107</v>
      </c>
      <c r="H15" s="1">
        <f>296+1031+42</f>
        <v>1369</v>
      </c>
      <c r="I15" s="1">
        <v>248</v>
      </c>
      <c r="J15" s="1">
        <f t="shared" si="0"/>
        <v>0.49593495934959347</v>
      </c>
      <c r="K15" s="1">
        <v>872</v>
      </c>
      <c r="L15" s="1">
        <f t="shared" si="1"/>
        <v>0.10929519918283963</v>
      </c>
      <c r="M15" s="1">
        <v>169</v>
      </c>
      <c r="N15" s="1">
        <f t="shared" si="2"/>
        <v>0.11979166666666667</v>
      </c>
      <c r="O15" s="1" t="s">
        <v>295</v>
      </c>
    </row>
    <row r="16" spans="1:16" x14ac:dyDescent="0.25">
      <c r="A16" s="1" t="s">
        <v>304</v>
      </c>
      <c r="B16" s="1" t="s">
        <v>192</v>
      </c>
      <c r="C16" s="1" t="s">
        <v>108</v>
      </c>
      <c r="D16" s="1">
        <v>109165244</v>
      </c>
      <c r="E16" s="1">
        <v>109180743</v>
      </c>
      <c r="F16" s="1" t="s">
        <v>158</v>
      </c>
      <c r="G16" s="1" t="s">
        <v>130</v>
      </c>
      <c r="H16" s="1">
        <f>881+475</f>
        <v>1356</v>
      </c>
      <c r="I16" s="1">
        <v>424</v>
      </c>
      <c r="J16" s="1">
        <f t="shared" si="0"/>
        <v>0.13821138211382114</v>
      </c>
      <c r="K16" s="1">
        <v>658</v>
      </c>
      <c r="L16" s="1">
        <f t="shared" si="1"/>
        <v>0.32788559754851887</v>
      </c>
      <c r="M16" s="1">
        <v>190</v>
      </c>
      <c r="N16" s="1">
        <f t="shared" si="2"/>
        <v>1.0416666666666666E-2</v>
      </c>
      <c r="O16" s="1" t="s">
        <v>295</v>
      </c>
    </row>
    <row r="17" spans="1:16" x14ac:dyDescent="0.25">
      <c r="A17" s="1" t="s">
        <v>305</v>
      </c>
      <c r="B17" s="1" t="s">
        <v>162</v>
      </c>
      <c r="C17" s="1" t="s">
        <v>118</v>
      </c>
      <c r="D17" s="1">
        <v>60155313</v>
      </c>
      <c r="E17" s="1">
        <v>60170830</v>
      </c>
      <c r="F17" s="1" t="s">
        <v>155</v>
      </c>
      <c r="G17" s="1" t="s">
        <v>130</v>
      </c>
      <c r="H17" s="1">
        <v>1330</v>
      </c>
      <c r="I17" s="1">
        <v>472</v>
      </c>
      <c r="J17" s="1">
        <f t="shared" si="0"/>
        <v>4.065040650406504E-2</v>
      </c>
      <c r="K17" s="1">
        <v>735</v>
      </c>
      <c r="L17" s="1">
        <f t="shared" si="1"/>
        <v>0.24923391215526047</v>
      </c>
      <c r="M17" s="1">
        <v>115</v>
      </c>
      <c r="N17" s="1">
        <f t="shared" si="2"/>
        <v>0.40104166666666669</v>
      </c>
      <c r="O17" s="1" t="s">
        <v>295</v>
      </c>
    </row>
    <row r="18" spans="1:16" x14ac:dyDescent="0.25">
      <c r="C18" s="1" t="s">
        <v>306</v>
      </c>
      <c r="D18" s="1">
        <v>288</v>
      </c>
      <c r="E18" s="1">
        <v>15792</v>
      </c>
      <c r="F18" s="1" t="s">
        <v>158</v>
      </c>
      <c r="G18" s="1" t="s">
        <v>130</v>
      </c>
      <c r="H18" s="1">
        <f>1057+175</f>
        <v>1232</v>
      </c>
      <c r="I18" s="1">
        <v>471</v>
      </c>
      <c r="J18" s="1">
        <f t="shared" si="0"/>
        <v>4.2682926829268296E-2</v>
      </c>
      <c r="K18" s="1">
        <v>581</v>
      </c>
      <c r="L18" s="1">
        <f t="shared" si="1"/>
        <v>0.40653728294177732</v>
      </c>
      <c r="M18" s="1">
        <v>111</v>
      </c>
      <c r="N18" s="1">
        <f t="shared" si="2"/>
        <v>0.421875</v>
      </c>
      <c r="O18" s="1" t="s">
        <v>295</v>
      </c>
    </row>
    <row r="19" spans="1:16" x14ac:dyDescent="0.25">
      <c r="C19" s="1" t="s">
        <v>307</v>
      </c>
      <c r="D19" s="1">
        <v>75616962</v>
      </c>
      <c r="E19" s="1">
        <v>75632456</v>
      </c>
      <c r="F19" s="1" t="s">
        <v>155</v>
      </c>
      <c r="G19" s="1" t="s">
        <v>130</v>
      </c>
      <c r="H19" s="1">
        <v>1228</v>
      </c>
      <c r="I19" s="1">
        <v>220</v>
      </c>
      <c r="J19" s="1">
        <f t="shared" si="0"/>
        <v>0.55284552845528456</v>
      </c>
      <c r="K19" s="1">
        <v>758</v>
      </c>
      <c r="L19" s="1">
        <f t="shared" si="1"/>
        <v>0.22574055158324821</v>
      </c>
      <c r="M19" s="1">
        <v>75</v>
      </c>
      <c r="N19" s="1">
        <f t="shared" si="2"/>
        <v>0.609375</v>
      </c>
      <c r="O19" s="1" t="s">
        <v>295</v>
      </c>
      <c r="P19" s="4"/>
    </row>
    <row r="20" spans="1:16" x14ac:dyDescent="0.25">
      <c r="C20" s="1" t="s">
        <v>118</v>
      </c>
      <c r="D20" s="1">
        <v>22066787</v>
      </c>
      <c r="E20" s="1">
        <v>22081660</v>
      </c>
      <c r="F20" s="1" t="s">
        <v>155</v>
      </c>
      <c r="G20" s="1" t="s">
        <v>130</v>
      </c>
      <c r="H20" s="1">
        <v>1167</v>
      </c>
      <c r="I20" s="1">
        <v>185</v>
      </c>
      <c r="J20" s="1">
        <f t="shared" si="0"/>
        <v>0.62398373983739841</v>
      </c>
      <c r="K20" s="1">
        <v>552</v>
      </c>
      <c r="L20" s="1">
        <f t="shared" si="1"/>
        <v>0.43615934627170583</v>
      </c>
      <c r="M20" s="1">
        <v>284</v>
      </c>
      <c r="N20" s="1">
        <f t="shared" si="2"/>
        <v>-0.47916666666666669</v>
      </c>
      <c r="O20" s="1" t="s">
        <v>295</v>
      </c>
      <c r="P20" s="4"/>
    </row>
    <row r="21" spans="1:16" x14ac:dyDescent="0.25">
      <c r="C21" s="1" t="s">
        <v>108</v>
      </c>
      <c r="D21" s="1">
        <v>126762609</v>
      </c>
      <c r="E21" s="1">
        <v>126778136</v>
      </c>
      <c r="F21" s="1" t="s">
        <v>155</v>
      </c>
      <c r="G21" s="1" t="s">
        <v>107</v>
      </c>
      <c r="H21" s="1">
        <f>878+272</f>
        <v>1150</v>
      </c>
      <c r="I21" s="1">
        <v>185</v>
      </c>
      <c r="J21" s="1">
        <f t="shared" si="0"/>
        <v>0.62398373983739841</v>
      </c>
      <c r="K21" s="1">
        <v>676</v>
      </c>
      <c r="L21" s="1">
        <f t="shared" si="1"/>
        <v>0.30949948927477017</v>
      </c>
      <c r="M21" s="1">
        <v>137</v>
      </c>
      <c r="N21" s="1">
        <f t="shared" si="2"/>
        <v>0.28645833333333331</v>
      </c>
      <c r="O21" s="1" t="s">
        <v>295</v>
      </c>
    </row>
    <row r="22" spans="1:16" x14ac:dyDescent="0.25">
      <c r="C22" s="1" t="s">
        <v>160</v>
      </c>
      <c r="D22" s="1">
        <v>79052560</v>
      </c>
      <c r="E22" s="1">
        <v>79065047</v>
      </c>
      <c r="F22" s="1" t="s">
        <v>158</v>
      </c>
      <c r="G22" s="1" t="s">
        <v>130</v>
      </c>
      <c r="H22" s="1">
        <v>1111</v>
      </c>
      <c r="I22" s="1">
        <v>120</v>
      </c>
      <c r="J22" s="1">
        <f t="shared" si="0"/>
        <v>0.75609756097560976</v>
      </c>
      <c r="K22" s="1">
        <v>814</v>
      </c>
      <c r="L22" s="1">
        <f t="shared" si="1"/>
        <v>0.16853932584269662</v>
      </c>
      <c r="M22" s="1">
        <v>133</v>
      </c>
      <c r="N22" s="1">
        <f t="shared" si="2"/>
        <v>0.30729166666666669</v>
      </c>
      <c r="O22" s="1" t="s">
        <v>295</v>
      </c>
    </row>
    <row r="23" spans="1:16" x14ac:dyDescent="0.25">
      <c r="C23" s="1" t="s">
        <v>307</v>
      </c>
      <c r="D23" s="1">
        <v>85081043</v>
      </c>
      <c r="E23" s="1">
        <v>85095293</v>
      </c>
      <c r="F23" s="1" t="s">
        <v>158</v>
      </c>
      <c r="G23" s="1" t="s">
        <v>107</v>
      </c>
      <c r="H23" s="1">
        <f>34+765</f>
        <v>799</v>
      </c>
      <c r="I23" s="1" t="s">
        <v>263</v>
      </c>
      <c r="M23" s="1" t="s">
        <v>263</v>
      </c>
      <c r="O23" s="1" t="s">
        <v>295</v>
      </c>
    </row>
    <row r="24" spans="1:16" x14ac:dyDescent="0.25">
      <c r="C24" s="1" t="s">
        <v>160</v>
      </c>
      <c r="D24" s="1">
        <v>75853941</v>
      </c>
      <c r="E24" s="1">
        <v>75868932</v>
      </c>
      <c r="F24" s="1" t="s">
        <v>158</v>
      </c>
      <c r="G24" s="1" t="s">
        <v>166</v>
      </c>
      <c r="H24" s="1">
        <v>624</v>
      </c>
      <c r="M24" s="1" t="s">
        <v>263</v>
      </c>
      <c r="O24" s="1" t="s">
        <v>295</v>
      </c>
      <c r="P24" s="4"/>
    </row>
    <row r="25" spans="1:16" x14ac:dyDescent="0.25">
      <c r="C25" s="1" t="s">
        <v>308</v>
      </c>
      <c r="D25" s="1">
        <v>17874</v>
      </c>
      <c r="E25" s="1">
        <v>33337</v>
      </c>
      <c r="F25" s="1" t="s">
        <v>155</v>
      </c>
      <c r="G25" s="1" t="s">
        <v>130</v>
      </c>
      <c r="H25" s="1">
        <f>40+402</f>
        <v>442</v>
      </c>
      <c r="I25" s="1" t="s">
        <v>263</v>
      </c>
      <c r="O25" s="1" t="s">
        <v>295</v>
      </c>
    </row>
  </sheetData>
  <mergeCells count="1">
    <mergeCell ref="A1:N1"/>
  </mergeCells>
  <phoneticPr fontId="5" type="noConversion"/>
  <pageMargins left="0.75" right="0.75" top="1" bottom="1" header="0.51180555555555596" footer="0.51180555555555596"/>
  <pageSetup paperSize="9" orientation="portrait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4"/>
  <sheetViews>
    <sheetView workbookViewId="0">
      <selection activeCell="A2" sqref="A2"/>
    </sheetView>
  </sheetViews>
  <sheetFormatPr defaultColWidth="8.83203125" defaultRowHeight="15" x14ac:dyDescent="0.25"/>
  <cols>
    <col min="1" max="1" width="16.08203125" style="1"/>
    <col min="2" max="3" width="8.5" style="1"/>
    <col min="4" max="4" width="10.5" style="1"/>
    <col min="5" max="7" width="15" style="1"/>
    <col min="8" max="8" width="9" style="1"/>
    <col min="9" max="9" width="11.58203125" style="1"/>
    <col min="10" max="32" width="9" style="1"/>
    <col min="33" max="16384" width="8.83203125" style="1"/>
  </cols>
  <sheetData>
    <row r="1" spans="1:9" x14ac:dyDescent="0.25">
      <c r="A1" s="14" t="s">
        <v>384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" t="s">
        <v>93</v>
      </c>
      <c r="B2" s="1" t="s">
        <v>151</v>
      </c>
      <c r="C2" s="1" t="s">
        <v>152</v>
      </c>
      <c r="D2" s="1" t="s">
        <v>98</v>
      </c>
      <c r="E2" s="1" t="s">
        <v>99</v>
      </c>
      <c r="F2" s="1" t="s">
        <v>100</v>
      </c>
      <c r="G2" s="1" t="s">
        <v>101</v>
      </c>
      <c r="H2" s="1" t="s">
        <v>153</v>
      </c>
      <c r="I2" s="1" t="s">
        <v>168</v>
      </c>
    </row>
    <row r="3" spans="1:9" x14ac:dyDescent="0.25">
      <c r="A3" s="1" t="s">
        <v>309</v>
      </c>
      <c r="B3" s="1">
        <v>350347</v>
      </c>
      <c r="C3" s="1">
        <v>368184</v>
      </c>
      <c r="D3" s="1">
        <v>1003</v>
      </c>
      <c r="H3" s="1" t="s">
        <v>155</v>
      </c>
      <c r="I3" s="1" t="s">
        <v>107</v>
      </c>
    </row>
    <row r="4" spans="1:9" x14ac:dyDescent="0.25">
      <c r="A4" s="1" t="s">
        <v>310</v>
      </c>
      <c r="B4" s="1">
        <v>3039912</v>
      </c>
      <c r="C4" s="1">
        <v>3058473</v>
      </c>
      <c r="D4" s="1">
        <v>1096</v>
      </c>
      <c r="H4" s="1" t="s">
        <v>155</v>
      </c>
      <c r="I4" s="1" t="s">
        <v>130</v>
      </c>
    </row>
  </sheetData>
  <mergeCells count="1">
    <mergeCell ref="A1:I1"/>
  </mergeCells>
  <phoneticPr fontId="5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25"/>
  <sheetViews>
    <sheetView workbookViewId="0">
      <selection activeCell="F18" sqref="F18"/>
    </sheetView>
  </sheetViews>
  <sheetFormatPr defaultColWidth="8.83203125" defaultRowHeight="15" x14ac:dyDescent="0.25"/>
  <cols>
    <col min="1" max="1" width="12.75"/>
    <col min="3" max="3" width="19.33203125"/>
    <col min="4" max="5" width="10.5"/>
    <col min="6" max="6" width="11.58203125"/>
    <col min="7" max="7" width="7.5"/>
    <col min="8" max="8" width="10.5"/>
    <col min="9" max="9" width="15"/>
    <col min="10" max="10" width="12.75"/>
    <col min="11" max="11" width="15"/>
    <col min="12" max="12" width="12.75"/>
    <col min="13" max="13" width="15"/>
    <col min="14" max="14" width="12.75"/>
  </cols>
  <sheetData>
    <row r="1" spans="1:14" x14ac:dyDescent="0.25">
      <c r="A1" s="14" t="s">
        <v>385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x14ac:dyDescent="0.25">
      <c r="A2" s="2" t="s">
        <v>92</v>
      </c>
      <c r="B2" s="1"/>
      <c r="C2" s="1" t="s">
        <v>93</v>
      </c>
      <c r="D2" s="1" t="s">
        <v>151</v>
      </c>
      <c r="E2" s="1" t="s">
        <v>152</v>
      </c>
      <c r="F2" s="1" t="s">
        <v>168</v>
      </c>
      <c r="G2" s="1" t="s">
        <v>153</v>
      </c>
      <c r="H2" s="1" t="s">
        <v>98</v>
      </c>
      <c r="I2" s="1" t="s">
        <v>99</v>
      </c>
      <c r="J2" s="1"/>
      <c r="K2" s="1" t="s">
        <v>100</v>
      </c>
      <c r="L2" s="1"/>
      <c r="M2" s="1" t="s">
        <v>101</v>
      </c>
      <c r="N2" s="1"/>
    </row>
    <row r="3" spans="1:14" x14ac:dyDescent="0.25">
      <c r="A3" s="1"/>
      <c r="B3" s="1"/>
      <c r="C3" s="1" t="s">
        <v>311</v>
      </c>
      <c r="D3" s="1">
        <v>4348431</v>
      </c>
      <c r="E3" s="1">
        <v>4356033</v>
      </c>
      <c r="F3" s="1" t="s">
        <v>107</v>
      </c>
      <c r="G3" s="1" t="s">
        <v>259</v>
      </c>
      <c r="H3" s="1">
        <v>333</v>
      </c>
      <c r="I3" s="1"/>
      <c r="J3" s="1"/>
      <c r="K3" s="1"/>
      <c r="L3" s="1"/>
      <c r="M3" s="1"/>
      <c r="N3" s="1"/>
    </row>
    <row r="4" spans="1:14" x14ac:dyDescent="0.25">
      <c r="A4" s="1"/>
      <c r="B4" s="1"/>
      <c r="C4" s="1" t="s">
        <v>112</v>
      </c>
      <c r="D4" s="1">
        <v>33328559</v>
      </c>
      <c r="E4" s="1">
        <v>33336248</v>
      </c>
      <c r="F4" s="1" t="s">
        <v>107</v>
      </c>
      <c r="G4" s="1" t="s">
        <v>155</v>
      </c>
      <c r="H4" s="1">
        <f>273+485</f>
        <v>758</v>
      </c>
      <c r="I4" s="1"/>
      <c r="J4" s="1"/>
      <c r="K4" s="1"/>
      <c r="L4" s="1"/>
      <c r="M4" s="1"/>
      <c r="N4" s="1"/>
    </row>
    <row r="5" spans="1:14" x14ac:dyDescent="0.25">
      <c r="A5" s="1"/>
      <c r="B5" s="1"/>
      <c r="C5" s="1" t="s">
        <v>114</v>
      </c>
      <c r="D5" s="1">
        <v>137359356</v>
      </c>
      <c r="E5" s="1">
        <v>137367327</v>
      </c>
      <c r="F5" s="1" t="s">
        <v>107</v>
      </c>
      <c r="G5" s="1" t="s">
        <v>155</v>
      </c>
      <c r="H5" s="1">
        <f>530+689</f>
        <v>1219</v>
      </c>
      <c r="I5" s="1"/>
      <c r="J5" s="1"/>
      <c r="K5" s="1"/>
      <c r="L5" s="1"/>
      <c r="M5" s="1" t="s">
        <v>263</v>
      </c>
      <c r="N5" s="1"/>
    </row>
    <row r="6" spans="1:14" x14ac:dyDescent="0.25">
      <c r="A6" s="1"/>
      <c r="B6" s="1"/>
      <c r="C6" s="1" t="s">
        <v>307</v>
      </c>
      <c r="D6" s="1">
        <v>56152796</v>
      </c>
      <c r="E6" s="1">
        <v>56161055</v>
      </c>
      <c r="F6" s="1" t="s">
        <v>130</v>
      </c>
      <c r="G6" s="1" t="s">
        <v>155</v>
      </c>
      <c r="H6" s="1">
        <f>57+306</f>
        <v>363</v>
      </c>
      <c r="I6" s="1"/>
      <c r="J6" s="1"/>
      <c r="K6" s="1"/>
      <c r="L6" s="1"/>
      <c r="M6" s="1"/>
      <c r="N6" s="1"/>
    </row>
    <row r="7" spans="1:14" x14ac:dyDescent="0.25">
      <c r="A7" s="1"/>
      <c r="B7" s="1"/>
      <c r="C7" s="1" t="s">
        <v>311</v>
      </c>
      <c r="D7" s="1">
        <v>4343922</v>
      </c>
      <c r="E7" s="1">
        <v>4352291</v>
      </c>
      <c r="F7" s="1" t="s">
        <v>107</v>
      </c>
      <c r="G7" s="1" t="s">
        <v>259</v>
      </c>
      <c r="H7" s="1">
        <v>269</v>
      </c>
      <c r="I7" s="1"/>
      <c r="J7" s="1"/>
      <c r="K7" s="1"/>
      <c r="L7" s="1"/>
      <c r="M7" s="1"/>
      <c r="N7" s="1"/>
    </row>
    <row r="8" spans="1:14" x14ac:dyDescent="0.25">
      <c r="A8" s="1"/>
      <c r="B8" s="1"/>
      <c r="C8" s="1" t="s">
        <v>129</v>
      </c>
      <c r="D8" s="1">
        <v>13393698</v>
      </c>
      <c r="E8" s="1">
        <v>13403130</v>
      </c>
      <c r="F8" s="1" t="s">
        <v>130</v>
      </c>
      <c r="G8" s="1" t="s">
        <v>155</v>
      </c>
      <c r="H8" s="1">
        <v>978</v>
      </c>
      <c r="I8" s="1"/>
      <c r="J8" s="1"/>
      <c r="K8" s="1"/>
      <c r="L8" s="1"/>
      <c r="M8" s="1"/>
      <c r="N8" s="1"/>
    </row>
    <row r="9" spans="1:14" x14ac:dyDescent="0.25">
      <c r="A9" s="1"/>
      <c r="B9" s="1"/>
      <c r="C9" s="1" t="s">
        <v>136</v>
      </c>
      <c r="D9" s="1">
        <v>63289856</v>
      </c>
      <c r="E9" s="1">
        <v>63299690</v>
      </c>
      <c r="F9" s="1" t="s">
        <v>107</v>
      </c>
      <c r="G9" s="1" t="s">
        <v>259</v>
      </c>
      <c r="H9" s="1">
        <v>681</v>
      </c>
      <c r="I9" s="1"/>
      <c r="J9" s="1"/>
      <c r="K9" s="1"/>
      <c r="L9" s="1"/>
      <c r="M9" s="1"/>
      <c r="N9" s="1"/>
    </row>
    <row r="10" spans="1:14" x14ac:dyDescent="0.25">
      <c r="A10" s="1"/>
      <c r="B10" s="1"/>
      <c r="C10" s="1" t="s">
        <v>307</v>
      </c>
      <c r="D10" s="1">
        <v>83458830</v>
      </c>
      <c r="E10" s="1">
        <v>83469097</v>
      </c>
      <c r="F10" s="1" t="s">
        <v>107</v>
      </c>
      <c r="G10" s="1" t="s">
        <v>259</v>
      </c>
      <c r="H10" s="1">
        <v>446</v>
      </c>
      <c r="I10" s="1"/>
      <c r="J10" s="1"/>
      <c r="K10" s="1"/>
      <c r="L10" s="1"/>
      <c r="M10" s="1"/>
      <c r="N10" s="1"/>
    </row>
    <row r="11" spans="1:14" x14ac:dyDescent="0.25">
      <c r="A11" s="1"/>
      <c r="B11" s="1"/>
      <c r="C11" s="1" t="s">
        <v>118</v>
      </c>
      <c r="D11" s="1">
        <v>42075754</v>
      </c>
      <c r="E11" s="1">
        <v>42086617</v>
      </c>
      <c r="F11" s="1" t="s">
        <v>130</v>
      </c>
      <c r="G11" s="1" t="s">
        <v>259</v>
      </c>
      <c r="H11" s="1">
        <v>957</v>
      </c>
      <c r="I11" s="1"/>
      <c r="J11" s="1"/>
      <c r="K11" s="1"/>
      <c r="L11" s="1"/>
      <c r="M11" s="1"/>
      <c r="N11" s="1"/>
    </row>
    <row r="12" spans="1:14" x14ac:dyDescent="0.25">
      <c r="A12" s="1"/>
      <c r="B12" s="1"/>
      <c r="C12" s="1" t="s">
        <v>307</v>
      </c>
      <c r="D12" s="1">
        <v>54912477</v>
      </c>
      <c r="E12" s="1">
        <v>54923971</v>
      </c>
      <c r="F12" s="1" t="s">
        <v>107</v>
      </c>
      <c r="G12" s="1" t="s">
        <v>155</v>
      </c>
      <c r="H12" s="1">
        <f>229+571+142</f>
        <v>942</v>
      </c>
      <c r="I12" s="1"/>
      <c r="J12" s="1"/>
      <c r="K12" s="1"/>
      <c r="L12" s="1"/>
      <c r="M12" s="1"/>
      <c r="N12" s="1"/>
    </row>
    <row r="13" spans="1:14" x14ac:dyDescent="0.25">
      <c r="A13" s="1"/>
      <c r="B13" s="1"/>
      <c r="C13" s="1" t="s">
        <v>108</v>
      </c>
      <c r="D13" s="1">
        <v>21392565</v>
      </c>
      <c r="E13" s="1">
        <v>21404066</v>
      </c>
      <c r="F13" s="1" t="s">
        <v>130</v>
      </c>
      <c r="G13" s="1" t="s">
        <v>155</v>
      </c>
      <c r="H13" s="1">
        <f>429+458</f>
        <v>887</v>
      </c>
      <c r="I13" s="1"/>
      <c r="J13" s="1"/>
      <c r="K13" s="1"/>
      <c r="L13" s="1"/>
      <c r="M13" s="1"/>
      <c r="N13" s="1"/>
    </row>
    <row r="14" spans="1:14" x14ac:dyDescent="0.25">
      <c r="A14" s="1"/>
      <c r="B14" s="1"/>
      <c r="C14" s="1" t="s">
        <v>123</v>
      </c>
      <c r="D14" s="1">
        <v>67616545</v>
      </c>
      <c r="E14" s="1">
        <v>67628049</v>
      </c>
      <c r="F14" s="1" t="s">
        <v>107</v>
      </c>
      <c r="G14" s="1" t="s">
        <v>259</v>
      </c>
      <c r="H14" s="1">
        <v>840</v>
      </c>
      <c r="I14" s="1"/>
      <c r="J14" s="1"/>
      <c r="K14" s="1"/>
      <c r="L14" s="1"/>
      <c r="M14" s="1"/>
      <c r="N14" s="1"/>
    </row>
    <row r="15" spans="1:14" s="3" customFormat="1" x14ac:dyDescent="0.25">
      <c r="A15" s="1"/>
      <c r="B15" s="1"/>
      <c r="C15" s="1" t="s">
        <v>112</v>
      </c>
      <c r="D15" s="1">
        <v>92049668</v>
      </c>
      <c r="E15" s="1">
        <v>92061177</v>
      </c>
      <c r="F15" s="1" t="s">
        <v>130</v>
      </c>
      <c r="G15" s="1" t="s">
        <v>155</v>
      </c>
      <c r="H15" s="1">
        <v>1411</v>
      </c>
      <c r="I15" s="1">
        <v>493</v>
      </c>
      <c r="J15" s="1"/>
      <c r="K15" s="1">
        <f>1123-498</f>
        <v>625</v>
      </c>
      <c r="L15" s="1">
        <f>(979-K15)/979</f>
        <v>0.36159346271705822</v>
      </c>
      <c r="M15" s="1">
        <f>1283-1124</f>
        <v>159</v>
      </c>
      <c r="N15" s="1"/>
    </row>
    <row r="16" spans="1:14" x14ac:dyDescent="0.25">
      <c r="A16" s="1"/>
      <c r="B16" s="1"/>
      <c r="C16" s="1" t="s">
        <v>312</v>
      </c>
      <c r="D16" s="1">
        <v>28662</v>
      </c>
      <c r="E16" s="1">
        <v>40172</v>
      </c>
      <c r="F16" s="1" t="s">
        <v>130</v>
      </c>
      <c r="G16" s="1" t="s">
        <v>155</v>
      </c>
      <c r="H16" s="1">
        <f>259+104</f>
        <v>363</v>
      </c>
      <c r="I16" s="1"/>
      <c r="J16" s="1"/>
      <c r="K16" s="1"/>
      <c r="L16" s="1"/>
      <c r="M16" s="1"/>
      <c r="N16" s="1"/>
    </row>
    <row r="17" spans="1:14" x14ac:dyDescent="0.25">
      <c r="A17" s="1"/>
      <c r="B17" s="1"/>
      <c r="C17" s="1" t="s">
        <v>313</v>
      </c>
      <c r="D17" s="1">
        <v>6425</v>
      </c>
      <c r="E17" s="1">
        <v>17937</v>
      </c>
      <c r="F17" s="1" t="s">
        <v>130</v>
      </c>
      <c r="G17" s="1" t="s">
        <v>259</v>
      </c>
      <c r="H17" s="1">
        <v>866</v>
      </c>
      <c r="I17" s="1"/>
      <c r="J17" s="1"/>
      <c r="K17" s="1"/>
      <c r="L17" s="1"/>
      <c r="M17" s="1"/>
      <c r="N17" s="1"/>
    </row>
    <row r="18" spans="1:14" x14ac:dyDescent="0.25">
      <c r="A18" s="1"/>
      <c r="B18" s="1"/>
      <c r="C18" s="1" t="s">
        <v>160</v>
      </c>
      <c r="D18" s="1">
        <v>73261546</v>
      </c>
      <c r="E18" s="1">
        <v>73273059</v>
      </c>
      <c r="F18" s="1" t="s">
        <v>107</v>
      </c>
      <c r="G18" s="1" t="s">
        <v>259</v>
      </c>
      <c r="H18" s="1">
        <v>370</v>
      </c>
      <c r="I18" s="1"/>
      <c r="J18" s="1"/>
      <c r="K18" s="1"/>
      <c r="L18" s="1"/>
      <c r="M18" s="1"/>
      <c r="N18" s="1"/>
    </row>
    <row r="19" spans="1:14" x14ac:dyDescent="0.25">
      <c r="A19" s="1" t="s">
        <v>314</v>
      </c>
      <c r="B19" s="1" t="s">
        <v>184</v>
      </c>
      <c r="C19" s="1" t="s">
        <v>106</v>
      </c>
      <c r="D19" s="1">
        <v>148423143</v>
      </c>
      <c r="E19" s="1">
        <v>148434658</v>
      </c>
      <c r="F19" s="1" t="s">
        <v>107</v>
      </c>
      <c r="G19" s="1" t="s">
        <v>259</v>
      </c>
      <c r="H19" s="1">
        <f>221+898</f>
        <v>1119</v>
      </c>
      <c r="I19" s="1">
        <f>643-304</f>
        <v>339</v>
      </c>
      <c r="J19" s="1"/>
      <c r="K19" s="1">
        <f>1117-606</f>
        <v>511</v>
      </c>
      <c r="L19" s="1"/>
      <c r="M19" s="1">
        <v>220</v>
      </c>
      <c r="N19" s="1"/>
    </row>
    <row r="20" spans="1:14" x14ac:dyDescent="0.25">
      <c r="A20" s="1"/>
      <c r="B20" s="1"/>
      <c r="C20" s="1" t="s">
        <v>142</v>
      </c>
      <c r="D20" s="1">
        <v>59903568</v>
      </c>
      <c r="E20" s="1">
        <v>59915088</v>
      </c>
      <c r="F20" s="1" t="s">
        <v>130</v>
      </c>
      <c r="G20" s="1" t="s">
        <v>155</v>
      </c>
      <c r="H20" s="1">
        <v>714</v>
      </c>
      <c r="I20" s="1"/>
      <c r="J20" s="1"/>
      <c r="K20" s="1"/>
      <c r="L20" s="1"/>
      <c r="M20" s="1"/>
      <c r="N20" s="1"/>
    </row>
    <row r="21" spans="1:14" x14ac:dyDescent="0.25">
      <c r="A21" s="1"/>
      <c r="B21" s="1"/>
      <c r="C21" s="1" t="s">
        <v>116</v>
      </c>
      <c r="D21" s="1">
        <v>51780669</v>
      </c>
      <c r="E21" s="1">
        <v>51792196</v>
      </c>
      <c r="F21" s="1" t="s">
        <v>107</v>
      </c>
      <c r="G21" s="1" t="s">
        <v>259</v>
      </c>
      <c r="H21" s="1">
        <v>970</v>
      </c>
      <c r="I21" s="1"/>
      <c r="J21" s="1"/>
      <c r="K21" s="1"/>
      <c r="L21" s="1"/>
      <c r="M21" s="1"/>
      <c r="N21" s="1"/>
    </row>
    <row r="22" spans="1:14" x14ac:dyDescent="0.25">
      <c r="A22" s="1"/>
      <c r="B22" s="1"/>
      <c r="C22" s="1" t="s">
        <v>315</v>
      </c>
      <c r="D22" s="1">
        <v>175783043</v>
      </c>
      <c r="E22" s="1">
        <v>175794572</v>
      </c>
      <c r="F22" s="1" t="s">
        <v>107</v>
      </c>
      <c r="G22" s="1" t="s">
        <v>259</v>
      </c>
      <c r="H22" s="1">
        <v>897</v>
      </c>
      <c r="I22" s="1"/>
      <c r="J22" s="1"/>
      <c r="K22" s="1"/>
      <c r="L22" s="1"/>
      <c r="M22" s="1"/>
      <c r="N22" s="1"/>
    </row>
    <row r="23" spans="1:14" x14ac:dyDescent="0.25">
      <c r="A23" s="1"/>
      <c r="B23" s="1"/>
      <c r="C23" s="1" t="s">
        <v>129</v>
      </c>
      <c r="D23" s="1">
        <v>51218122</v>
      </c>
      <c r="E23" s="1">
        <v>51229652</v>
      </c>
      <c r="F23" s="1" t="s">
        <v>130</v>
      </c>
      <c r="G23" s="1" t="s">
        <v>259</v>
      </c>
      <c r="H23" s="1">
        <f>122+858</f>
        <v>980</v>
      </c>
      <c r="I23" s="1"/>
      <c r="J23" s="1"/>
      <c r="K23" s="1"/>
      <c r="L23" s="1"/>
      <c r="M23" s="1"/>
      <c r="N23" s="1"/>
    </row>
    <row r="24" spans="1:14" x14ac:dyDescent="0.25">
      <c r="A24" s="1"/>
      <c r="B24" s="1"/>
      <c r="C24" s="1" t="s">
        <v>110</v>
      </c>
      <c r="D24" s="1">
        <v>49806203</v>
      </c>
      <c r="E24" s="1">
        <v>49817733</v>
      </c>
      <c r="F24" s="1" t="s">
        <v>107</v>
      </c>
      <c r="G24" s="1" t="s">
        <v>155</v>
      </c>
      <c r="H24" s="1">
        <f>257+221</f>
        <v>478</v>
      </c>
      <c r="I24" s="1"/>
      <c r="J24" s="1"/>
      <c r="K24" s="1"/>
      <c r="L24" s="1"/>
      <c r="M24" s="1"/>
      <c r="N24" s="1"/>
    </row>
    <row r="25" spans="1:14" x14ac:dyDescent="0.25">
      <c r="A25" s="1" t="s">
        <v>316</v>
      </c>
      <c r="B25" s="1" t="s">
        <v>280</v>
      </c>
      <c r="C25" s="1" t="s">
        <v>136</v>
      </c>
      <c r="D25" s="1">
        <v>121066481</v>
      </c>
      <c r="E25" s="1">
        <v>121078015</v>
      </c>
      <c r="F25" s="1" t="s">
        <v>130</v>
      </c>
      <c r="G25" s="1" t="s">
        <v>155</v>
      </c>
      <c r="H25" s="1">
        <f>315+949</f>
        <v>1264</v>
      </c>
      <c r="I25" s="1">
        <f>331-82</f>
        <v>249</v>
      </c>
      <c r="J25" s="1">
        <f>(492-I25)/492</f>
        <v>0.49390243902439024</v>
      </c>
      <c r="K25" s="1">
        <f>1091-316</f>
        <v>775</v>
      </c>
      <c r="L25" s="1"/>
      <c r="M25" s="1">
        <f>1234-1113</f>
        <v>121</v>
      </c>
      <c r="N25" s="1">
        <f>(192-M25)/192</f>
        <v>0.36979166666666669</v>
      </c>
    </row>
  </sheetData>
  <mergeCells count="1">
    <mergeCell ref="A1:N1"/>
  </mergeCells>
  <phoneticPr fontId="5" type="noConversion"/>
  <pageMargins left="0.7" right="0.7" top="0.75" bottom="0.75" header="0.3" footer="0.3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O21"/>
  <sheetViews>
    <sheetView workbookViewId="0">
      <selection activeCell="F6" sqref="F6"/>
    </sheetView>
  </sheetViews>
  <sheetFormatPr defaultColWidth="8.83203125" defaultRowHeight="15" x14ac:dyDescent="0.25"/>
  <cols>
    <col min="1" max="1" width="12.75"/>
    <col min="2" max="2" width="9"/>
    <col min="3" max="3" width="19.33203125"/>
    <col min="4" max="5" width="10.5"/>
    <col min="6" max="6" width="11.58203125"/>
    <col min="7" max="7" width="9"/>
    <col min="8" max="9" width="10.5"/>
    <col min="10" max="10" width="15"/>
    <col min="11" max="11" width="13.83203125"/>
    <col min="12" max="12" width="13.58203125"/>
    <col min="13" max="13" width="13.83203125"/>
    <col min="14" max="14" width="13.58203125"/>
    <col min="15" max="32" width="9"/>
  </cols>
  <sheetData>
    <row r="1" spans="1:15" x14ac:dyDescent="0.25">
      <c r="A1" s="14" t="s">
        <v>386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5" x14ac:dyDescent="0.25">
      <c r="A2" s="2" t="s">
        <v>92</v>
      </c>
      <c r="B2" s="1"/>
      <c r="C2" s="1" t="s">
        <v>93</v>
      </c>
      <c r="D2" s="1" t="s">
        <v>151</v>
      </c>
      <c r="E2" s="1" t="s">
        <v>152</v>
      </c>
      <c r="F2" s="1" t="s">
        <v>168</v>
      </c>
      <c r="G2" s="1" t="s">
        <v>153</v>
      </c>
      <c r="H2" s="1" t="s">
        <v>256</v>
      </c>
      <c r="I2" s="1" t="s">
        <v>98</v>
      </c>
      <c r="J2" s="1" t="s">
        <v>99</v>
      </c>
      <c r="K2" s="1"/>
      <c r="L2" s="1" t="s">
        <v>100</v>
      </c>
      <c r="M2" s="1"/>
      <c r="N2" s="1" t="s">
        <v>101</v>
      </c>
      <c r="O2" s="1"/>
    </row>
    <row r="3" spans="1:15" x14ac:dyDescent="0.25">
      <c r="A3" s="1"/>
      <c r="B3" s="1"/>
      <c r="C3" s="1" t="s">
        <v>317</v>
      </c>
      <c r="D3" s="1">
        <v>117448</v>
      </c>
      <c r="E3" s="1">
        <v>125836</v>
      </c>
      <c r="F3" s="1" t="s">
        <v>107</v>
      </c>
      <c r="G3" s="1" t="s">
        <v>155</v>
      </c>
      <c r="H3" s="1">
        <v>4389</v>
      </c>
      <c r="I3" s="1">
        <v>1187</v>
      </c>
      <c r="J3" s="1"/>
      <c r="K3" s="1">
        <f t="shared" ref="K3:K21" si="0">(492-J3)/492</f>
        <v>1</v>
      </c>
      <c r="L3" s="1"/>
      <c r="M3" s="1">
        <f>(979-L3)/979</f>
        <v>1</v>
      </c>
      <c r="N3" s="1" t="s">
        <v>163</v>
      </c>
      <c r="O3" s="1" t="e">
        <f>(192-N3)/192</f>
        <v>#VALUE!</v>
      </c>
    </row>
    <row r="4" spans="1:15" x14ac:dyDescent="0.25">
      <c r="A4" s="1"/>
      <c r="B4" s="1"/>
      <c r="C4" s="1" t="s">
        <v>160</v>
      </c>
      <c r="D4" s="1">
        <v>78039362</v>
      </c>
      <c r="E4" s="1">
        <v>78047790</v>
      </c>
      <c r="F4" s="1" t="s">
        <v>130</v>
      </c>
      <c r="G4" s="1" t="s">
        <v>259</v>
      </c>
      <c r="H4" s="1">
        <v>4429</v>
      </c>
      <c r="I4" s="1">
        <v>1162</v>
      </c>
      <c r="J4" s="1">
        <v>168</v>
      </c>
      <c r="K4" s="1">
        <f t="shared" si="0"/>
        <v>0.65853658536585369</v>
      </c>
      <c r="L4" s="1">
        <f>981-167</f>
        <v>814</v>
      </c>
      <c r="M4" s="1">
        <f t="shared" ref="M4:M21" si="1">(979-L4)/979</f>
        <v>0.16853932584269662</v>
      </c>
      <c r="N4" s="1">
        <f>1129-971</f>
        <v>158</v>
      </c>
      <c r="O4" s="1">
        <f t="shared" ref="O4:O21" si="2">(192-N4)/192</f>
        <v>0.17708333333333334</v>
      </c>
    </row>
    <row r="5" spans="1:15" x14ac:dyDescent="0.25">
      <c r="A5" s="1"/>
      <c r="B5" s="1"/>
      <c r="C5" s="1" t="s">
        <v>160</v>
      </c>
      <c r="D5" s="1">
        <v>78030802</v>
      </c>
      <c r="E5" s="1">
        <v>78039288</v>
      </c>
      <c r="F5" s="1" t="s">
        <v>130</v>
      </c>
      <c r="G5" s="1" t="s">
        <v>259</v>
      </c>
      <c r="H5" s="1">
        <v>4487</v>
      </c>
      <c r="I5" s="1">
        <v>1111</v>
      </c>
      <c r="J5" s="1">
        <v>120</v>
      </c>
      <c r="K5" s="1">
        <f t="shared" si="0"/>
        <v>0.75609756097560976</v>
      </c>
      <c r="L5" s="1">
        <f>933-119</f>
        <v>814</v>
      </c>
      <c r="M5" s="1">
        <f t="shared" si="1"/>
        <v>0.16853932584269662</v>
      </c>
      <c r="N5" s="1"/>
      <c r="O5" s="1">
        <f t="shared" si="2"/>
        <v>1</v>
      </c>
    </row>
    <row r="6" spans="1:15" x14ac:dyDescent="0.25">
      <c r="A6" s="1"/>
      <c r="B6" s="1"/>
      <c r="C6" s="1" t="s">
        <v>160</v>
      </c>
      <c r="D6" s="1">
        <v>78047476</v>
      </c>
      <c r="E6" s="1">
        <v>78055962</v>
      </c>
      <c r="F6" s="1" t="s">
        <v>130</v>
      </c>
      <c r="G6" s="1" t="s">
        <v>259</v>
      </c>
      <c r="H6" s="1">
        <v>4487</v>
      </c>
      <c r="I6" s="1">
        <v>1302</v>
      </c>
      <c r="J6" s="1">
        <v>168</v>
      </c>
      <c r="K6" s="1">
        <f t="shared" si="0"/>
        <v>0.65853658536585369</v>
      </c>
      <c r="L6" s="1">
        <f>981-167</f>
        <v>814</v>
      </c>
      <c r="M6" s="1">
        <f t="shared" si="1"/>
        <v>0.16853932584269662</v>
      </c>
      <c r="N6" s="1"/>
      <c r="O6" s="1">
        <f t="shared" si="2"/>
        <v>1</v>
      </c>
    </row>
    <row r="7" spans="1:15" x14ac:dyDescent="0.25">
      <c r="A7" s="1"/>
      <c r="B7" s="1"/>
      <c r="C7" s="1" t="s">
        <v>129</v>
      </c>
      <c r="D7" s="1">
        <v>17331160</v>
      </c>
      <c r="E7" s="1">
        <v>17340578</v>
      </c>
      <c r="F7" s="1" t="s">
        <v>130</v>
      </c>
      <c r="G7" s="1" t="s">
        <v>155</v>
      </c>
      <c r="H7" s="1">
        <v>5419</v>
      </c>
      <c r="I7" s="1">
        <f>673+930</f>
        <v>1603</v>
      </c>
      <c r="J7" s="1">
        <f>673-151</f>
        <v>522</v>
      </c>
      <c r="K7" s="1">
        <f t="shared" si="0"/>
        <v>-6.097560975609756E-2</v>
      </c>
      <c r="L7" s="1">
        <f>1533-667</f>
        <v>866</v>
      </c>
      <c r="M7" s="1">
        <f t="shared" si="1"/>
        <v>0.11542390194075587</v>
      </c>
      <c r="N7" s="1">
        <f>1602-1523</f>
        <v>79</v>
      </c>
      <c r="O7" s="1">
        <f t="shared" si="2"/>
        <v>0.58854166666666663</v>
      </c>
    </row>
    <row r="8" spans="1:15" x14ac:dyDescent="0.25">
      <c r="A8" s="1"/>
      <c r="B8" s="1"/>
      <c r="C8" s="1" t="s">
        <v>307</v>
      </c>
      <c r="D8" s="1">
        <v>77953289</v>
      </c>
      <c r="E8" s="1">
        <v>77963538</v>
      </c>
      <c r="F8" s="1" t="s">
        <v>107</v>
      </c>
      <c r="G8" s="1" t="s">
        <v>259</v>
      </c>
      <c r="H8" s="1">
        <v>6250</v>
      </c>
      <c r="I8" s="1">
        <v>730</v>
      </c>
      <c r="J8" s="1"/>
      <c r="K8" s="1">
        <f t="shared" si="0"/>
        <v>1</v>
      </c>
      <c r="L8" s="1"/>
      <c r="M8" s="1">
        <f t="shared" si="1"/>
        <v>1</v>
      </c>
      <c r="N8" s="1"/>
      <c r="O8" s="1">
        <f t="shared" si="2"/>
        <v>1</v>
      </c>
    </row>
    <row r="9" spans="1:15" x14ac:dyDescent="0.25">
      <c r="A9" s="1"/>
      <c r="B9" s="1"/>
      <c r="C9" s="1" t="s">
        <v>118</v>
      </c>
      <c r="D9" s="1">
        <v>41493094</v>
      </c>
      <c r="E9" s="1">
        <v>41503965</v>
      </c>
      <c r="F9" s="1" t="s">
        <v>130</v>
      </c>
      <c r="G9" s="1" t="s">
        <v>259</v>
      </c>
      <c r="H9" s="1">
        <v>6872</v>
      </c>
      <c r="I9" s="1">
        <f>375+472+237</f>
        <v>1084</v>
      </c>
      <c r="J9" s="1"/>
      <c r="K9" s="1">
        <f t="shared" si="0"/>
        <v>1</v>
      </c>
      <c r="L9" s="1"/>
      <c r="M9" s="1">
        <f t="shared" si="1"/>
        <v>1</v>
      </c>
      <c r="N9" s="1"/>
      <c r="O9" s="1">
        <f t="shared" si="2"/>
        <v>1</v>
      </c>
    </row>
    <row r="10" spans="1:15" x14ac:dyDescent="0.25">
      <c r="A10" s="1"/>
      <c r="B10" s="1"/>
      <c r="C10" s="1" t="s">
        <v>318</v>
      </c>
      <c r="D10" s="1">
        <v>1874916</v>
      </c>
      <c r="E10" s="1">
        <v>1886399</v>
      </c>
      <c r="F10" s="1" t="s">
        <v>107</v>
      </c>
      <c r="G10" s="1" t="s">
        <v>259</v>
      </c>
      <c r="H10" s="1">
        <v>7484</v>
      </c>
      <c r="I10" s="1">
        <v>885</v>
      </c>
      <c r="J10" s="1"/>
      <c r="K10" s="1">
        <f t="shared" si="0"/>
        <v>1</v>
      </c>
      <c r="L10" s="1"/>
      <c r="M10" s="1">
        <f t="shared" si="1"/>
        <v>1</v>
      </c>
      <c r="N10" s="1"/>
      <c r="O10" s="1">
        <f t="shared" si="2"/>
        <v>1</v>
      </c>
    </row>
    <row r="11" spans="1:15" x14ac:dyDescent="0.25">
      <c r="A11" s="1"/>
      <c r="B11" s="1"/>
      <c r="C11" s="1" t="s">
        <v>108</v>
      </c>
      <c r="D11" s="1">
        <v>21284308</v>
      </c>
      <c r="E11" s="1">
        <v>21295807</v>
      </c>
      <c r="F11" s="1" t="s">
        <v>130</v>
      </c>
      <c r="G11" s="1" t="s">
        <v>155</v>
      </c>
      <c r="H11" s="1">
        <v>7500</v>
      </c>
      <c r="I11" s="1">
        <f>584+111</f>
        <v>695</v>
      </c>
      <c r="J11" s="1"/>
      <c r="K11" s="1">
        <f t="shared" si="0"/>
        <v>1</v>
      </c>
      <c r="L11" s="1"/>
      <c r="M11" s="1">
        <f t="shared" si="1"/>
        <v>1</v>
      </c>
      <c r="N11" s="1"/>
      <c r="O11" s="1">
        <f t="shared" si="2"/>
        <v>1</v>
      </c>
    </row>
    <row r="12" spans="1:15" x14ac:dyDescent="0.25">
      <c r="A12" s="1" t="s">
        <v>319</v>
      </c>
      <c r="B12" s="1" t="s">
        <v>184</v>
      </c>
      <c r="C12" s="1" t="s">
        <v>106</v>
      </c>
      <c r="D12" s="1">
        <v>141964190</v>
      </c>
      <c r="E12" s="1">
        <v>141975690</v>
      </c>
      <c r="F12" s="1" t="s">
        <v>107</v>
      </c>
      <c r="G12" s="1" t="s">
        <v>259</v>
      </c>
      <c r="H12" s="1">
        <v>7501</v>
      </c>
      <c r="I12" s="1">
        <f>221+1487</f>
        <v>1708</v>
      </c>
      <c r="J12" s="1">
        <f>696-304</f>
        <v>392</v>
      </c>
      <c r="K12" s="1">
        <f t="shared" si="0"/>
        <v>0.2032520325203252</v>
      </c>
      <c r="L12" s="1">
        <f>1708-719</f>
        <v>989</v>
      </c>
      <c r="M12" s="1">
        <f t="shared" si="1"/>
        <v>-1.0214504596527068E-2</v>
      </c>
      <c r="N12" s="1">
        <v>220</v>
      </c>
      <c r="O12" s="1">
        <f t="shared" si="2"/>
        <v>-0.14583333333333334</v>
      </c>
    </row>
    <row r="13" spans="1:15" x14ac:dyDescent="0.25">
      <c r="A13" s="1" t="s">
        <v>320</v>
      </c>
      <c r="B13" s="1"/>
      <c r="C13" s="1" t="s">
        <v>307</v>
      </c>
      <c r="D13" s="1">
        <v>151047074</v>
      </c>
      <c r="E13" s="1">
        <v>151058575</v>
      </c>
      <c r="F13" s="1" t="s">
        <v>130</v>
      </c>
      <c r="G13" s="1" t="s">
        <v>155</v>
      </c>
      <c r="H13" s="1">
        <v>7502</v>
      </c>
      <c r="I13" s="1">
        <v>1739</v>
      </c>
      <c r="J13" s="1">
        <f>515-23</f>
        <v>492</v>
      </c>
      <c r="K13" s="1">
        <f t="shared" si="0"/>
        <v>0</v>
      </c>
      <c r="L13" s="1">
        <f>1495-516</f>
        <v>979</v>
      </c>
      <c r="M13" s="1">
        <f t="shared" si="1"/>
        <v>0</v>
      </c>
      <c r="N13" s="1">
        <f>1688-1496</f>
        <v>192</v>
      </c>
      <c r="O13" s="1">
        <f t="shared" si="2"/>
        <v>0</v>
      </c>
    </row>
    <row r="14" spans="1:15" x14ac:dyDescent="0.25">
      <c r="A14" s="1" t="s">
        <v>321</v>
      </c>
      <c r="B14" s="1"/>
      <c r="C14" s="1" t="s">
        <v>160</v>
      </c>
      <c r="D14" s="1">
        <v>73303792</v>
      </c>
      <c r="E14" s="1">
        <v>73315294</v>
      </c>
      <c r="F14" s="1" t="s">
        <v>130</v>
      </c>
      <c r="G14" s="1" t="s">
        <v>155</v>
      </c>
      <c r="H14" s="1">
        <v>7503</v>
      </c>
      <c r="I14" s="1">
        <v>1444</v>
      </c>
      <c r="J14" s="1">
        <f>573-81</f>
        <v>492</v>
      </c>
      <c r="K14" s="1">
        <f t="shared" si="0"/>
        <v>0</v>
      </c>
      <c r="L14" s="1">
        <f>1252-574</f>
        <v>678</v>
      </c>
      <c r="M14" s="1">
        <f t="shared" si="1"/>
        <v>0.30745658835546474</v>
      </c>
      <c r="N14" s="1">
        <f>1407-1263</f>
        <v>144</v>
      </c>
      <c r="O14" s="1">
        <f t="shared" si="2"/>
        <v>0.25</v>
      </c>
    </row>
    <row r="15" spans="1:15" x14ac:dyDescent="0.25">
      <c r="A15" s="1" t="s">
        <v>322</v>
      </c>
      <c r="B15" s="1"/>
      <c r="C15" s="1" t="s">
        <v>123</v>
      </c>
      <c r="D15" s="1">
        <v>106008270</v>
      </c>
      <c r="E15" s="1">
        <v>106019773</v>
      </c>
      <c r="F15" s="1" t="s">
        <v>130</v>
      </c>
      <c r="G15" s="1" t="s">
        <v>155</v>
      </c>
      <c r="H15" s="1">
        <v>7504</v>
      </c>
      <c r="I15" s="1">
        <v>1735</v>
      </c>
      <c r="J15" s="1">
        <f>545-53</f>
        <v>492</v>
      </c>
      <c r="K15" s="1">
        <f t="shared" si="0"/>
        <v>0</v>
      </c>
      <c r="L15" s="1">
        <f>1432-546</f>
        <v>886</v>
      </c>
      <c r="M15" s="1">
        <f t="shared" si="1"/>
        <v>9.4994892747701731E-2</v>
      </c>
      <c r="N15" s="1">
        <f>1612-1432</f>
        <v>180</v>
      </c>
      <c r="O15" s="1">
        <f t="shared" si="2"/>
        <v>6.25E-2</v>
      </c>
    </row>
    <row r="16" spans="1:15" x14ac:dyDescent="0.25">
      <c r="A16" s="1"/>
      <c r="B16" s="1"/>
      <c r="C16" s="1" t="s">
        <v>144</v>
      </c>
      <c r="D16" s="1">
        <v>38859390</v>
      </c>
      <c r="E16" s="1">
        <v>38870895</v>
      </c>
      <c r="F16" s="1" t="s">
        <v>130</v>
      </c>
      <c r="G16" s="1" t="s">
        <v>155</v>
      </c>
      <c r="H16" s="1">
        <v>7506</v>
      </c>
      <c r="I16" s="1">
        <v>1529</v>
      </c>
      <c r="J16" s="1">
        <f>250-49</f>
        <v>201</v>
      </c>
      <c r="K16" s="1">
        <f t="shared" si="0"/>
        <v>0.59146341463414631</v>
      </c>
      <c r="L16" s="1">
        <f>1216-251</f>
        <v>965</v>
      </c>
      <c r="M16" s="1">
        <f t="shared" si="1"/>
        <v>1.4300306435137897E-2</v>
      </c>
      <c r="N16" s="1">
        <f>1499-1214</f>
        <v>285</v>
      </c>
      <c r="O16" s="1">
        <f t="shared" si="2"/>
        <v>-0.484375</v>
      </c>
    </row>
    <row r="17" spans="1:15" x14ac:dyDescent="0.25">
      <c r="A17" s="1" t="s">
        <v>323</v>
      </c>
      <c r="B17" s="1"/>
      <c r="C17" s="1" t="s">
        <v>147</v>
      </c>
      <c r="D17" s="1">
        <v>24235887</v>
      </c>
      <c r="E17" s="1">
        <v>24247393</v>
      </c>
      <c r="F17" s="1" t="s">
        <v>130</v>
      </c>
      <c r="G17" s="1" t="s">
        <v>259</v>
      </c>
      <c r="H17" s="1">
        <v>7507</v>
      </c>
      <c r="I17" s="1">
        <v>1764</v>
      </c>
      <c r="J17" s="1">
        <f>512-15</f>
        <v>497</v>
      </c>
      <c r="K17" s="1">
        <f t="shared" si="0"/>
        <v>-1.016260162601626E-2</v>
      </c>
      <c r="L17" s="1">
        <f>1537-533</f>
        <v>1004</v>
      </c>
      <c r="M17" s="1">
        <f t="shared" si="1"/>
        <v>-2.5536261491317672E-2</v>
      </c>
      <c r="N17" s="1">
        <f>1736-1538</f>
        <v>198</v>
      </c>
      <c r="O17" s="1">
        <f t="shared" si="2"/>
        <v>-3.125E-2</v>
      </c>
    </row>
    <row r="18" spans="1:15" x14ac:dyDescent="0.25">
      <c r="A18" s="1"/>
      <c r="B18" s="1"/>
      <c r="C18" s="1" t="s">
        <v>116</v>
      </c>
      <c r="D18" s="1">
        <v>29862784</v>
      </c>
      <c r="E18" s="1">
        <v>29874291</v>
      </c>
      <c r="F18" s="1" t="s">
        <v>130</v>
      </c>
      <c r="G18" s="1" t="s">
        <v>155</v>
      </c>
      <c r="H18" s="1">
        <v>7508</v>
      </c>
      <c r="I18" s="1">
        <v>1599</v>
      </c>
      <c r="J18" s="1">
        <f>402-110</f>
        <v>292</v>
      </c>
      <c r="K18" s="1">
        <f t="shared" si="0"/>
        <v>0.4065040650406504</v>
      </c>
      <c r="L18" s="1">
        <f>1447-395</f>
        <v>1052</v>
      </c>
      <c r="M18" s="1">
        <f t="shared" si="1"/>
        <v>-7.4565883554647605E-2</v>
      </c>
      <c r="N18" s="1">
        <f>1569-1431</f>
        <v>138</v>
      </c>
      <c r="O18" s="1">
        <f t="shared" si="2"/>
        <v>0.28125</v>
      </c>
    </row>
    <row r="19" spans="1:15" x14ac:dyDescent="0.25">
      <c r="A19" s="1" t="s">
        <v>324</v>
      </c>
      <c r="B19" s="1" t="s">
        <v>162</v>
      </c>
      <c r="C19" s="1" t="s">
        <v>118</v>
      </c>
      <c r="D19" s="1">
        <v>3574668</v>
      </c>
      <c r="E19" s="1">
        <v>3586177</v>
      </c>
      <c r="F19" s="1" t="s">
        <v>107</v>
      </c>
      <c r="G19" s="1" t="s">
        <v>259</v>
      </c>
      <c r="H19" s="1">
        <v>7510</v>
      </c>
      <c r="I19" s="1">
        <v>1483</v>
      </c>
      <c r="J19" s="1">
        <v>492</v>
      </c>
      <c r="K19" s="1">
        <f t="shared" si="0"/>
        <v>0</v>
      </c>
      <c r="L19" s="1">
        <f>1363-497</f>
        <v>866</v>
      </c>
      <c r="M19" s="1">
        <f t="shared" si="1"/>
        <v>0.11542390194075587</v>
      </c>
      <c r="N19" s="1">
        <f>1482-1367</f>
        <v>115</v>
      </c>
      <c r="O19" s="1">
        <f t="shared" si="2"/>
        <v>0.40104166666666669</v>
      </c>
    </row>
    <row r="20" spans="1:15" x14ac:dyDescent="0.25">
      <c r="A20" s="1" t="s">
        <v>325</v>
      </c>
      <c r="B20" s="1"/>
      <c r="C20" s="1" t="s">
        <v>315</v>
      </c>
      <c r="D20" s="1">
        <v>127666341</v>
      </c>
      <c r="E20" s="1">
        <v>127677853</v>
      </c>
      <c r="F20" s="1" t="s">
        <v>107</v>
      </c>
      <c r="G20" s="1" t="s">
        <v>259</v>
      </c>
      <c r="H20" s="1">
        <v>7513</v>
      </c>
      <c r="I20" s="1">
        <v>1523</v>
      </c>
      <c r="J20" s="1">
        <v>492</v>
      </c>
      <c r="K20" s="1">
        <f t="shared" si="0"/>
        <v>0</v>
      </c>
      <c r="L20" s="1">
        <f>1384-497</f>
        <v>887</v>
      </c>
      <c r="M20" s="1">
        <f t="shared" si="1"/>
        <v>9.3973442288049033E-2</v>
      </c>
      <c r="N20" s="1">
        <f>1494-1380</f>
        <v>114</v>
      </c>
      <c r="O20" s="1">
        <f t="shared" si="2"/>
        <v>0.40625</v>
      </c>
    </row>
    <row r="21" spans="1:15" x14ac:dyDescent="0.25">
      <c r="A21" s="1"/>
      <c r="B21" s="1"/>
      <c r="C21" s="1" t="s">
        <v>317</v>
      </c>
      <c r="D21" s="1">
        <v>131389</v>
      </c>
      <c r="E21" s="1">
        <v>142902</v>
      </c>
      <c r="F21" s="1" t="s">
        <v>107</v>
      </c>
      <c r="G21" s="1" t="s">
        <v>155</v>
      </c>
      <c r="H21" s="1">
        <v>7514</v>
      </c>
      <c r="I21" s="1">
        <v>1653</v>
      </c>
      <c r="J21" s="1">
        <v>417</v>
      </c>
      <c r="K21" s="1">
        <f t="shared" si="0"/>
        <v>0.1524390243902439</v>
      </c>
      <c r="L21" s="1">
        <f>1450-446</f>
        <v>1004</v>
      </c>
      <c r="M21" s="1">
        <f t="shared" si="1"/>
        <v>-2.5536261491317672E-2</v>
      </c>
      <c r="N21" s="1">
        <f>1653-1451</f>
        <v>202</v>
      </c>
      <c r="O21" s="1">
        <f t="shared" si="2"/>
        <v>-5.2083333333333336E-2</v>
      </c>
    </row>
  </sheetData>
  <mergeCells count="1">
    <mergeCell ref="A1:O1"/>
  </mergeCells>
  <phoneticPr fontId="5" type="noConversion"/>
  <pageMargins left="0.7" right="0.7" top="0.75" bottom="0.75" header="0.3" footer="0.3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31"/>
  <sheetViews>
    <sheetView topLeftCell="J1" workbookViewId="0">
      <selection activeCell="Q13" sqref="Q13"/>
    </sheetView>
  </sheetViews>
  <sheetFormatPr defaultColWidth="8.83203125" defaultRowHeight="15" x14ac:dyDescent="0.25"/>
  <cols>
    <col min="1" max="1" width="12.75"/>
    <col min="3" max="3" width="11.58203125"/>
    <col min="4" max="5" width="10.5"/>
    <col min="6" max="6" width="7.5"/>
    <col min="7" max="7" width="10.5"/>
    <col min="8" max="8" width="15"/>
    <col min="9" max="9" width="13.83203125"/>
    <col min="10" max="10" width="15"/>
    <col min="11" max="11" width="13.83203125"/>
    <col min="12" max="12" width="15"/>
    <col min="13" max="13" width="13.83203125"/>
    <col min="14" max="14" width="11.58203125"/>
  </cols>
  <sheetData>
    <row r="1" spans="1:14" x14ac:dyDescent="0.25">
      <c r="J1" s="14" t="s">
        <v>387</v>
      </c>
      <c r="K1" s="17"/>
      <c r="L1" s="17"/>
      <c r="M1" s="17"/>
      <c r="N1" s="17"/>
    </row>
    <row r="2" spans="1:14" x14ac:dyDescent="0.25">
      <c r="A2" s="2" t="s">
        <v>92</v>
      </c>
      <c r="B2" s="1"/>
      <c r="C2" s="1" t="s">
        <v>93</v>
      </c>
      <c r="D2" s="1" t="s">
        <v>151</v>
      </c>
      <c r="E2" s="1" t="s">
        <v>152</v>
      </c>
      <c r="F2" s="1" t="s">
        <v>153</v>
      </c>
      <c r="G2" s="1" t="s">
        <v>98</v>
      </c>
      <c r="H2" s="1" t="s">
        <v>99</v>
      </c>
      <c r="I2" s="1"/>
      <c r="J2" s="1" t="s">
        <v>100</v>
      </c>
      <c r="K2" s="1"/>
      <c r="L2" s="1" t="s">
        <v>101</v>
      </c>
      <c r="M2" s="1"/>
      <c r="N2" s="1" t="s">
        <v>168</v>
      </c>
    </row>
    <row r="3" spans="1:14" x14ac:dyDescent="0.25">
      <c r="A3" s="1" t="s">
        <v>326</v>
      </c>
      <c r="B3" s="1"/>
      <c r="C3" s="1" t="s">
        <v>327</v>
      </c>
      <c r="D3" s="1">
        <v>25209488</v>
      </c>
      <c r="E3" s="1">
        <v>25229001</v>
      </c>
      <c r="F3" s="1" t="s">
        <v>155</v>
      </c>
      <c r="G3" s="1">
        <f>1738+484</f>
        <v>2222</v>
      </c>
      <c r="H3" s="1">
        <v>417</v>
      </c>
      <c r="I3" s="1">
        <f>(492-H3)/492</f>
        <v>0.1524390243902439</v>
      </c>
      <c r="J3" s="1">
        <v>1032</v>
      </c>
      <c r="K3" s="1">
        <f>(979-J3)/979</f>
        <v>-5.4136874361593465E-2</v>
      </c>
      <c r="L3" s="1">
        <v>138</v>
      </c>
      <c r="M3" s="1">
        <f>(192-L3)/192</f>
        <v>0.28125</v>
      </c>
      <c r="N3" s="1" t="s">
        <v>107</v>
      </c>
    </row>
    <row r="4" spans="1:14" x14ac:dyDescent="0.25">
      <c r="A4" s="1"/>
      <c r="B4" s="1"/>
      <c r="C4" s="1" t="s">
        <v>328</v>
      </c>
      <c r="D4" s="1">
        <v>148749659</v>
      </c>
      <c r="E4" s="1">
        <v>148769182</v>
      </c>
      <c r="F4" s="1" t="s">
        <v>158</v>
      </c>
      <c r="G4" s="1">
        <v>1764</v>
      </c>
      <c r="H4" s="1">
        <v>889</v>
      </c>
      <c r="I4" s="1">
        <f>(492-H4)/492</f>
        <v>-0.80691056910569103</v>
      </c>
      <c r="J4" s="1">
        <v>338</v>
      </c>
      <c r="K4" s="1">
        <f>(979-J4)/979</f>
        <v>0.65474974463738511</v>
      </c>
      <c r="L4" s="1">
        <v>121</v>
      </c>
      <c r="M4" s="1">
        <f>(192-L4)/192</f>
        <v>0.36979166666666669</v>
      </c>
      <c r="N4" s="1" t="s">
        <v>107</v>
      </c>
    </row>
    <row r="5" spans="1:14" x14ac:dyDescent="0.25">
      <c r="A5" s="1" t="s">
        <v>329</v>
      </c>
      <c r="B5" s="1" t="s">
        <v>330</v>
      </c>
      <c r="C5" s="1" t="s">
        <v>331</v>
      </c>
      <c r="D5" s="1">
        <v>265577252</v>
      </c>
      <c r="E5" s="1">
        <v>265594970</v>
      </c>
      <c r="F5" s="1" t="s">
        <v>155</v>
      </c>
      <c r="G5" s="1">
        <f>573+974</f>
        <v>1547</v>
      </c>
      <c r="H5" s="1">
        <v>523</v>
      </c>
      <c r="I5" s="1">
        <f>(492-H5)/492</f>
        <v>-6.3008130081300809E-2</v>
      </c>
      <c r="J5" s="1">
        <v>771</v>
      </c>
      <c r="K5" s="1">
        <f>(979-J5)/979</f>
        <v>0.21246169560776301</v>
      </c>
      <c r="L5" s="1">
        <v>108</v>
      </c>
      <c r="M5" s="1">
        <f>(192-L5)/192</f>
        <v>0.4375</v>
      </c>
      <c r="N5" s="1" t="s">
        <v>107</v>
      </c>
    </row>
    <row r="6" spans="1:14" x14ac:dyDescent="0.25">
      <c r="A6" s="1"/>
      <c r="B6" s="1"/>
      <c r="C6" s="1" t="s">
        <v>332</v>
      </c>
      <c r="D6" s="1">
        <v>28853571</v>
      </c>
      <c r="E6" s="1">
        <v>28873079</v>
      </c>
      <c r="F6" s="1" t="s">
        <v>155</v>
      </c>
      <c r="G6" s="1">
        <v>1334</v>
      </c>
      <c r="H6" s="1">
        <v>146</v>
      </c>
      <c r="I6" s="1">
        <f>(492-146)/492</f>
        <v>0.7032520325203252</v>
      </c>
      <c r="J6" s="1">
        <v>968</v>
      </c>
      <c r="K6" s="1"/>
      <c r="L6" s="1">
        <v>136</v>
      </c>
      <c r="M6" s="1"/>
      <c r="N6" s="1" t="s">
        <v>107</v>
      </c>
    </row>
    <row r="7" spans="1:14" x14ac:dyDescent="0.25">
      <c r="A7" s="1" t="s">
        <v>333</v>
      </c>
      <c r="B7" s="1" t="s">
        <v>334</v>
      </c>
      <c r="C7" s="1" t="s">
        <v>331</v>
      </c>
      <c r="D7" s="1">
        <v>133638623</v>
      </c>
      <c r="E7" s="1">
        <v>133654573</v>
      </c>
      <c r="F7" s="1" t="s">
        <v>155</v>
      </c>
      <c r="G7" s="1">
        <f>1289+182</f>
        <v>1471</v>
      </c>
      <c r="H7" s="1">
        <v>410</v>
      </c>
      <c r="I7" s="1">
        <f>(492-H7)/492</f>
        <v>0.16666666666666666</v>
      </c>
      <c r="J7" s="1">
        <v>726</v>
      </c>
      <c r="K7" s="1">
        <f>(979-J7)/979</f>
        <v>0.25842696629213485</v>
      </c>
      <c r="L7" s="1">
        <v>138</v>
      </c>
      <c r="M7" s="1">
        <f>(192-L7)/192</f>
        <v>0.28125</v>
      </c>
      <c r="N7" s="1" t="s">
        <v>107</v>
      </c>
    </row>
    <row r="8" spans="1:14" ht="16.5" customHeight="1" x14ac:dyDescent="0.25">
      <c r="A8" s="1" t="s">
        <v>335</v>
      </c>
      <c r="B8" s="1" t="s">
        <v>181</v>
      </c>
      <c r="C8" s="1" t="s">
        <v>336</v>
      </c>
      <c r="D8" s="1">
        <v>52217375</v>
      </c>
      <c r="E8" s="1">
        <v>52236886</v>
      </c>
      <c r="F8" s="1" t="s">
        <v>155</v>
      </c>
      <c r="G8" s="1">
        <v>2348</v>
      </c>
      <c r="H8" s="1">
        <v>515</v>
      </c>
      <c r="I8" s="1">
        <f>(492-H8)/492</f>
        <v>-4.6747967479674794E-2</v>
      </c>
      <c r="J8" s="1">
        <v>1115</v>
      </c>
      <c r="K8" s="1">
        <f>(979-J8)/979</f>
        <v>-0.13891726251276812</v>
      </c>
      <c r="L8" s="1">
        <v>461</v>
      </c>
      <c r="M8" s="1">
        <f>(192-L8)/192</f>
        <v>-1.4010416666666667</v>
      </c>
      <c r="N8" s="1" t="s">
        <v>107</v>
      </c>
    </row>
    <row r="9" spans="1:14" x14ac:dyDescent="0.25">
      <c r="A9" s="1"/>
      <c r="B9" s="1"/>
      <c r="C9" s="1" t="s">
        <v>337</v>
      </c>
      <c r="D9" s="1">
        <v>75561898</v>
      </c>
      <c r="E9" s="1">
        <v>75580218</v>
      </c>
      <c r="F9" s="1" t="s">
        <v>158</v>
      </c>
      <c r="G9" s="1">
        <f>271+843+20</f>
        <v>1134</v>
      </c>
      <c r="H9" s="1">
        <v>313</v>
      </c>
      <c r="I9" s="1"/>
      <c r="J9" s="1">
        <v>726</v>
      </c>
      <c r="K9" s="1"/>
      <c r="L9" s="1" t="s">
        <v>163</v>
      </c>
      <c r="M9" s="1"/>
      <c r="N9" s="1" t="s">
        <v>107</v>
      </c>
    </row>
    <row r="10" spans="1:14" x14ac:dyDescent="0.25">
      <c r="A10" s="1" t="s">
        <v>338</v>
      </c>
      <c r="B10" s="1" t="s">
        <v>184</v>
      </c>
      <c r="C10" s="1" t="s">
        <v>328</v>
      </c>
      <c r="D10" s="1">
        <v>144012468</v>
      </c>
      <c r="E10" s="1">
        <v>144031979</v>
      </c>
      <c r="F10" s="1" t="s">
        <v>158</v>
      </c>
      <c r="G10" s="1">
        <v>2527</v>
      </c>
      <c r="H10" s="1">
        <v>580</v>
      </c>
      <c r="I10" s="1">
        <f>(492-H10)/492</f>
        <v>-0.17886178861788618</v>
      </c>
      <c r="J10" s="1">
        <v>1173</v>
      </c>
      <c r="K10" s="1">
        <f>(979-J10)/979</f>
        <v>-0.19816138917262513</v>
      </c>
      <c r="L10" s="1">
        <v>507</v>
      </c>
      <c r="M10" s="1">
        <f>(192-L10)/192</f>
        <v>-1.640625</v>
      </c>
      <c r="N10" s="1" t="s">
        <v>107</v>
      </c>
    </row>
    <row r="11" spans="1:14" x14ac:dyDescent="0.25">
      <c r="A11" s="1"/>
      <c r="B11" s="1"/>
      <c r="C11" s="1" t="s">
        <v>339</v>
      </c>
      <c r="D11" s="1">
        <v>77681478</v>
      </c>
      <c r="E11" s="1">
        <v>77699722</v>
      </c>
      <c r="F11" s="1" t="s">
        <v>158</v>
      </c>
      <c r="G11" s="1">
        <f>129+806+132</f>
        <v>1067</v>
      </c>
      <c r="H11" s="1" t="s">
        <v>163</v>
      </c>
      <c r="I11" s="1"/>
      <c r="J11" s="1">
        <v>804</v>
      </c>
      <c r="K11" s="1"/>
      <c r="L11" s="1" t="s">
        <v>163</v>
      </c>
      <c r="M11" s="1"/>
      <c r="N11" s="1" t="s">
        <v>107</v>
      </c>
    </row>
    <row r="12" spans="1:14" x14ac:dyDescent="0.25">
      <c r="A12" s="1" t="s">
        <v>340</v>
      </c>
      <c r="B12" s="1" t="s">
        <v>198</v>
      </c>
      <c r="C12" s="1" t="s">
        <v>341</v>
      </c>
      <c r="D12" s="1">
        <v>141748265</v>
      </c>
      <c r="E12" s="1">
        <v>141767762</v>
      </c>
      <c r="F12" s="1" t="s">
        <v>158</v>
      </c>
      <c r="G12" s="1">
        <v>2122</v>
      </c>
      <c r="H12" s="1">
        <v>492</v>
      </c>
      <c r="I12" s="1">
        <f>(492-H12)/492</f>
        <v>0</v>
      </c>
      <c r="J12" s="1">
        <v>979</v>
      </c>
      <c r="K12" s="1">
        <f>(979-J12)/979</f>
        <v>0</v>
      </c>
      <c r="L12" s="1">
        <v>192</v>
      </c>
      <c r="M12" s="1">
        <f>(192-L12)/192</f>
        <v>0</v>
      </c>
      <c r="N12" s="1" t="s">
        <v>130</v>
      </c>
    </row>
    <row r="13" spans="1:14" x14ac:dyDescent="0.25">
      <c r="A13" s="1" t="s">
        <v>342</v>
      </c>
      <c r="B13" s="1" t="s">
        <v>343</v>
      </c>
      <c r="C13" s="1" t="s">
        <v>344</v>
      </c>
      <c r="D13" s="1">
        <v>46428274</v>
      </c>
      <c r="E13" s="1">
        <v>46447774</v>
      </c>
      <c r="F13" s="1" t="s">
        <v>158</v>
      </c>
      <c r="G13" s="1">
        <f>537+1455</f>
        <v>1992</v>
      </c>
      <c r="H13" s="1">
        <v>267</v>
      </c>
      <c r="I13" s="1">
        <f>(492-H13)/492</f>
        <v>0.45731707317073172</v>
      </c>
      <c r="J13" s="1">
        <v>1058</v>
      </c>
      <c r="K13" s="1">
        <f>(979-J13)/979</f>
        <v>-8.0694586312563835E-2</v>
      </c>
      <c r="L13" s="1">
        <v>137</v>
      </c>
      <c r="M13" s="1">
        <f>(192-L13)/192</f>
        <v>0.28645833333333331</v>
      </c>
      <c r="N13" s="1" t="s">
        <v>130</v>
      </c>
    </row>
    <row r="14" spans="1:14" x14ac:dyDescent="0.25">
      <c r="A14" s="1" t="s">
        <v>345</v>
      </c>
      <c r="B14" s="1" t="s">
        <v>346</v>
      </c>
      <c r="C14" s="1" t="s">
        <v>336</v>
      </c>
      <c r="D14" s="1">
        <v>15488886</v>
      </c>
      <c r="E14" s="1">
        <v>15508390</v>
      </c>
      <c r="F14" s="1" t="s">
        <v>155</v>
      </c>
      <c r="G14" s="1">
        <v>1311</v>
      </c>
      <c r="H14" s="1">
        <v>492</v>
      </c>
      <c r="I14" s="1">
        <f>(492-H14)/492</f>
        <v>0</v>
      </c>
      <c r="J14" s="1">
        <v>520</v>
      </c>
      <c r="K14" s="1">
        <f>(979-J14)/979</f>
        <v>0.46884576098059244</v>
      </c>
      <c r="L14" s="1">
        <v>123</v>
      </c>
      <c r="M14" s="1">
        <f>(192-L14)/192</f>
        <v>0.359375</v>
      </c>
      <c r="N14" s="1" t="s">
        <v>130</v>
      </c>
    </row>
    <row r="15" spans="1:14" x14ac:dyDescent="0.25">
      <c r="A15" s="1" t="s">
        <v>347</v>
      </c>
      <c r="B15" s="1" t="s">
        <v>348</v>
      </c>
      <c r="C15" s="1" t="s">
        <v>349</v>
      </c>
      <c r="D15" s="1">
        <v>51607820</v>
      </c>
      <c r="E15" s="1">
        <v>51627321</v>
      </c>
      <c r="F15" s="1" t="s">
        <v>158</v>
      </c>
      <c r="G15" s="1">
        <v>1654</v>
      </c>
      <c r="H15" s="1">
        <v>492</v>
      </c>
      <c r="I15" s="1">
        <f>(492-H15)/492</f>
        <v>0</v>
      </c>
      <c r="J15" s="1">
        <v>901</v>
      </c>
      <c r="K15" s="1">
        <f>(979-J15)/979</f>
        <v>7.9673135852911137E-2</v>
      </c>
      <c r="L15" s="1">
        <v>121</v>
      </c>
      <c r="M15" s="1">
        <f>(192-L15)/192</f>
        <v>0.36979166666666669</v>
      </c>
      <c r="N15" s="1" t="s">
        <v>130</v>
      </c>
    </row>
    <row r="16" spans="1:14" x14ac:dyDescent="0.25">
      <c r="A16" s="1"/>
      <c r="B16" s="1"/>
      <c r="C16" s="1" t="s">
        <v>350</v>
      </c>
      <c r="D16" s="1">
        <v>93745579</v>
      </c>
      <c r="E16" s="1">
        <v>93761621</v>
      </c>
      <c r="F16" s="1" t="s">
        <v>158</v>
      </c>
      <c r="G16" s="1">
        <v>1362</v>
      </c>
      <c r="H16" s="1">
        <v>193</v>
      </c>
      <c r="I16" s="1">
        <f>(492-H16)/492</f>
        <v>0.60772357723577231</v>
      </c>
      <c r="J16" s="1">
        <v>1088</v>
      </c>
      <c r="K16" s="1">
        <f>(979-J16)/979</f>
        <v>-0.11133810010214505</v>
      </c>
      <c r="L16" s="1">
        <v>117</v>
      </c>
      <c r="M16" s="1">
        <f>(192-L16)/192</f>
        <v>0.390625</v>
      </c>
      <c r="N16" s="1" t="s">
        <v>107</v>
      </c>
    </row>
    <row r="17" spans="1:14" x14ac:dyDescent="0.25">
      <c r="A17" s="1"/>
      <c r="B17" s="1"/>
      <c r="C17" s="1" t="s">
        <v>349</v>
      </c>
      <c r="D17" s="1">
        <v>10815602</v>
      </c>
      <c r="E17" s="1">
        <v>10835115</v>
      </c>
      <c r="F17" s="1" t="s">
        <v>158</v>
      </c>
      <c r="G17" s="1">
        <f>129+1134</f>
        <v>1263</v>
      </c>
      <c r="H17" s="1"/>
      <c r="I17" s="1"/>
      <c r="J17" s="1"/>
      <c r="K17" s="1"/>
      <c r="L17" s="1" t="s">
        <v>163</v>
      </c>
      <c r="M17" s="1"/>
      <c r="N17" s="1" t="s">
        <v>107</v>
      </c>
    </row>
    <row r="18" spans="1:14" x14ac:dyDescent="0.25">
      <c r="A18" s="1" t="s">
        <v>351</v>
      </c>
      <c r="B18" s="1" t="s">
        <v>352</v>
      </c>
      <c r="C18" s="1" t="s">
        <v>327</v>
      </c>
      <c r="D18" s="1">
        <v>21797543</v>
      </c>
      <c r="E18" s="1">
        <v>21817054</v>
      </c>
      <c r="F18" s="1" t="s">
        <v>158</v>
      </c>
      <c r="G18" s="1">
        <v>2004</v>
      </c>
      <c r="H18" s="1">
        <v>441</v>
      </c>
      <c r="I18" s="1">
        <f>(492-H18)/492</f>
        <v>0.10365853658536585</v>
      </c>
      <c r="J18" s="1">
        <v>929</v>
      </c>
      <c r="K18" s="1">
        <f>(979-J18)/979</f>
        <v>5.1072522982635343E-2</v>
      </c>
      <c r="L18" s="1">
        <v>415</v>
      </c>
      <c r="M18" s="1">
        <f>(192-L18)/192</f>
        <v>-1.1614583333333333</v>
      </c>
      <c r="N18" s="1" t="s">
        <v>107</v>
      </c>
    </row>
    <row r="19" spans="1:14" x14ac:dyDescent="0.25">
      <c r="A19" s="1" t="s">
        <v>353</v>
      </c>
      <c r="B19" s="1" t="s">
        <v>162</v>
      </c>
      <c r="C19" s="1" t="s">
        <v>354</v>
      </c>
      <c r="D19" s="1">
        <v>4099455</v>
      </c>
      <c r="E19" s="1">
        <v>4118975</v>
      </c>
      <c r="F19" s="1" t="s">
        <v>158</v>
      </c>
      <c r="G19" s="1">
        <v>2119</v>
      </c>
      <c r="H19" s="1">
        <v>456</v>
      </c>
      <c r="I19" s="1">
        <f>(492-H19)/492</f>
        <v>7.3170731707317069E-2</v>
      </c>
      <c r="J19" s="1">
        <v>901</v>
      </c>
      <c r="K19" s="1">
        <f>(979-J19)/979</f>
        <v>7.9673135852911137E-2</v>
      </c>
      <c r="L19" s="1">
        <v>496</v>
      </c>
      <c r="M19" s="1">
        <f>(192-L19)/192</f>
        <v>-1.5833333333333333</v>
      </c>
      <c r="N19" s="1" t="s">
        <v>107</v>
      </c>
    </row>
    <row r="20" spans="1:14" x14ac:dyDescent="0.25">
      <c r="A20" s="1"/>
      <c r="B20" s="1"/>
      <c r="C20" s="1" t="s">
        <v>327</v>
      </c>
      <c r="D20" s="1">
        <v>20113793</v>
      </c>
      <c r="E20" s="1">
        <v>20131218</v>
      </c>
      <c r="F20" s="1" t="s">
        <v>158</v>
      </c>
      <c r="G20" s="1">
        <f>109+1076</f>
        <v>1185</v>
      </c>
      <c r="H20" s="1">
        <v>242</v>
      </c>
      <c r="I20" s="1">
        <f>(492-H20)/492</f>
        <v>0.50813008130081305</v>
      </c>
      <c r="J20" s="1">
        <v>648</v>
      </c>
      <c r="K20" s="1"/>
      <c r="L20" s="1">
        <v>144</v>
      </c>
      <c r="M20" s="1"/>
      <c r="N20" s="1" t="s">
        <v>130</v>
      </c>
    </row>
    <row r="21" spans="1:14" x14ac:dyDescent="0.25">
      <c r="A21" s="1"/>
      <c r="B21" s="1"/>
      <c r="C21" s="1" t="s">
        <v>337</v>
      </c>
      <c r="D21" s="1">
        <v>73183411</v>
      </c>
      <c r="E21" s="1">
        <v>73199961</v>
      </c>
      <c r="F21" s="1" t="s">
        <v>155</v>
      </c>
      <c r="G21" s="1">
        <f>498+888+532</f>
        <v>1918</v>
      </c>
      <c r="H21" s="1" t="s">
        <v>163</v>
      </c>
      <c r="I21" s="1"/>
      <c r="J21" s="1">
        <v>917</v>
      </c>
      <c r="K21" s="1"/>
      <c r="L21" s="1">
        <v>312</v>
      </c>
      <c r="M21" s="1"/>
      <c r="N21" s="1" t="s">
        <v>107</v>
      </c>
    </row>
    <row r="22" spans="1:14" x14ac:dyDescent="0.25">
      <c r="A22" s="1"/>
      <c r="B22" s="1"/>
      <c r="C22" s="1" t="s">
        <v>349</v>
      </c>
      <c r="D22" s="1">
        <v>18162428</v>
      </c>
      <c r="E22" s="1">
        <v>18179844</v>
      </c>
      <c r="F22" s="1" t="s">
        <v>155</v>
      </c>
      <c r="G22" s="1">
        <f>711+1026</f>
        <v>1737</v>
      </c>
      <c r="H22" s="1">
        <v>497</v>
      </c>
      <c r="I22" s="1">
        <f>(492-H22)/492</f>
        <v>-1.016260162601626E-2</v>
      </c>
      <c r="J22" s="1">
        <v>784</v>
      </c>
      <c r="K22" s="1">
        <f>(979-J22)/979</f>
        <v>0.19918283963227784</v>
      </c>
      <c r="L22" s="1">
        <v>80</v>
      </c>
      <c r="M22" s="1">
        <f>(192-L22)/192</f>
        <v>0.58333333333333337</v>
      </c>
      <c r="N22" s="1" t="s">
        <v>130</v>
      </c>
    </row>
    <row r="23" spans="1:14" x14ac:dyDescent="0.25">
      <c r="A23" s="1" t="s">
        <v>355</v>
      </c>
      <c r="B23" s="1" t="s">
        <v>205</v>
      </c>
      <c r="C23" s="1" t="s">
        <v>356</v>
      </c>
      <c r="D23" s="1">
        <v>39313105</v>
      </c>
      <c r="E23" s="1">
        <v>39332602</v>
      </c>
      <c r="F23" s="1" t="s">
        <v>155</v>
      </c>
      <c r="G23" s="1">
        <v>2200</v>
      </c>
      <c r="H23" s="1">
        <v>495</v>
      </c>
      <c r="I23" s="1">
        <f>(492-H23)/492</f>
        <v>-6.0975609756097563E-3</v>
      </c>
      <c r="J23" s="1">
        <v>962</v>
      </c>
      <c r="K23" s="1">
        <f>(979-J23)/979</f>
        <v>1.7364657814096015E-2</v>
      </c>
      <c r="L23" s="1">
        <v>358</v>
      </c>
      <c r="M23" s="1">
        <f>(192-L23)/192</f>
        <v>-0.86458333333333337</v>
      </c>
      <c r="N23" s="1" t="s">
        <v>130</v>
      </c>
    </row>
    <row r="24" spans="1:14" x14ac:dyDescent="0.25">
      <c r="A24" s="1"/>
      <c r="B24" s="1"/>
      <c r="C24" s="1" t="s">
        <v>357</v>
      </c>
      <c r="D24" s="1">
        <v>21503823</v>
      </c>
      <c r="E24" s="1">
        <v>21523320</v>
      </c>
      <c r="F24" s="1" t="s">
        <v>155</v>
      </c>
      <c r="G24" s="1">
        <f>586+574</f>
        <v>1160</v>
      </c>
      <c r="H24" s="1" t="s">
        <v>163</v>
      </c>
      <c r="I24" s="1"/>
      <c r="J24" s="1">
        <v>584</v>
      </c>
      <c r="K24" s="1"/>
      <c r="L24" s="1">
        <v>316</v>
      </c>
      <c r="M24" s="1"/>
      <c r="N24" s="1" t="s">
        <v>130</v>
      </c>
    </row>
    <row r="25" spans="1:14" x14ac:dyDescent="0.25">
      <c r="A25" s="1"/>
      <c r="B25" s="1"/>
      <c r="C25" s="1" t="s">
        <v>358</v>
      </c>
      <c r="D25" s="1">
        <v>60182261</v>
      </c>
      <c r="E25" s="1">
        <v>60201768</v>
      </c>
      <c r="F25" s="1" t="s">
        <v>155</v>
      </c>
      <c r="G25" s="1">
        <v>2315</v>
      </c>
      <c r="H25" s="1" t="s">
        <v>163</v>
      </c>
      <c r="I25" s="1"/>
      <c r="J25" s="1">
        <v>1176</v>
      </c>
      <c r="K25" s="1"/>
      <c r="L25" s="1">
        <v>567</v>
      </c>
      <c r="M25" s="1"/>
      <c r="N25" s="1" t="s">
        <v>130</v>
      </c>
    </row>
    <row r="26" spans="1:14" x14ac:dyDescent="0.25">
      <c r="A26" s="1"/>
      <c r="B26" s="1"/>
      <c r="C26" s="1" t="s">
        <v>354</v>
      </c>
      <c r="D26" s="1">
        <v>34307231</v>
      </c>
      <c r="E26" s="1">
        <v>34324939</v>
      </c>
      <c r="F26" s="1" t="s">
        <v>155</v>
      </c>
      <c r="G26" s="1">
        <f>107+767</f>
        <v>874</v>
      </c>
      <c r="H26" s="1" t="s">
        <v>163</v>
      </c>
      <c r="I26" s="1"/>
      <c r="J26" s="1">
        <v>779</v>
      </c>
      <c r="K26" s="1"/>
      <c r="L26" s="1" t="s">
        <v>163</v>
      </c>
      <c r="M26" s="1"/>
      <c r="N26" s="1" t="s">
        <v>107</v>
      </c>
    </row>
    <row r="27" spans="1:14" x14ac:dyDescent="0.25">
      <c r="A27" s="1"/>
      <c r="B27" s="1"/>
      <c r="C27" s="1" t="s">
        <v>354</v>
      </c>
      <c r="D27" s="1">
        <v>42843921</v>
      </c>
      <c r="E27" s="1">
        <v>42862763</v>
      </c>
      <c r="F27" s="1" t="s">
        <v>158</v>
      </c>
      <c r="G27" s="1">
        <f>1232+32</f>
        <v>1264</v>
      </c>
      <c r="H27" s="1">
        <f>183-117+343-207</f>
        <v>202</v>
      </c>
      <c r="I27" s="1">
        <f>(492-H27)/492</f>
        <v>0.58943089430894313</v>
      </c>
      <c r="J27" s="1">
        <f>1003-354</f>
        <v>649</v>
      </c>
      <c r="K27" s="1"/>
      <c r="L27" s="1"/>
      <c r="M27" s="1"/>
      <c r="N27" s="1" t="s">
        <v>130</v>
      </c>
    </row>
    <row r="28" spans="1:14" x14ac:dyDescent="0.25">
      <c r="A28" s="1"/>
      <c r="B28" s="1"/>
      <c r="C28" s="1" t="s">
        <v>359</v>
      </c>
      <c r="D28" s="1">
        <v>67938505</v>
      </c>
      <c r="E28" s="1">
        <v>67957633</v>
      </c>
      <c r="F28" s="1" t="s">
        <v>158</v>
      </c>
      <c r="G28" s="1">
        <v>1153</v>
      </c>
      <c r="H28" s="1"/>
      <c r="I28" s="1"/>
      <c r="J28" s="1"/>
      <c r="K28" s="1"/>
      <c r="L28" s="1"/>
      <c r="M28" s="1"/>
      <c r="N28" s="1" t="s">
        <v>107</v>
      </c>
    </row>
    <row r="29" spans="1:14" x14ac:dyDescent="0.25">
      <c r="A29" s="1" t="s">
        <v>360</v>
      </c>
      <c r="B29" s="1" t="s">
        <v>361</v>
      </c>
      <c r="C29" s="1" t="s">
        <v>359</v>
      </c>
      <c r="D29" s="1">
        <v>112869652</v>
      </c>
      <c r="E29" s="1">
        <v>112887556</v>
      </c>
      <c r="F29" s="1" t="s">
        <v>158</v>
      </c>
      <c r="G29" s="1">
        <f>1597+36</f>
        <v>1633</v>
      </c>
      <c r="H29" s="1">
        <v>398</v>
      </c>
      <c r="I29" s="1"/>
      <c r="J29" s="1">
        <v>1053</v>
      </c>
      <c r="K29" s="1"/>
      <c r="L29" s="1">
        <v>180</v>
      </c>
      <c r="M29" s="1"/>
      <c r="N29" s="1" t="s">
        <v>130</v>
      </c>
    </row>
    <row r="30" spans="1:14" x14ac:dyDescent="0.25">
      <c r="A30" s="1"/>
      <c r="B30" s="1"/>
      <c r="C30" s="1" t="s">
        <v>357</v>
      </c>
      <c r="D30" s="1">
        <v>107043760</v>
      </c>
      <c r="E30" s="1">
        <v>107060071</v>
      </c>
      <c r="F30" s="1" t="s">
        <v>155</v>
      </c>
      <c r="G30" s="1">
        <v>2074</v>
      </c>
      <c r="H30" s="1">
        <v>472</v>
      </c>
      <c r="I30" s="1"/>
      <c r="J30" s="1">
        <v>743</v>
      </c>
      <c r="K30" s="1"/>
      <c r="L30" s="1" t="s">
        <v>163</v>
      </c>
      <c r="M30" s="1"/>
      <c r="N30" s="1" t="s">
        <v>107</v>
      </c>
    </row>
    <row r="31" spans="1:14" x14ac:dyDescent="0.25">
      <c r="A31" s="1"/>
      <c r="B31" s="1"/>
      <c r="C31" s="1" t="s">
        <v>362</v>
      </c>
      <c r="D31" s="1">
        <v>63817344</v>
      </c>
      <c r="E31" s="1">
        <v>63834918</v>
      </c>
      <c r="F31" s="1" t="s">
        <v>158</v>
      </c>
      <c r="G31" s="1">
        <v>1744</v>
      </c>
      <c r="H31" s="1">
        <v>480</v>
      </c>
      <c r="I31" s="1"/>
      <c r="J31" s="1">
        <v>1158</v>
      </c>
      <c r="K31" s="1"/>
      <c r="L31" s="1" t="s">
        <v>163</v>
      </c>
      <c r="M31" s="1"/>
      <c r="N31" s="1" t="s">
        <v>107</v>
      </c>
    </row>
  </sheetData>
  <mergeCells count="1">
    <mergeCell ref="J1:N1"/>
  </mergeCells>
  <phoneticPr fontId="5" type="noConversion"/>
  <pageMargins left="0.7" right="0.7" top="0.75" bottom="0.75" header="0.3" footer="0.3"/>
  <pageSetup paperSize="9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5"/>
  <sheetViews>
    <sheetView workbookViewId="0">
      <selection activeCell="L25" sqref="L25"/>
    </sheetView>
  </sheetViews>
  <sheetFormatPr defaultColWidth="8.83203125" defaultRowHeight="15" x14ac:dyDescent="0.25"/>
  <cols>
    <col min="1" max="1" width="16.08203125" style="1"/>
    <col min="2" max="3" width="8.5" style="1"/>
    <col min="4" max="4" width="11.58203125" style="1"/>
    <col min="5" max="5" width="7.5" style="1"/>
    <col min="6" max="7" width="10.5" style="1"/>
    <col min="8" max="8" width="15" style="1"/>
    <col min="9" max="9" width="9" style="1"/>
    <col min="10" max="10" width="15" style="1"/>
    <col min="11" max="11" width="9" style="1"/>
    <col min="12" max="12" width="15" style="1"/>
    <col min="13" max="32" width="9" style="1"/>
    <col min="33" max="16384" width="8.83203125" style="1"/>
  </cols>
  <sheetData>
    <row r="1" spans="1:12" x14ac:dyDescent="0.25">
      <c r="A1" s="14" t="s">
        <v>388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x14ac:dyDescent="0.25">
      <c r="A2" s="1" t="s">
        <v>93</v>
      </c>
      <c r="B2" s="1" t="s">
        <v>151</v>
      </c>
      <c r="C2" s="1" t="s">
        <v>152</v>
      </c>
      <c r="D2" s="1" t="s">
        <v>168</v>
      </c>
      <c r="E2" s="1" t="s">
        <v>153</v>
      </c>
      <c r="F2" s="1" t="s">
        <v>256</v>
      </c>
      <c r="G2" s="1" t="s">
        <v>98</v>
      </c>
      <c r="H2" s="1" t="s">
        <v>99</v>
      </c>
      <c r="J2" s="1" t="s">
        <v>100</v>
      </c>
      <c r="L2" s="1" t="s">
        <v>101</v>
      </c>
    </row>
    <row r="3" spans="1:12" x14ac:dyDescent="0.25">
      <c r="A3" s="1" t="s">
        <v>363</v>
      </c>
      <c r="B3" s="1">
        <v>872051</v>
      </c>
      <c r="C3" s="1">
        <v>879577</v>
      </c>
      <c r="D3" s="1" t="s">
        <v>107</v>
      </c>
      <c r="E3" s="1" t="s">
        <v>259</v>
      </c>
      <c r="F3" s="1">
        <v>3527</v>
      </c>
      <c r="G3" s="1">
        <v>184</v>
      </c>
    </row>
    <row r="4" spans="1:12" x14ac:dyDescent="0.25">
      <c r="A4" s="1" t="s">
        <v>364</v>
      </c>
      <c r="B4" s="1">
        <v>1643270</v>
      </c>
      <c r="C4" s="1">
        <v>1651861</v>
      </c>
      <c r="D4" s="1" t="s">
        <v>107</v>
      </c>
      <c r="E4" s="1" t="s">
        <v>259</v>
      </c>
      <c r="F4" s="1">
        <v>4592</v>
      </c>
      <c r="G4" s="1">
        <f>484+548</f>
        <v>1032</v>
      </c>
    </row>
    <row r="5" spans="1:12" x14ac:dyDescent="0.25">
      <c r="A5" s="1" t="s">
        <v>365</v>
      </c>
      <c r="B5" s="1">
        <v>220646</v>
      </c>
      <c r="C5" s="1">
        <v>232146</v>
      </c>
      <c r="D5" s="1" t="s">
        <v>107</v>
      </c>
      <c r="E5" s="1" t="s">
        <v>259</v>
      </c>
      <c r="F5" s="1">
        <v>7501</v>
      </c>
      <c r="G5" s="1">
        <v>1707</v>
      </c>
      <c r="H5" s="1">
        <f>535-63</f>
        <v>472</v>
      </c>
      <c r="J5" s="1">
        <f>1431-535</f>
        <v>896</v>
      </c>
      <c r="L5" s="1">
        <f>1707-1419</f>
        <v>288</v>
      </c>
    </row>
  </sheetData>
  <mergeCells count="1">
    <mergeCell ref="A1:L1"/>
  </mergeCells>
  <phoneticPr fontId="5" type="noConversion"/>
  <pageMargins left="0.7" right="0.7" top="0.75" bottom="0.75" header="0.3" footer="0.3"/>
  <pageSetup paperSize="9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6"/>
  <sheetViews>
    <sheetView workbookViewId="0">
      <selection activeCell="I21" sqref="I21"/>
    </sheetView>
  </sheetViews>
  <sheetFormatPr defaultColWidth="8.83203125" defaultRowHeight="15" x14ac:dyDescent="0.25"/>
  <cols>
    <col min="1" max="1" width="12.75" style="1"/>
    <col min="2" max="2" width="9" style="1"/>
    <col min="3" max="3" width="16.08203125" style="1"/>
    <col min="4" max="4" width="9" style="1"/>
    <col min="5" max="5" width="8.5" style="1"/>
    <col min="6" max="6" width="11.58203125" style="1"/>
    <col min="7" max="8" width="9" style="1"/>
    <col min="9" max="9" width="11.58203125" style="1"/>
    <col min="10" max="10" width="11.58203125" style="1" customWidth="1"/>
    <col min="11" max="11" width="15" style="1"/>
    <col min="12" max="12" width="11.58203125" style="1" customWidth="1"/>
    <col min="13" max="13" width="15" style="1"/>
    <col min="14" max="32" width="9" style="1"/>
    <col min="33" max="16384" width="8.83203125" style="1"/>
  </cols>
  <sheetData>
    <row r="1" spans="1:13" x14ac:dyDescent="0.25">
      <c r="A1" s="14" t="s">
        <v>389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x14ac:dyDescent="0.25">
      <c r="A2" s="2" t="s">
        <v>92</v>
      </c>
      <c r="C2" s="1" t="s">
        <v>93</v>
      </c>
      <c r="D2" s="1" t="s">
        <v>151</v>
      </c>
      <c r="E2" s="1" t="s">
        <v>152</v>
      </c>
      <c r="F2" s="1" t="s">
        <v>168</v>
      </c>
      <c r="G2" s="1" t="s">
        <v>153</v>
      </c>
      <c r="H2" s="1" t="s">
        <v>98</v>
      </c>
      <c r="I2" s="1" t="s">
        <v>99</v>
      </c>
      <c r="K2" s="1" t="s">
        <v>100</v>
      </c>
      <c r="M2" s="1" t="s">
        <v>101</v>
      </c>
    </row>
    <row r="3" spans="1:13" x14ac:dyDescent="0.25">
      <c r="C3" s="1" t="s">
        <v>366</v>
      </c>
      <c r="D3" s="1">
        <v>3863796</v>
      </c>
      <c r="E3" s="1">
        <v>3879685</v>
      </c>
      <c r="F3" s="1" t="s">
        <v>130</v>
      </c>
      <c r="G3" s="1" t="s">
        <v>155</v>
      </c>
      <c r="H3" s="1">
        <f>486+32</f>
        <v>518</v>
      </c>
    </row>
    <row r="4" spans="1:13" x14ac:dyDescent="0.25">
      <c r="C4" s="1" t="s">
        <v>367</v>
      </c>
      <c r="D4" s="1">
        <v>100768</v>
      </c>
      <c r="E4" s="1">
        <v>118128</v>
      </c>
      <c r="F4" s="1" t="s">
        <v>130</v>
      </c>
      <c r="G4" s="1" t="s">
        <v>155</v>
      </c>
      <c r="H4" s="1">
        <v>1651</v>
      </c>
      <c r="I4" s="1">
        <f>648-133</f>
        <v>515</v>
      </c>
      <c r="K4" s="1">
        <f>1606-647</f>
        <v>959</v>
      </c>
      <c r="M4" s="1" t="s">
        <v>263</v>
      </c>
    </row>
    <row r="5" spans="1:13" x14ac:dyDescent="0.25">
      <c r="A5" s="1" t="s">
        <v>368</v>
      </c>
      <c r="C5" s="1" t="s">
        <v>369</v>
      </c>
      <c r="D5" s="1">
        <v>1992965</v>
      </c>
      <c r="E5" s="1">
        <v>2012394</v>
      </c>
      <c r="F5" s="1" t="s">
        <v>130</v>
      </c>
      <c r="G5" s="1" t="s">
        <v>158</v>
      </c>
      <c r="H5" s="1">
        <f>2204+48</f>
        <v>2252</v>
      </c>
      <c r="I5" s="1">
        <f>605-90</f>
        <v>515</v>
      </c>
      <c r="K5" s="1">
        <f>1564-604</f>
        <v>960</v>
      </c>
      <c r="M5" s="1">
        <f>2204-1573</f>
        <v>631</v>
      </c>
    </row>
    <row r="6" spans="1:13" x14ac:dyDescent="0.25">
      <c r="A6" s="1" t="s">
        <v>370</v>
      </c>
      <c r="B6" s="1" t="s">
        <v>192</v>
      </c>
      <c r="C6" s="1" t="s">
        <v>371</v>
      </c>
      <c r="D6" s="1">
        <v>49943</v>
      </c>
      <c r="E6" s="1">
        <v>69442</v>
      </c>
      <c r="F6" s="1" t="s">
        <v>130</v>
      </c>
      <c r="G6" s="1" t="s">
        <v>158</v>
      </c>
      <c r="H6" s="1">
        <v>1957</v>
      </c>
      <c r="I6" s="1">
        <v>492</v>
      </c>
      <c r="K6" s="1">
        <v>979</v>
      </c>
      <c r="M6" s="1">
        <v>198</v>
      </c>
    </row>
  </sheetData>
  <mergeCells count="1">
    <mergeCell ref="A1:M1"/>
  </mergeCells>
  <phoneticPr fontId="5" type="noConversion"/>
  <pageMargins left="0.7" right="0.7" top="0.75" bottom="0.75" header="0.3" footer="0.3"/>
  <pageSetup paperSize="9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>
      <selection activeCell="D11" sqref="D11"/>
    </sheetView>
  </sheetViews>
  <sheetFormatPr defaultColWidth="8.83203125" defaultRowHeight="15" x14ac:dyDescent="0.25"/>
  <sheetData>
    <row r="1" spans="1:1" x14ac:dyDescent="0.25">
      <c r="A1" t="s">
        <v>284</v>
      </c>
    </row>
  </sheetData>
  <phoneticPr fontId="5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4"/>
  <sheetViews>
    <sheetView workbookViewId="0">
      <selection activeCell="E15" sqref="E15"/>
    </sheetView>
  </sheetViews>
  <sheetFormatPr defaultColWidth="8.83203125" defaultRowHeight="15" x14ac:dyDescent="0.25"/>
  <cols>
    <col min="1" max="1" width="12.75" style="1"/>
    <col min="2" max="2" width="22.75"/>
    <col min="3" max="4" width="10.5"/>
    <col min="5" max="6" width="13.83203125"/>
    <col min="7" max="7" width="10.5"/>
    <col min="8" max="8" width="15"/>
    <col min="9" max="9" width="12.75"/>
    <col min="10" max="10" width="15"/>
    <col min="11" max="11" width="11.58203125" customWidth="1"/>
    <col min="12" max="12" width="15"/>
    <col min="13" max="13" width="11.58203125" customWidth="1"/>
    <col min="14" max="14" width="10.5"/>
    <col min="15" max="15" width="29.33203125"/>
    <col min="16" max="16" width="13.83203125"/>
    <col min="17" max="32" width="9"/>
  </cols>
  <sheetData>
    <row r="1" spans="1:16" x14ac:dyDescent="0.25">
      <c r="A1" s="14" t="s">
        <v>374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16" s="13" customFormat="1" x14ac:dyDescent="0.25">
      <c r="A2" s="16" t="s">
        <v>92</v>
      </c>
      <c r="B2" s="15" t="s">
        <v>93</v>
      </c>
      <c r="C2" s="15" t="s">
        <v>94</v>
      </c>
      <c r="D2" s="15" t="s">
        <v>95</v>
      </c>
      <c r="E2" s="15" t="s">
        <v>96</v>
      </c>
      <c r="F2" s="15" t="s">
        <v>97</v>
      </c>
      <c r="G2" s="15" t="s">
        <v>98</v>
      </c>
      <c r="H2" s="15" t="s">
        <v>99</v>
      </c>
      <c r="I2" s="15"/>
      <c r="J2" s="15" t="s">
        <v>100</v>
      </c>
      <c r="K2" s="15"/>
      <c r="L2" s="15" t="s">
        <v>101</v>
      </c>
      <c r="M2" s="15"/>
      <c r="N2" s="15" t="s">
        <v>102</v>
      </c>
      <c r="O2" s="15" t="s">
        <v>103</v>
      </c>
      <c r="P2" s="15" t="s">
        <v>104</v>
      </c>
    </row>
    <row r="3" spans="1:16" x14ac:dyDescent="0.25">
      <c r="A3" s="1" t="s">
        <v>105</v>
      </c>
      <c r="B3" s="1" t="s">
        <v>106</v>
      </c>
      <c r="C3" s="1">
        <v>142030847</v>
      </c>
      <c r="D3" s="1">
        <v>142039759</v>
      </c>
      <c r="E3" s="1">
        <v>700</v>
      </c>
      <c r="F3" s="1">
        <v>699</v>
      </c>
      <c r="G3" s="1">
        <v>1434</v>
      </c>
      <c r="H3" s="1">
        <v>311</v>
      </c>
      <c r="I3" s="1">
        <f>(492-H3)/492</f>
        <v>0.36788617886178859</v>
      </c>
      <c r="J3" s="1">
        <v>802</v>
      </c>
      <c r="K3" s="1">
        <f>(979-J3)/979</f>
        <v>0.18079673135852911</v>
      </c>
      <c r="L3" s="1">
        <v>245</v>
      </c>
      <c r="M3" s="1">
        <f>(192-L3)/192</f>
        <v>-0.27604166666666669</v>
      </c>
      <c r="N3" s="1">
        <v>7412</v>
      </c>
      <c r="O3" s="1">
        <v>8912</v>
      </c>
      <c r="P3" s="1" t="s">
        <v>107</v>
      </c>
    </row>
    <row r="4" spans="1:16" x14ac:dyDescent="0.25">
      <c r="B4" s="1" t="s">
        <v>108</v>
      </c>
      <c r="C4" s="1">
        <v>105710884</v>
      </c>
      <c r="D4" s="1">
        <v>105719194</v>
      </c>
      <c r="E4" s="1">
        <v>701</v>
      </c>
      <c r="F4" s="1">
        <v>700</v>
      </c>
      <c r="G4" s="1">
        <v>2072</v>
      </c>
      <c r="H4" s="1">
        <v>523</v>
      </c>
      <c r="I4" s="1">
        <f t="shared" ref="I4:I31" si="0">(492-H4)/492</f>
        <v>-6.3008130081300809E-2</v>
      </c>
      <c r="J4" s="1">
        <v>607</v>
      </c>
      <c r="K4" s="1">
        <f t="shared" ref="K4:K31" si="1">(979-J4)/979</f>
        <v>0.37997957099080693</v>
      </c>
      <c r="L4" s="1">
        <v>83</v>
      </c>
      <c r="M4" s="1">
        <f t="shared" ref="M4:M31" si="2">(192-L4)/192</f>
        <v>0.56770833333333337</v>
      </c>
      <c r="N4" s="1">
        <v>6808</v>
      </c>
      <c r="O4" s="1">
        <v>8310</v>
      </c>
      <c r="P4" s="1" t="s">
        <v>107</v>
      </c>
    </row>
    <row r="5" spans="1:16" x14ac:dyDescent="0.25">
      <c r="A5" s="1" t="s">
        <v>109</v>
      </c>
      <c r="B5" s="1" t="s">
        <v>110</v>
      </c>
      <c r="C5" s="1">
        <v>51570546</v>
      </c>
      <c r="D5" s="1">
        <v>51579460</v>
      </c>
      <c r="E5" s="1">
        <v>700</v>
      </c>
      <c r="F5" s="1">
        <v>700</v>
      </c>
      <c r="G5" s="1">
        <v>1597</v>
      </c>
      <c r="H5" s="1">
        <v>471</v>
      </c>
      <c r="I5" s="1">
        <f t="shared" si="0"/>
        <v>4.2682926829268296E-2</v>
      </c>
      <c r="J5" s="1">
        <v>690</v>
      </c>
      <c r="K5" s="1">
        <f t="shared" si="1"/>
        <v>0.29519918283963226</v>
      </c>
      <c r="L5" s="1">
        <v>220</v>
      </c>
      <c r="M5" s="1">
        <f t="shared" si="2"/>
        <v>-0.14583333333333334</v>
      </c>
      <c r="N5" s="1">
        <v>7414</v>
      </c>
      <c r="O5" s="1">
        <v>8914</v>
      </c>
      <c r="P5" s="1" t="s">
        <v>107</v>
      </c>
    </row>
    <row r="6" spans="1:16" x14ac:dyDescent="0.25">
      <c r="A6" s="1" t="s">
        <v>111</v>
      </c>
      <c r="B6" s="1" t="s">
        <v>112</v>
      </c>
      <c r="C6" s="1">
        <v>92185134</v>
      </c>
      <c r="D6" s="1">
        <v>92194051</v>
      </c>
      <c r="E6" s="1">
        <v>701</v>
      </c>
      <c r="F6" s="1">
        <v>701</v>
      </c>
      <c r="G6" s="1">
        <v>1778</v>
      </c>
      <c r="H6" s="1">
        <v>417</v>
      </c>
      <c r="I6" s="1">
        <f t="shared" si="0"/>
        <v>0.1524390243902439</v>
      </c>
      <c r="J6" s="1">
        <v>881</v>
      </c>
      <c r="K6" s="1">
        <f t="shared" si="1"/>
        <v>0.10010214504596528</v>
      </c>
      <c r="L6" s="1">
        <v>220</v>
      </c>
      <c r="M6" s="1">
        <f t="shared" si="2"/>
        <v>-0.14583333333333334</v>
      </c>
      <c r="N6" s="1">
        <v>7415</v>
      </c>
      <c r="O6" s="1">
        <v>8917</v>
      </c>
      <c r="P6" s="1" t="s">
        <v>107</v>
      </c>
    </row>
    <row r="7" spans="1:16" x14ac:dyDescent="0.25">
      <c r="A7" s="1" t="s">
        <v>113</v>
      </c>
      <c r="B7" s="1" t="s">
        <v>114</v>
      </c>
      <c r="C7" s="1">
        <v>262166347</v>
      </c>
      <c r="D7" s="1">
        <v>262175261</v>
      </c>
      <c r="E7" s="1">
        <v>702</v>
      </c>
      <c r="F7" s="1">
        <v>701</v>
      </c>
      <c r="G7" s="1">
        <v>1427</v>
      </c>
      <c r="H7" s="1">
        <v>523</v>
      </c>
      <c r="I7" s="1">
        <f t="shared" si="0"/>
        <v>-6.3008130081300809E-2</v>
      </c>
      <c r="J7" s="1">
        <v>742</v>
      </c>
      <c r="K7" s="1">
        <f t="shared" si="1"/>
        <v>0.24208375893769152</v>
      </c>
      <c r="L7" s="1">
        <v>108</v>
      </c>
      <c r="M7" s="1">
        <f t="shared" si="2"/>
        <v>0.4375</v>
      </c>
      <c r="N7" s="1">
        <v>7410</v>
      </c>
      <c r="O7" s="1">
        <v>8914</v>
      </c>
      <c r="P7" s="1" t="s">
        <v>107</v>
      </c>
    </row>
    <row r="8" spans="1:16" x14ac:dyDescent="0.25">
      <c r="A8" s="1" t="s">
        <v>115</v>
      </c>
      <c r="B8" s="1" t="s">
        <v>114</v>
      </c>
      <c r="C8" s="1">
        <v>132020281</v>
      </c>
      <c r="D8" s="1">
        <v>132028360</v>
      </c>
      <c r="E8" s="1">
        <v>702</v>
      </c>
      <c r="F8" s="1">
        <v>701</v>
      </c>
      <c r="G8" s="1">
        <v>1327</v>
      </c>
      <c r="H8" s="1">
        <v>271</v>
      </c>
      <c r="I8" s="1">
        <f t="shared" si="0"/>
        <v>0.44918699186991867</v>
      </c>
      <c r="J8" s="1">
        <v>767</v>
      </c>
      <c r="K8" s="1">
        <f t="shared" si="1"/>
        <v>0.21654749744637386</v>
      </c>
      <c r="L8" s="1">
        <v>141</v>
      </c>
      <c r="M8" s="1">
        <f t="shared" si="2"/>
        <v>0.265625</v>
      </c>
      <c r="N8" s="1">
        <v>6575</v>
      </c>
      <c r="O8" s="1">
        <v>8079</v>
      </c>
      <c r="P8" s="1" t="s">
        <v>107</v>
      </c>
    </row>
    <row r="9" spans="1:16" x14ac:dyDescent="0.25">
      <c r="B9" s="1" t="s">
        <v>116</v>
      </c>
      <c r="C9" s="1">
        <v>28221374</v>
      </c>
      <c r="D9" s="1">
        <v>28230286</v>
      </c>
      <c r="E9" s="1">
        <v>702</v>
      </c>
      <c r="F9" s="1">
        <v>701</v>
      </c>
      <c r="G9" s="1">
        <v>1314</v>
      </c>
      <c r="H9" s="1">
        <v>146</v>
      </c>
      <c r="I9" s="1">
        <f t="shared" si="0"/>
        <v>0.7032520325203252</v>
      </c>
      <c r="J9" s="1">
        <v>968</v>
      </c>
      <c r="K9" s="1">
        <f t="shared" si="1"/>
        <v>1.1235955056179775E-2</v>
      </c>
      <c r="L9" s="1">
        <v>215</v>
      </c>
      <c r="M9" s="1">
        <f t="shared" si="2"/>
        <v>-0.11979166666666667</v>
      </c>
      <c r="N9" s="1">
        <v>7408</v>
      </c>
      <c r="O9" s="1">
        <v>8912</v>
      </c>
      <c r="P9" s="1" t="s">
        <v>107</v>
      </c>
    </row>
    <row r="10" spans="1:16" x14ac:dyDescent="0.25">
      <c r="A10" s="1" t="s">
        <v>117</v>
      </c>
      <c r="B10" s="1" t="s">
        <v>118</v>
      </c>
      <c r="C10" s="1">
        <v>33062883</v>
      </c>
      <c r="D10" s="1">
        <v>33071800</v>
      </c>
      <c r="E10" s="1">
        <v>702</v>
      </c>
      <c r="F10" s="1">
        <v>701</v>
      </c>
      <c r="G10" s="1">
        <v>1772</v>
      </c>
      <c r="H10" s="1">
        <v>479</v>
      </c>
      <c r="I10" s="1">
        <f t="shared" si="0"/>
        <v>2.6422764227642278E-2</v>
      </c>
      <c r="J10" s="1">
        <v>772</v>
      </c>
      <c r="K10" s="1">
        <f t="shared" si="1"/>
        <v>0.21144024514811033</v>
      </c>
      <c r="L10" s="1">
        <v>205</v>
      </c>
      <c r="M10" s="1">
        <f t="shared" si="2"/>
        <v>-6.7708333333333329E-2</v>
      </c>
      <c r="N10" s="1">
        <v>7413</v>
      </c>
      <c r="O10" s="1">
        <v>8917</v>
      </c>
      <c r="P10" s="1" t="s">
        <v>107</v>
      </c>
    </row>
    <row r="11" spans="1:16" x14ac:dyDescent="0.25">
      <c r="A11" s="1" t="s">
        <v>119</v>
      </c>
      <c r="B11" s="1" t="s">
        <v>120</v>
      </c>
      <c r="C11" s="1">
        <v>73752987</v>
      </c>
      <c r="D11" s="1">
        <v>73761904</v>
      </c>
      <c r="E11" s="1">
        <v>700</v>
      </c>
      <c r="F11" s="1">
        <v>700</v>
      </c>
      <c r="G11" s="1">
        <v>1074</v>
      </c>
      <c r="H11" s="1">
        <v>267</v>
      </c>
      <c r="I11" s="1">
        <f t="shared" si="0"/>
        <v>0.45731707317073172</v>
      </c>
      <c r="J11" s="1">
        <v>592</v>
      </c>
      <c r="K11" s="1">
        <f t="shared" si="1"/>
        <v>0.39530132788559758</v>
      </c>
      <c r="L11" s="1">
        <v>220</v>
      </c>
      <c r="M11" s="1">
        <f t="shared" si="2"/>
        <v>-0.14583333333333334</v>
      </c>
      <c r="N11" s="1">
        <v>7417</v>
      </c>
      <c r="O11" s="1">
        <v>8917</v>
      </c>
      <c r="P11" s="1" t="s">
        <v>107</v>
      </c>
    </row>
    <row r="12" spans="1:16" x14ac:dyDescent="0.25">
      <c r="A12" s="1" t="s">
        <v>121</v>
      </c>
      <c r="B12" s="1" t="s">
        <v>106</v>
      </c>
      <c r="C12" s="1">
        <v>146750568</v>
      </c>
      <c r="D12" s="1">
        <v>146759664</v>
      </c>
      <c r="E12" s="1">
        <v>768</v>
      </c>
      <c r="F12" s="1">
        <v>804</v>
      </c>
      <c r="G12" s="1">
        <v>1698</v>
      </c>
      <c r="H12" s="1">
        <v>362</v>
      </c>
      <c r="I12" s="1">
        <f t="shared" si="0"/>
        <v>0.26422764227642276</v>
      </c>
      <c r="J12" s="1">
        <v>1094</v>
      </c>
      <c r="K12" s="1">
        <f t="shared" si="1"/>
        <v>-0.11746680286006128</v>
      </c>
      <c r="L12" s="1">
        <v>121</v>
      </c>
      <c r="M12" s="1">
        <f t="shared" si="2"/>
        <v>0.36979166666666669</v>
      </c>
      <c r="N12" s="1">
        <v>7460</v>
      </c>
      <c r="O12" s="1">
        <v>9096</v>
      </c>
      <c r="P12" s="1" t="s">
        <v>107</v>
      </c>
    </row>
    <row r="13" spans="1:16" x14ac:dyDescent="0.25">
      <c r="A13" s="1" t="s">
        <v>122</v>
      </c>
      <c r="B13" s="1" t="s">
        <v>118</v>
      </c>
      <c r="C13" s="1">
        <v>3793914</v>
      </c>
      <c r="D13" s="1">
        <v>3802815</v>
      </c>
      <c r="E13" s="1">
        <v>745</v>
      </c>
      <c r="F13" s="1">
        <v>648</v>
      </c>
      <c r="G13" s="1">
        <v>2230</v>
      </c>
      <c r="H13" s="1">
        <v>430</v>
      </c>
      <c r="I13" s="1">
        <f t="shared" si="0"/>
        <v>0.12601626016260162</v>
      </c>
      <c r="J13" s="1">
        <v>1088</v>
      </c>
      <c r="K13" s="1">
        <f t="shared" si="1"/>
        <v>-0.11133810010214505</v>
      </c>
      <c r="L13" s="1">
        <v>468</v>
      </c>
      <c r="M13" s="1">
        <f t="shared" si="2"/>
        <v>-1.4375</v>
      </c>
      <c r="N13" s="1">
        <v>7311</v>
      </c>
      <c r="O13" s="1">
        <v>8901</v>
      </c>
      <c r="P13" s="1" t="s">
        <v>107</v>
      </c>
    </row>
    <row r="14" spans="1:16" x14ac:dyDescent="0.25">
      <c r="B14" s="1" t="s">
        <v>123</v>
      </c>
      <c r="C14" s="1">
        <v>66864154</v>
      </c>
      <c r="D14" s="1">
        <v>66873045</v>
      </c>
      <c r="E14" s="1">
        <v>701</v>
      </c>
      <c r="F14" s="1">
        <v>701</v>
      </c>
      <c r="G14" s="1">
        <v>1337</v>
      </c>
      <c r="H14" s="1">
        <v>347</v>
      </c>
      <c r="I14" s="1">
        <f t="shared" si="0"/>
        <v>0.29471544715447157</v>
      </c>
      <c r="J14" s="1">
        <v>918</v>
      </c>
      <c r="K14" s="1">
        <f t="shared" si="1"/>
        <v>6.2308478038815118E-2</v>
      </c>
      <c r="L14" s="1">
        <v>54</v>
      </c>
      <c r="M14" s="1">
        <f t="shared" si="2"/>
        <v>0.71875</v>
      </c>
      <c r="N14" s="1">
        <v>7389</v>
      </c>
      <c r="O14" s="1">
        <v>8891</v>
      </c>
      <c r="P14" s="1" t="s">
        <v>107</v>
      </c>
    </row>
    <row r="15" spans="1:16" x14ac:dyDescent="0.25">
      <c r="A15" s="1" t="s">
        <v>124</v>
      </c>
      <c r="B15" s="1" t="s">
        <v>125</v>
      </c>
      <c r="C15" s="1">
        <v>563793</v>
      </c>
      <c r="D15" s="1">
        <v>572725</v>
      </c>
      <c r="E15" s="1">
        <v>723</v>
      </c>
      <c r="F15" s="1">
        <v>722</v>
      </c>
      <c r="G15" s="1">
        <v>1905</v>
      </c>
      <c r="H15" s="1">
        <v>275</v>
      </c>
      <c r="I15" s="1">
        <f t="shared" si="0"/>
        <v>0.44105691056910568</v>
      </c>
      <c r="J15" s="1">
        <v>911</v>
      </c>
      <c r="K15" s="1">
        <f t="shared" si="1"/>
        <v>6.945863125638406E-2</v>
      </c>
      <c r="L15" s="1">
        <v>394</v>
      </c>
      <c r="M15" s="1">
        <f t="shared" si="2"/>
        <v>-1.0520833333333333</v>
      </c>
      <c r="N15" s="1">
        <v>7386</v>
      </c>
      <c r="O15" s="1">
        <v>8932</v>
      </c>
      <c r="P15" s="1" t="s">
        <v>107</v>
      </c>
    </row>
    <row r="16" spans="1:16" x14ac:dyDescent="0.25">
      <c r="A16" s="1" t="s">
        <v>126</v>
      </c>
      <c r="B16" s="1" t="s">
        <v>127</v>
      </c>
      <c r="C16" s="1">
        <v>21867228</v>
      </c>
      <c r="D16" s="1">
        <v>21876081</v>
      </c>
      <c r="E16" s="1">
        <v>707</v>
      </c>
      <c r="F16" s="1">
        <v>752</v>
      </c>
      <c r="G16" s="1">
        <v>2004</v>
      </c>
      <c r="H16" s="1">
        <v>441</v>
      </c>
      <c r="I16" s="1">
        <f t="shared" si="0"/>
        <v>0.10365853658536585</v>
      </c>
      <c r="J16" s="1">
        <v>957</v>
      </c>
      <c r="K16" s="1">
        <f t="shared" si="1"/>
        <v>2.247191011235955E-2</v>
      </c>
      <c r="L16" s="1">
        <v>417</v>
      </c>
      <c r="M16" s="1">
        <f t="shared" si="2"/>
        <v>-1.171875</v>
      </c>
      <c r="N16" s="1">
        <v>7339</v>
      </c>
      <c r="O16" s="1">
        <v>8853</v>
      </c>
      <c r="P16" s="1" t="s">
        <v>107</v>
      </c>
    </row>
    <row r="17" spans="1:16" x14ac:dyDescent="0.25">
      <c r="A17" s="1" t="s">
        <v>128</v>
      </c>
      <c r="B17" s="1" t="s">
        <v>129</v>
      </c>
      <c r="C17" s="1">
        <v>51108602</v>
      </c>
      <c r="D17" s="1">
        <v>51117361</v>
      </c>
      <c r="E17" s="1">
        <v>628</v>
      </c>
      <c r="F17" s="1">
        <v>628</v>
      </c>
      <c r="G17" s="1">
        <v>1600</v>
      </c>
      <c r="H17" s="1">
        <v>492</v>
      </c>
      <c r="I17" s="1">
        <f t="shared" si="0"/>
        <v>0</v>
      </c>
      <c r="J17" s="1">
        <v>901</v>
      </c>
      <c r="K17" s="1">
        <f t="shared" si="1"/>
        <v>7.9673135852911137E-2</v>
      </c>
      <c r="L17" s="1">
        <v>121</v>
      </c>
      <c r="M17" s="1">
        <f t="shared" si="2"/>
        <v>0.36979166666666669</v>
      </c>
      <c r="N17" s="1">
        <v>7403</v>
      </c>
      <c r="O17" s="1">
        <v>8759</v>
      </c>
      <c r="P17" s="1" t="s">
        <v>130</v>
      </c>
    </row>
    <row r="18" spans="1:16" x14ac:dyDescent="0.25">
      <c r="A18" s="1" t="s">
        <v>131</v>
      </c>
      <c r="B18" s="1" t="s">
        <v>132</v>
      </c>
      <c r="C18" s="1">
        <v>42197</v>
      </c>
      <c r="D18" s="1">
        <v>50915</v>
      </c>
      <c r="E18" s="1">
        <v>589</v>
      </c>
      <c r="F18" s="1">
        <v>627</v>
      </c>
      <c r="G18" s="1">
        <v>1138</v>
      </c>
      <c r="H18" s="1">
        <v>284</v>
      </c>
      <c r="I18" s="1">
        <f t="shared" si="0"/>
        <v>0.42276422764227645</v>
      </c>
      <c r="J18" s="1">
        <v>571</v>
      </c>
      <c r="K18" s="1">
        <f t="shared" si="1"/>
        <v>0.41675178753830439</v>
      </c>
      <c r="L18" s="1">
        <v>156</v>
      </c>
      <c r="M18" s="1">
        <f t="shared" si="2"/>
        <v>0.1875</v>
      </c>
      <c r="N18" s="1">
        <v>7440</v>
      </c>
      <c r="O18" s="1">
        <v>8718</v>
      </c>
      <c r="P18" s="1" t="s">
        <v>130</v>
      </c>
    </row>
    <row r="19" spans="1:16" x14ac:dyDescent="0.25">
      <c r="B19" s="1" t="s">
        <v>129</v>
      </c>
      <c r="C19" s="1">
        <v>17778858</v>
      </c>
      <c r="D19" s="1">
        <v>17788086</v>
      </c>
      <c r="E19" s="1">
        <v>591</v>
      </c>
      <c r="F19" s="1">
        <v>601</v>
      </c>
      <c r="G19" s="1">
        <v>1498</v>
      </c>
      <c r="H19" s="1">
        <v>483</v>
      </c>
      <c r="I19" s="1">
        <f t="shared" si="0"/>
        <v>1.8292682926829267E-2</v>
      </c>
      <c r="J19" s="1">
        <v>865</v>
      </c>
      <c r="K19" s="1">
        <f t="shared" si="1"/>
        <v>0.11644535240040858</v>
      </c>
      <c r="L19" s="1">
        <v>80</v>
      </c>
      <c r="M19" s="1">
        <f t="shared" si="2"/>
        <v>0.58333333333333337</v>
      </c>
      <c r="N19" s="1">
        <v>7946</v>
      </c>
      <c r="O19" s="1">
        <v>9228</v>
      </c>
      <c r="P19" s="1" t="s">
        <v>130</v>
      </c>
    </row>
    <row r="20" spans="1:16" x14ac:dyDescent="0.25">
      <c r="A20" s="1" t="s">
        <v>133</v>
      </c>
      <c r="B20" s="1" t="s">
        <v>134</v>
      </c>
      <c r="C20" s="1">
        <v>13836</v>
      </c>
      <c r="D20" s="1">
        <v>22597</v>
      </c>
      <c r="E20" s="1">
        <v>629</v>
      </c>
      <c r="F20" s="1">
        <v>628</v>
      </c>
      <c r="G20" s="1">
        <v>1758</v>
      </c>
      <c r="H20" s="1">
        <v>492</v>
      </c>
      <c r="I20" s="1">
        <f t="shared" si="0"/>
        <v>0</v>
      </c>
      <c r="J20" s="1">
        <v>979</v>
      </c>
      <c r="K20" s="1">
        <f t="shared" si="1"/>
        <v>0</v>
      </c>
      <c r="L20" s="1">
        <v>192</v>
      </c>
      <c r="M20" s="1">
        <f t="shared" si="2"/>
        <v>0</v>
      </c>
      <c r="N20" s="1">
        <v>7403</v>
      </c>
      <c r="O20" s="1">
        <v>8761</v>
      </c>
      <c r="P20" s="1" t="s">
        <v>130</v>
      </c>
    </row>
    <row r="21" spans="1:16" x14ac:dyDescent="0.25">
      <c r="A21" s="1" t="s">
        <v>135</v>
      </c>
      <c r="B21" s="1" t="s">
        <v>136</v>
      </c>
      <c r="C21" s="1">
        <v>119667621</v>
      </c>
      <c r="D21" s="1">
        <v>119676299</v>
      </c>
      <c r="E21" s="1">
        <v>590</v>
      </c>
      <c r="F21" s="1">
        <v>589</v>
      </c>
      <c r="G21" s="1">
        <v>1365</v>
      </c>
      <c r="H21" s="1">
        <v>457</v>
      </c>
      <c r="I21" s="1">
        <f t="shared" si="0"/>
        <v>7.113821138211382E-2</v>
      </c>
      <c r="J21" s="1">
        <v>706</v>
      </c>
      <c r="K21" s="1">
        <f t="shared" si="1"/>
        <v>0.27885597548518898</v>
      </c>
      <c r="L21" s="1">
        <v>135</v>
      </c>
      <c r="M21" s="1">
        <f t="shared" si="2"/>
        <v>0.296875</v>
      </c>
      <c r="N21" s="1">
        <v>7398</v>
      </c>
      <c r="O21" s="1">
        <v>8678</v>
      </c>
      <c r="P21" s="1" t="s">
        <v>130</v>
      </c>
    </row>
    <row r="22" spans="1:16" x14ac:dyDescent="0.25">
      <c r="A22" s="1" t="s">
        <v>137</v>
      </c>
      <c r="B22" s="1" t="s">
        <v>138</v>
      </c>
      <c r="C22" s="1" t="s">
        <v>139</v>
      </c>
      <c r="D22" s="1">
        <v>45608253</v>
      </c>
      <c r="E22" s="1">
        <v>628</v>
      </c>
      <c r="F22" s="1">
        <v>628</v>
      </c>
      <c r="G22" s="1">
        <v>1638</v>
      </c>
      <c r="H22" s="1">
        <v>465</v>
      </c>
      <c r="I22" s="1">
        <f t="shared" si="0"/>
        <v>5.4878048780487805E-2</v>
      </c>
      <c r="J22" s="1">
        <v>901</v>
      </c>
      <c r="K22" s="1">
        <f t="shared" si="1"/>
        <v>7.9673135852911137E-2</v>
      </c>
      <c r="L22" s="1">
        <v>121</v>
      </c>
      <c r="M22" s="1">
        <f t="shared" si="2"/>
        <v>0.36979166666666669</v>
      </c>
      <c r="N22" s="1">
        <v>7402</v>
      </c>
      <c r="O22" s="1">
        <v>8758</v>
      </c>
      <c r="P22" s="1" t="s">
        <v>130</v>
      </c>
    </row>
    <row r="23" spans="1:16" x14ac:dyDescent="0.25">
      <c r="A23" s="1" t="s">
        <v>140</v>
      </c>
      <c r="B23" s="1" t="s">
        <v>110</v>
      </c>
      <c r="C23" s="1">
        <v>15319428</v>
      </c>
      <c r="D23" s="1">
        <v>15328187</v>
      </c>
      <c r="E23" s="1">
        <v>629</v>
      </c>
      <c r="F23" s="1">
        <v>628</v>
      </c>
      <c r="G23" s="1">
        <v>1267</v>
      </c>
      <c r="H23" s="1">
        <v>492</v>
      </c>
      <c r="I23" s="1">
        <f t="shared" si="0"/>
        <v>0</v>
      </c>
      <c r="J23" s="1">
        <v>559</v>
      </c>
      <c r="K23" s="1">
        <f t="shared" si="1"/>
        <v>0.42900919305413687</v>
      </c>
      <c r="L23" s="1">
        <v>122</v>
      </c>
      <c r="M23" s="1">
        <f t="shared" si="2"/>
        <v>0.36458333333333331</v>
      </c>
      <c r="N23" s="1">
        <v>7401</v>
      </c>
      <c r="O23" s="1">
        <v>8759</v>
      </c>
      <c r="P23" s="1" t="s">
        <v>130</v>
      </c>
    </row>
    <row r="24" spans="1:16" x14ac:dyDescent="0.25">
      <c r="A24" s="1" t="s">
        <v>141</v>
      </c>
      <c r="B24" s="1" t="s">
        <v>142</v>
      </c>
      <c r="C24" s="1">
        <v>59571885</v>
      </c>
      <c r="D24" s="1">
        <v>59580646</v>
      </c>
      <c r="E24" s="1">
        <v>629</v>
      </c>
      <c r="F24" s="1">
        <v>628</v>
      </c>
      <c r="G24" s="1">
        <v>1655</v>
      </c>
      <c r="H24" s="1">
        <v>492</v>
      </c>
      <c r="I24" s="1">
        <f t="shared" si="0"/>
        <v>0</v>
      </c>
      <c r="J24" s="1">
        <v>876</v>
      </c>
      <c r="K24" s="1">
        <f t="shared" si="1"/>
        <v>0.10520939734422881</v>
      </c>
      <c r="L24" s="1">
        <v>192</v>
      </c>
      <c r="M24" s="1">
        <f t="shared" si="2"/>
        <v>0</v>
      </c>
      <c r="N24" s="1">
        <v>7403</v>
      </c>
      <c r="O24" s="1">
        <v>8761</v>
      </c>
      <c r="P24" s="1" t="s">
        <v>130</v>
      </c>
    </row>
    <row r="25" spans="1:16" x14ac:dyDescent="0.25">
      <c r="A25" s="1" t="s">
        <v>143</v>
      </c>
      <c r="B25" s="1" t="s">
        <v>144</v>
      </c>
      <c r="C25" s="1">
        <v>38201361</v>
      </c>
      <c r="D25" s="1">
        <v>38210116</v>
      </c>
      <c r="E25" s="1">
        <v>629</v>
      </c>
      <c r="F25" s="1">
        <v>628</v>
      </c>
      <c r="G25" s="1">
        <v>1640</v>
      </c>
      <c r="H25" s="1">
        <v>406</v>
      </c>
      <c r="I25" s="1">
        <f t="shared" si="0"/>
        <v>0.17479674796747968</v>
      </c>
      <c r="J25" s="1">
        <v>979</v>
      </c>
      <c r="K25" s="1">
        <f t="shared" si="1"/>
        <v>0</v>
      </c>
      <c r="L25" s="1">
        <v>192</v>
      </c>
      <c r="M25" s="1">
        <f t="shared" si="2"/>
        <v>0</v>
      </c>
      <c r="N25" s="1">
        <v>7397</v>
      </c>
      <c r="O25" s="1">
        <v>8755</v>
      </c>
      <c r="P25" s="1" t="s">
        <v>130</v>
      </c>
    </row>
    <row r="26" spans="1:16" x14ac:dyDescent="0.25">
      <c r="A26" s="1" t="s">
        <v>145</v>
      </c>
      <c r="B26" s="1" t="s">
        <v>123</v>
      </c>
      <c r="C26" s="1">
        <v>110958946</v>
      </c>
      <c r="D26" s="1">
        <v>110967783</v>
      </c>
      <c r="E26" s="1">
        <v>667</v>
      </c>
      <c r="F26" s="1">
        <v>667</v>
      </c>
      <c r="G26" s="1">
        <v>1817</v>
      </c>
      <c r="H26" s="1">
        <v>417</v>
      </c>
      <c r="I26" s="1">
        <f t="shared" si="0"/>
        <v>0.1524390243902439</v>
      </c>
      <c r="J26" s="1">
        <v>1057</v>
      </c>
      <c r="K26" s="1">
        <f t="shared" si="1"/>
        <v>-7.9673135852911137E-2</v>
      </c>
      <c r="L26" s="1">
        <v>314</v>
      </c>
      <c r="M26" s="1">
        <f t="shared" si="2"/>
        <v>-0.63541666666666663</v>
      </c>
      <c r="N26" s="1">
        <v>7403</v>
      </c>
      <c r="O26" s="1">
        <v>8837</v>
      </c>
      <c r="P26" s="1" t="s">
        <v>130</v>
      </c>
    </row>
    <row r="27" spans="1:16" x14ac:dyDescent="0.25">
      <c r="A27" s="1" t="s">
        <v>146</v>
      </c>
      <c r="B27" s="1" t="s">
        <v>147</v>
      </c>
      <c r="C27" s="1">
        <v>138895584</v>
      </c>
      <c r="D27" s="1">
        <v>138904340</v>
      </c>
      <c r="E27" s="1">
        <v>629</v>
      </c>
      <c r="F27" s="1">
        <v>628</v>
      </c>
      <c r="G27" s="1">
        <v>1776</v>
      </c>
      <c r="H27" s="1">
        <v>492</v>
      </c>
      <c r="I27" s="1">
        <f t="shared" si="0"/>
        <v>0</v>
      </c>
      <c r="J27" s="1">
        <v>979</v>
      </c>
      <c r="K27" s="1">
        <f t="shared" si="1"/>
        <v>0</v>
      </c>
      <c r="L27" s="1">
        <v>192</v>
      </c>
      <c r="M27" s="1">
        <f t="shared" si="2"/>
        <v>0</v>
      </c>
      <c r="N27" s="1">
        <v>7398</v>
      </c>
      <c r="O27" s="1">
        <v>8756</v>
      </c>
      <c r="P27" s="1" t="s">
        <v>130</v>
      </c>
    </row>
    <row r="28" spans="1:16" x14ac:dyDescent="0.25">
      <c r="B28" s="1" t="s">
        <v>148</v>
      </c>
      <c r="C28" s="1">
        <v>1949</v>
      </c>
      <c r="D28" s="1">
        <v>10743</v>
      </c>
      <c r="E28" s="1">
        <v>628</v>
      </c>
      <c r="F28" s="1">
        <v>667</v>
      </c>
      <c r="G28" s="1">
        <v>992</v>
      </c>
      <c r="H28" s="1">
        <v>173</v>
      </c>
      <c r="I28" s="1">
        <f t="shared" si="0"/>
        <v>0.64837398373983735</v>
      </c>
      <c r="J28" s="1">
        <v>560</v>
      </c>
      <c r="K28" s="1">
        <f t="shared" si="1"/>
        <v>0.42798774259448419</v>
      </c>
      <c r="L28" s="1">
        <v>128</v>
      </c>
      <c r="M28" s="1">
        <f t="shared" si="2"/>
        <v>0.33333333333333331</v>
      </c>
      <c r="N28" s="1">
        <v>7438</v>
      </c>
      <c r="O28" s="1">
        <v>8794</v>
      </c>
      <c r="P28" s="1" t="s">
        <v>130</v>
      </c>
    </row>
    <row r="29" spans="1:16" x14ac:dyDescent="0.25">
      <c r="B29" s="1" t="s">
        <v>127</v>
      </c>
      <c r="C29" s="1">
        <v>20196968</v>
      </c>
      <c r="D29" s="1">
        <v>20205758</v>
      </c>
      <c r="E29" s="1">
        <v>589</v>
      </c>
      <c r="F29" s="1">
        <v>593</v>
      </c>
      <c r="G29" s="1">
        <v>1185</v>
      </c>
      <c r="H29" s="1">
        <v>242</v>
      </c>
      <c r="I29" s="1">
        <f t="shared" si="0"/>
        <v>0.50813008130081305</v>
      </c>
      <c r="J29" s="1">
        <v>648</v>
      </c>
      <c r="K29" s="1">
        <f t="shared" si="1"/>
        <v>0.33810010214504599</v>
      </c>
      <c r="L29" s="1">
        <v>144</v>
      </c>
      <c r="M29" s="1">
        <f t="shared" si="2"/>
        <v>0.25</v>
      </c>
      <c r="N29" s="1">
        <v>7512</v>
      </c>
      <c r="O29" s="1">
        <v>8790</v>
      </c>
      <c r="P29" s="1" t="s">
        <v>130</v>
      </c>
    </row>
    <row r="30" spans="1:16" x14ac:dyDescent="0.25">
      <c r="A30" s="1" t="s">
        <v>149</v>
      </c>
      <c r="B30" s="1" t="s">
        <v>108</v>
      </c>
      <c r="C30" s="1">
        <v>21236823</v>
      </c>
      <c r="D30" s="1">
        <v>21244313</v>
      </c>
      <c r="E30" s="1">
        <v>662</v>
      </c>
      <c r="F30" s="1">
        <v>662</v>
      </c>
      <c r="G30" s="1">
        <v>1146</v>
      </c>
      <c r="H30" s="1">
        <v>287</v>
      </c>
      <c r="I30" s="1">
        <f t="shared" si="0"/>
        <v>0.41666666666666669</v>
      </c>
      <c r="J30" s="1">
        <v>506</v>
      </c>
      <c r="K30" s="1">
        <f t="shared" si="1"/>
        <v>0.48314606741573035</v>
      </c>
      <c r="L30" s="1">
        <v>313</v>
      </c>
      <c r="M30" s="1">
        <f t="shared" si="2"/>
        <v>-0.63020833333333337</v>
      </c>
      <c r="N30" s="1">
        <f>O30-F30-E30</f>
        <v>6166</v>
      </c>
      <c r="O30" s="1">
        <f>D30-C30</f>
        <v>7490</v>
      </c>
      <c r="P30" s="1" t="s">
        <v>130</v>
      </c>
    </row>
    <row r="31" spans="1:16" x14ac:dyDescent="0.25">
      <c r="A31" s="1" t="s">
        <v>150</v>
      </c>
      <c r="B31" s="1" t="s">
        <v>127</v>
      </c>
      <c r="C31" s="1">
        <v>25245506</v>
      </c>
      <c r="D31" s="1">
        <v>25254401</v>
      </c>
      <c r="E31" s="1">
        <v>700</v>
      </c>
      <c r="F31" s="1">
        <v>700</v>
      </c>
      <c r="G31" s="1">
        <v>1760</v>
      </c>
      <c r="H31" s="1">
        <v>417</v>
      </c>
      <c r="I31" s="1">
        <f t="shared" si="0"/>
        <v>0.1524390243902439</v>
      </c>
      <c r="J31" s="1">
        <v>1032</v>
      </c>
      <c r="K31" s="1">
        <f t="shared" si="1"/>
        <v>-5.4136874361593465E-2</v>
      </c>
      <c r="L31" s="1">
        <v>206</v>
      </c>
      <c r="M31" s="1">
        <f t="shared" si="2"/>
        <v>-7.2916666666666671E-2</v>
      </c>
      <c r="N31" s="1">
        <f>O31-E31-F31</f>
        <v>7495</v>
      </c>
      <c r="O31" s="6">
        <v>8895</v>
      </c>
      <c r="P31" s="1" t="s">
        <v>107</v>
      </c>
    </row>
    <row r="34" spans="5:5" x14ac:dyDescent="0.25">
      <c r="E34" s="6"/>
    </row>
  </sheetData>
  <mergeCells count="1">
    <mergeCell ref="A1:P1"/>
  </mergeCells>
  <phoneticPr fontId="5" type="noConversion"/>
  <pageMargins left="0.75" right="0.75" top="1" bottom="1" header="0.51180555555555596" footer="0.51180555555555596"/>
  <pageSetup paperSize="9" orientation="portrait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L3"/>
  <sheetViews>
    <sheetView tabSelected="1" workbookViewId="0">
      <selection activeCell="H14" sqref="H14"/>
    </sheetView>
  </sheetViews>
  <sheetFormatPr defaultColWidth="8.83203125" defaultRowHeight="15" x14ac:dyDescent="0.25"/>
  <cols>
    <col min="1" max="1" width="16.08203125"/>
    <col min="4" max="4" width="11.58203125"/>
    <col min="6" max="7" width="10.5"/>
    <col min="8" max="8" width="15"/>
    <col min="10" max="10" width="15"/>
    <col min="12" max="12" width="15"/>
  </cols>
  <sheetData>
    <row r="1" spans="1:12" x14ac:dyDescent="0.25">
      <c r="A1" s="14" t="s">
        <v>390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x14ac:dyDescent="0.25">
      <c r="A2" s="1" t="s">
        <v>93</v>
      </c>
      <c r="B2" s="1" t="s">
        <v>151</v>
      </c>
      <c r="C2" s="1" t="s">
        <v>152</v>
      </c>
      <c r="D2" s="1" t="s">
        <v>168</v>
      </c>
      <c r="E2" s="1" t="s">
        <v>153</v>
      </c>
      <c r="F2" s="1" t="s">
        <v>256</v>
      </c>
      <c r="G2" s="1" t="s">
        <v>98</v>
      </c>
      <c r="H2" s="1" t="s">
        <v>99</v>
      </c>
      <c r="J2" t="s">
        <v>100</v>
      </c>
      <c r="L2" t="s">
        <v>101</v>
      </c>
    </row>
    <row r="3" spans="1:12" x14ac:dyDescent="0.25">
      <c r="A3" s="1" t="s">
        <v>372</v>
      </c>
      <c r="B3" s="1">
        <v>18603</v>
      </c>
      <c r="C3" s="1">
        <v>38024</v>
      </c>
      <c r="D3" s="1" t="s">
        <v>130</v>
      </c>
      <c r="E3" s="1" t="s">
        <v>155</v>
      </c>
      <c r="F3" s="1">
        <v>7422</v>
      </c>
      <c r="G3" s="1">
        <f>368+768</f>
        <v>1136</v>
      </c>
      <c r="H3" s="1">
        <f>368-21</f>
        <v>347</v>
      </c>
      <c r="J3">
        <f>1091-782+765-369</f>
        <v>705</v>
      </c>
      <c r="L3" t="s">
        <v>263</v>
      </c>
    </row>
  </sheetData>
  <mergeCells count="1">
    <mergeCell ref="A1:L1"/>
  </mergeCells>
  <phoneticPr fontId="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5"/>
  <sheetViews>
    <sheetView workbookViewId="0">
      <selection activeCell="D7" sqref="D7"/>
    </sheetView>
  </sheetViews>
  <sheetFormatPr defaultColWidth="8.83203125" defaultRowHeight="15" x14ac:dyDescent="0.25"/>
  <cols>
    <col min="1" max="1" width="12.75" style="1"/>
    <col min="2" max="2" width="4.5" style="1"/>
    <col min="3" max="3" width="16.08203125" style="1"/>
    <col min="4" max="5" width="9.58203125" style="1"/>
    <col min="6" max="6" width="10.5" style="1"/>
    <col min="7" max="7" width="15" style="1"/>
    <col min="8" max="8" width="12.75" style="1"/>
    <col min="9" max="9" width="15" style="1"/>
    <col min="10" max="10" width="11.58203125" style="1" customWidth="1"/>
    <col min="11" max="11" width="15" style="1"/>
    <col min="12" max="12" width="11.58203125" style="1" customWidth="1"/>
    <col min="13" max="13" width="10.5" style="1"/>
    <col min="14" max="14" width="11.58203125" style="1"/>
    <col min="15" max="32" width="9" style="1"/>
    <col min="33" max="16384" width="8.83203125" style="1"/>
  </cols>
  <sheetData>
    <row r="1" spans="1:14" s="15" customFormat="1" x14ac:dyDescent="0.25">
      <c r="A1" s="14" t="s">
        <v>375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s="15" customFormat="1" x14ac:dyDescent="0.25">
      <c r="A2" s="16" t="s">
        <v>92</v>
      </c>
      <c r="C2" s="15" t="s">
        <v>93</v>
      </c>
      <c r="D2" s="15" t="s">
        <v>151</v>
      </c>
      <c r="E2" s="15" t="s">
        <v>152</v>
      </c>
      <c r="F2" s="15" t="s">
        <v>98</v>
      </c>
      <c r="G2" s="15" t="s">
        <v>99</v>
      </c>
      <c r="I2" s="15" t="s">
        <v>100</v>
      </c>
      <c r="K2" s="15" t="s">
        <v>101</v>
      </c>
      <c r="M2" s="15" t="s">
        <v>153</v>
      </c>
      <c r="N2" s="15" t="s">
        <v>104</v>
      </c>
    </row>
    <row r="3" spans="1:14" x14ac:dyDescent="0.25">
      <c r="C3" s="1" t="s">
        <v>154</v>
      </c>
      <c r="D3" s="1">
        <v>25918</v>
      </c>
      <c r="E3" s="1">
        <v>38131</v>
      </c>
      <c r="F3" s="1">
        <f>242+790</f>
        <v>1032</v>
      </c>
      <c r="G3" s="1">
        <v>203</v>
      </c>
      <c r="H3" s="1">
        <f>(492-G3)/492</f>
        <v>0.58739837398373984</v>
      </c>
      <c r="I3" s="1">
        <f>236+347</f>
        <v>583</v>
      </c>
      <c r="J3" s="1">
        <f>(979-I3)/979</f>
        <v>0.4044943820224719</v>
      </c>
      <c r="K3" s="1">
        <v>166</v>
      </c>
      <c r="L3" s="1">
        <f>(192-K3)/192</f>
        <v>0.13541666666666666</v>
      </c>
      <c r="M3" s="1" t="s">
        <v>155</v>
      </c>
      <c r="N3" s="1" t="s">
        <v>107</v>
      </c>
    </row>
    <row r="4" spans="1:14" x14ac:dyDescent="0.25">
      <c r="A4" s="5" t="s">
        <v>156</v>
      </c>
      <c r="B4" s="1" t="s">
        <v>157</v>
      </c>
      <c r="C4" s="1" t="s">
        <v>108</v>
      </c>
      <c r="D4" s="1">
        <v>62411555</v>
      </c>
      <c r="E4" s="1">
        <v>62427058</v>
      </c>
      <c r="F4" s="1">
        <v>1758</v>
      </c>
      <c r="G4" s="6">
        <v>492</v>
      </c>
      <c r="H4" s="1">
        <f t="shared" ref="H4:H15" si="0">(492-G4)/492</f>
        <v>0</v>
      </c>
      <c r="I4" s="6">
        <v>979</v>
      </c>
      <c r="J4" s="1">
        <f t="shared" ref="J4:J15" si="1">(979-I4)/979</f>
        <v>0</v>
      </c>
      <c r="K4" s="6">
        <v>192</v>
      </c>
      <c r="L4" s="1">
        <f t="shared" ref="L4:L15" si="2">(192-K4)/192</f>
        <v>0</v>
      </c>
      <c r="M4" s="1" t="s">
        <v>158</v>
      </c>
      <c r="N4" s="1" t="s">
        <v>130</v>
      </c>
    </row>
    <row r="5" spans="1:14" x14ac:dyDescent="0.25">
      <c r="A5" s="1" t="s">
        <v>159</v>
      </c>
      <c r="C5" s="1" t="s">
        <v>160</v>
      </c>
      <c r="D5" s="1">
        <v>66733746</v>
      </c>
      <c r="E5" s="1">
        <v>66749246</v>
      </c>
      <c r="F5" s="1">
        <f>120+1427</f>
        <v>1547</v>
      </c>
      <c r="G5" s="1">
        <v>492</v>
      </c>
      <c r="H5" s="1">
        <f t="shared" si="0"/>
        <v>0</v>
      </c>
      <c r="I5" s="1">
        <v>743</v>
      </c>
      <c r="J5" s="1">
        <f t="shared" si="1"/>
        <v>0.24106230847803881</v>
      </c>
      <c r="K5" s="1">
        <v>156</v>
      </c>
      <c r="L5" s="1">
        <f t="shared" si="2"/>
        <v>0.1875</v>
      </c>
      <c r="M5" s="1" t="s">
        <v>155</v>
      </c>
      <c r="N5" s="1" t="s">
        <v>130</v>
      </c>
    </row>
    <row r="6" spans="1:14" x14ac:dyDescent="0.25">
      <c r="A6" s="1" t="s">
        <v>161</v>
      </c>
      <c r="B6" s="1" t="s">
        <v>162</v>
      </c>
      <c r="C6" s="1" t="s">
        <v>118</v>
      </c>
      <c r="D6" s="1">
        <v>3929552</v>
      </c>
      <c r="E6" s="1">
        <v>3945055</v>
      </c>
      <c r="F6" s="1">
        <v>1729</v>
      </c>
      <c r="G6" s="6">
        <v>492</v>
      </c>
      <c r="H6" s="1">
        <f t="shared" si="0"/>
        <v>0</v>
      </c>
      <c r="I6" s="6">
        <v>979</v>
      </c>
      <c r="J6" s="1">
        <f t="shared" si="1"/>
        <v>0</v>
      </c>
      <c r="K6" s="6">
        <v>192</v>
      </c>
      <c r="L6" s="1">
        <f t="shared" si="2"/>
        <v>0</v>
      </c>
      <c r="M6" s="1" t="s">
        <v>158</v>
      </c>
      <c r="N6" s="1" t="s">
        <v>130</v>
      </c>
    </row>
    <row r="7" spans="1:14" x14ac:dyDescent="0.25">
      <c r="C7" s="1" t="s">
        <v>112</v>
      </c>
      <c r="D7" s="1">
        <v>64140636</v>
      </c>
      <c r="E7" s="1">
        <v>64156050</v>
      </c>
      <c r="F7" s="1">
        <v>311</v>
      </c>
      <c r="G7" s="1" t="s">
        <v>163</v>
      </c>
      <c r="H7" s="1" t="e">
        <f t="shared" si="0"/>
        <v>#VALUE!</v>
      </c>
      <c r="I7" s="1">
        <v>120</v>
      </c>
      <c r="J7" s="1">
        <f t="shared" si="1"/>
        <v>0.87742594484167513</v>
      </c>
      <c r="K7" s="1">
        <v>28</v>
      </c>
      <c r="L7" s="1">
        <f t="shared" si="2"/>
        <v>0.85416666666666663</v>
      </c>
      <c r="M7" s="1" t="s">
        <v>158</v>
      </c>
      <c r="N7" s="1" t="s">
        <v>130</v>
      </c>
    </row>
    <row r="8" spans="1:14" x14ac:dyDescent="0.25">
      <c r="C8" s="1" t="s">
        <v>164</v>
      </c>
      <c r="D8" s="1">
        <v>56976</v>
      </c>
      <c r="E8" s="1">
        <v>72366</v>
      </c>
      <c r="F8" s="1">
        <v>2371</v>
      </c>
      <c r="G8" s="6">
        <v>492</v>
      </c>
      <c r="H8" s="1">
        <f t="shared" si="0"/>
        <v>0</v>
      </c>
      <c r="I8" s="6">
        <v>979</v>
      </c>
      <c r="J8" s="1">
        <f t="shared" si="1"/>
        <v>0</v>
      </c>
      <c r="K8" s="1">
        <v>235</v>
      </c>
      <c r="L8" s="1">
        <f t="shared" si="2"/>
        <v>-0.22395833333333334</v>
      </c>
      <c r="M8" s="1" t="s">
        <v>158</v>
      </c>
      <c r="N8" s="1" t="s">
        <v>130</v>
      </c>
    </row>
    <row r="9" spans="1:14" x14ac:dyDescent="0.25">
      <c r="C9" s="1" t="s">
        <v>129</v>
      </c>
      <c r="D9" s="1">
        <v>3940479</v>
      </c>
      <c r="E9" s="1">
        <v>3955583</v>
      </c>
      <c r="F9" s="1">
        <v>1355</v>
      </c>
      <c r="G9" s="1">
        <v>338</v>
      </c>
      <c r="H9" s="1">
        <f t="shared" si="0"/>
        <v>0.31300813008130079</v>
      </c>
      <c r="I9" s="1">
        <v>633</v>
      </c>
      <c r="J9" s="1">
        <f t="shared" si="1"/>
        <v>0.35342185903983658</v>
      </c>
      <c r="K9" s="1">
        <v>71</v>
      </c>
      <c r="L9" s="1">
        <f t="shared" si="2"/>
        <v>0.63020833333333337</v>
      </c>
      <c r="M9" s="1" t="s">
        <v>158</v>
      </c>
      <c r="N9" s="1" t="s">
        <v>107</v>
      </c>
    </row>
    <row r="10" spans="1:14" x14ac:dyDescent="0.25">
      <c r="C10" s="1" t="s">
        <v>165</v>
      </c>
      <c r="D10" s="1">
        <v>1093</v>
      </c>
      <c r="E10" s="1">
        <v>15545</v>
      </c>
      <c r="F10" s="1">
        <f>813+164</f>
        <v>977</v>
      </c>
      <c r="G10" s="6">
        <v>457</v>
      </c>
      <c r="H10" s="1">
        <f t="shared" si="0"/>
        <v>7.113821138211382E-2</v>
      </c>
      <c r="I10" s="6">
        <v>63</v>
      </c>
      <c r="J10" s="1">
        <f t="shared" si="1"/>
        <v>0.93564862104187951</v>
      </c>
      <c r="K10" s="1">
        <v>192</v>
      </c>
      <c r="L10" s="1">
        <f t="shared" si="2"/>
        <v>0</v>
      </c>
      <c r="M10" s="1" t="s">
        <v>155</v>
      </c>
      <c r="N10" s="1" t="s">
        <v>107</v>
      </c>
    </row>
    <row r="11" spans="1:14" x14ac:dyDescent="0.25">
      <c r="C11" s="1" t="s">
        <v>118</v>
      </c>
      <c r="D11" s="1">
        <v>42009941</v>
      </c>
      <c r="E11" s="1">
        <v>42024787</v>
      </c>
      <c r="F11" s="1">
        <v>1053</v>
      </c>
      <c r="G11" s="1" t="s">
        <v>163</v>
      </c>
      <c r="H11" s="1" t="e">
        <f t="shared" si="0"/>
        <v>#VALUE!</v>
      </c>
      <c r="I11" s="1">
        <v>391</v>
      </c>
      <c r="J11" s="1">
        <f t="shared" si="1"/>
        <v>0.60061287027579158</v>
      </c>
      <c r="K11" s="1">
        <v>284</v>
      </c>
      <c r="L11" s="1">
        <f t="shared" si="2"/>
        <v>-0.47916666666666669</v>
      </c>
      <c r="M11" s="1" t="s">
        <v>158</v>
      </c>
      <c r="N11" s="1" t="s">
        <v>130</v>
      </c>
    </row>
    <row r="12" spans="1:14" x14ac:dyDescent="0.25">
      <c r="C12" s="1" t="s">
        <v>165</v>
      </c>
      <c r="D12" s="1">
        <v>1</v>
      </c>
      <c r="E12" s="1">
        <v>8463</v>
      </c>
      <c r="F12" s="1">
        <f>1346+211</f>
        <v>1557</v>
      </c>
      <c r="G12" s="6">
        <v>457</v>
      </c>
      <c r="H12" s="1">
        <f t="shared" si="0"/>
        <v>7.113821138211382E-2</v>
      </c>
      <c r="I12" s="6">
        <v>664</v>
      </c>
      <c r="J12" s="1">
        <f t="shared" si="1"/>
        <v>0.32175689479060265</v>
      </c>
      <c r="K12" s="1">
        <v>192</v>
      </c>
      <c r="L12" s="1">
        <f t="shared" si="2"/>
        <v>0</v>
      </c>
      <c r="M12" s="1" t="s">
        <v>155</v>
      </c>
      <c r="N12" s="1" t="s">
        <v>107</v>
      </c>
    </row>
    <row r="13" spans="1:14" x14ac:dyDescent="0.25">
      <c r="C13" s="1" t="s">
        <v>116</v>
      </c>
      <c r="D13" s="1">
        <v>37163411</v>
      </c>
      <c r="E13" s="1">
        <v>37175569</v>
      </c>
      <c r="F13" s="1">
        <f>175+559+672</f>
        <v>1406</v>
      </c>
      <c r="G13" s="1" t="s">
        <v>163</v>
      </c>
      <c r="H13" s="1" t="e">
        <f t="shared" si="0"/>
        <v>#VALUE!</v>
      </c>
      <c r="I13" s="1">
        <v>972</v>
      </c>
      <c r="J13" s="1">
        <f t="shared" si="1"/>
        <v>7.1501532175689483E-3</v>
      </c>
      <c r="K13" s="1">
        <v>128</v>
      </c>
      <c r="L13" s="1">
        <f t="shared" si="2"/>
        <v>0.33333333333333331</v>
      </c>
      <c r="M13" s="1" t="s">
        <v>155</v>
      </c>
      <c r="N13" s="1" t="s">
        <v>130</v>
      </c>
    </row>
    <row r="14" spans="1:14" x14ac:dyDescent="0.25">
      <c r="C14" s="1" t="s">
        <v>160</v>
      </c>
      <c r="D14" s="1">
        <v>68304840</v>
      </c>
      <c r="E14" s="1">
        <v>68319831</v>
      </c>
      <c r="F14" s="1">
        <v>612</v>
      </c>
      <c r="G14" s="6">
        <v>97</v>
      </c>
      <c r="H14" s="1">
        <f t="shared" si="0"/>
        <v>0.80284552845528456</v>
      </c>
      <c r="I14" s="6">
        <v>466</v>
      </c>
      <c r="J14" s="1">
        <f t="shared" si="1"/>
        <v>0.52400408580183866</v>
      </c>
      <c r="K14" s="1" t="s">
        <v>163</v>
      </c>
      <c r="L14" s="1" t="e">
        <f t="shared" si="2"/>
        <v>#VALUE!</v>
      </c>
      <c r="M14" s="1" t="s">
        <v>158</v>
      </c>
      <c r="N14" s="1" t="s">
        <v>166</v>
      </c>
    </row>
    <row r="15" spans="1:14" x14ac:dyDescent="0.25">
      <c r="C15" s="1" t="s">
        <v>167</v>
      </c>
      <c r="D15" s="1">
        <v>73494645</v>
      </c>
      <c r="E15" s="1">
        <v>73507081</v>
      </c>
      <c r="F15" s="1">
        <v>855</v>
      </c>
      <c r="G15" s="1" t="s">
        <v>163</v>
      </c>
      <c r="H15" s="1" t="e">
        <f t="shared" si="0"/>
        <v>#VALUE!</v>
      </c>
      <c r="I15" s="1">
        <v>597</v>
      </c>
      <c r="J15" s="1">
        <f t="shared" si="1"/>
        <v>0.39019407558733399</v>
      </c>
      <c r="K15" s="1">
        <v>174</v>
      </c>
      <c r="L15" s="1">
        <f t="shared" si="2"/>
        <v>9.375E-2</v>
      </c>
      <c r="M15" s="1" t="s">
        <v>155</v>
      </c>
      <c r="N15" s="1" t="s">
        <v>130</v>
      </c>
    </row>
  </sheetData>
  <mergeCells count="1">
    <mergeCell ref="A1:N1"/>
  </mergeCells>
  <phoneticPr fontId="5" type="noConversion"/>
  <pageMargins left="0.75" right="0.75" top="1" bottom="1" header="0.51180555555555596" footer="0.51180555555555596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"/>
  <sheetViews>
    <sheetView workbookViewId="0">
      <selection activeCell="D6" sqref="D6"/>
    </sheetView>
  </sheetViews>
  <sheetFormatPr defaultColWidth="8.83203125" defaultRowHeight="15" x14ac:dyDescent="0.25"/>
  <cols>
    <col min="1" max="1" width="16.08203125" style="1"/>
    <col min="2" max="3" width="7.5" style="1"/>
    <col min="4" max="4" width="11.58203125" style="1"/>
    <col min="5" max="5" width="7.5" style="1"/>
    <col min="6" max="6" width="11.58203125" style="1"/>
    <col min="7" max="7" width="15" style="1"/>
    <col min="8" max="8" width="9" style="1"/>
    <col min="9" max="9" width="15" style="1"/>
    <col min="10" max="10" width="9" style="1"/>
    <col min="11" max="11" width="15" style="1"/>
    <col min="12" max="32" width="9" style="1"/>
    <col min="33" max="16384" width="8.83203125" style="1"/>
  </cols>
  <sheetData>
    <row r="1" spans="1:11" s="15" customFormat="1" x14ac:dyDescent="0.25">
      <c r="A1" s="14" t="s">
        <v>376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s="15" customFormat="1" x14ac:dyDescent="0.25">
      <c r="A2" s="15" t="s">
        <v>93</v>
      </c>
      <c r="B2" s="15" t="s">
        <v>151</v>
      </c>
      <c r="C2" s="15" t="s">
        <v>152</v>
      </c>
      <c r="D2" s="15" t="s">
        <v>168</v>
      </c>
      <c r="E2" s="15" t="s">
        <v>153</v>
      </c>
      <c r="F2" s="15" t="s">
        <v>169</v>
      </c>
      <c r="G2" s="15" t="s">
        <v>99</v>
      </c>
      <c r="I2" s="15" t="s">
        <v>100</v>
      </c>
      <c r="K2" s="15" t="s">
        <v>101</v>
      </c>
    </row>
    <row r="3" spans="1:11" x14ac:dyDescent="0.25">
      <c r="A3" s="1" t="s">
        <v>170</v>
      </c>
      <c r="B3" s="1">
        <v>215531</v>
      </c>
      <c r="C3" s="1">
        <v>235017</v>
      </c>
      <c r="D3" s="1" t="s">
        <v>107</v>
      </c>
      <c r="E3" s="1" t="s">
        <v>158</v>
      </c>
      <c r="F3" s="1">
        <v>2405</v>
      </c>
      <c r="G3" s="1">
        <f>559-72</f>
        <v>487</v>
      </c>
      <c r="I3" s="1">
        <f>1627-558</f>
        <v>1069</v>
      </c>
      <c r="K3" s="1">
        <f>2089-1627</f>
        <v>462</v>
      </c>
    </row>
  </sheetData>
  <mergeCells count="1">
    <mergeCell ref="A1:K1"/>
  </mergeCells>
  <phoneticPr fontId="5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"/>
  <sheetViews>
    <sheetView workbookViewId="0">
      <selection sqref="A1:K1"/>
    </sheetView>
  </sheetViews>
  <sheetFormatPr defaultColWidth="8.83203125" defaultRowHeight="15" x14ac:dyDescent="0.25"/>
  <cols>
    <col min="1" max="1" width="16.08203125" style="1"/>
    <col min="2" max="3" width="9" style="1"/>
    <col min="4" max="4" width="11.58203125" style="1"/>
    <col min="5" max="5" width="9" style="1"/>
    <col min="6" max="6" width="10.5" style="1"/>
    <col min="7" max="7" width="15" style="1"/>
    <col min="8" max="8" width="9" style="1"/>
    <col min="9" max="9" width="15" style="1"/>
    <col min="10" max="10" width="9" style="1"/>
    <col min="11" max="11" width="15" style="1"/>
    <col min="12" max="32" width="9" style="1"/>
    <col min="33" max="16384" width="8.83203125" style="1"/>
  </cols>
  <sheetData>
    <row r="1" spans="1:11" x14ac:dyDescent="0.25">
      <c r="A1" s="14" t="s">
        <v>377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5">
      <c r="A2" s="1" t="s">
        <v>93</v>
      </c>
      <c r="B2" s="1" t="s">
        <v>151</v>
      </c>
      <c r="C2" s="1" t="s">
        <v>152</v>
      </c>
      <c r="D2" s="1" t="s">
        <v>168</v>
      </c>
      <c r="E2" s="1" t="s">
        <v>153</v>
      </c>
      <c r="F2" s="1" t="s">
        <v>98</v>
      </c>
      <c r="G2" s="1" t="s">
        <v>99</v>
      </c>
      <c r="I2" s="1" t="s">
        <v>100</v>
      </c>
      <c r="K2" s="1" t="s">
        <v>101</v>
      </c>
    </row>
    <row r="3" spans="1:11" x14ac:dyDescent="0.25">
      <c r="A3" s="1" t="s">
        <v>171</v>
      </c>
      <c r="B3" s="1">
        <v>1</v>
      </c>
      <c r="C3" s="1">
        <v>10486</v>
      </c>
      <c r="D3" s="1" t="s">
        <v>107</v>
      </c>
      <c r="E3" s="1" t="s">
        <v>158</v>
      </c>
      <c r="F3" s="1">
        <v>1054</v>
      </c>
    </row>
    <row r="4" spans="1:11" x14ac:dyDescent="0.25">
      <c r="A4" s="1" t="s">
        <v>172</v>
      </c>
      <c r="B4" s="1">
        <v>51824</v>
      </c>
      <c r="C4" s="1">
        <v>64217</v>
      </c>
      <c r="D4" s="1" t="s">
        <v>130</v>
      </c>
      <c r="E4" s="1" t="s">
        <v>155</v>
      </c>
      <c r="F4" s="1">
        <v>973</v>
      </c>
    </row>
    <row r="5" spans="1:11" x14ac:dyDescent="0.25">
      <c r="A5" s="1" t="s">
        <v>173</v>
      </c>
      <c r="B5" s="1">
        <v>1</v>
      </c>
      <c r="C5" s="1">
        <v>17221</v>
      </c>
      <c r="D5" s="1" t="s">
        <v>107</v>
      </c>
      <c r="E5" s="1" t="s">
        <v>158</v>
      </c>
      <c r="F5" s="1">
        <f>203+1417</f>
        <v>1620</v>
      </c>
      <c r="G5" s="1">
        <f>385-41</f>
        <v>344</v>
      </c>
      <c r="I5" s="1">
        <f>1417-412</f>
        <v>1005</v>
      </c>
      <c r="K5" s="1">
        <f>1620-1428</f>
        <v>192</v>
      </c>
    </row>
  </sheetData>
  <mergeCells count="1">
    <mergeCell ref="A1:K1"/>
  </mergeCells>
  <phoneticPr fontId="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70"/>
  <sheetViews>
    <sheetView workbookViewId="0">
      <selection sqref="A1:S1"/>
    </sheetView>
  </sheetViews>
  <sheetFormatPr defaultColWidth="8.83203125" defaultRowHeight="15" x14ac:dyDescent="0.25"/>
  <cols>
    <col min="1" max="1" width="12.75" style="1"/>
    <col min="2" max="2" width="5.5" style="1"/>
    <col min="3" max="3" width="16.08203125" style="1"/>
    <col min="4" max="5" width="10.5" style="1"/>
    <col min="6" max="6" width="11.58203125" style="1"/>
    <col min="7" max="7" width="9.5" style="1"/>
    <col min="8" max="8" width="7.5" style="1"/>
    <col min="9" max="9" width="10.5" style="1"/>
    <col min="10" max="10" width="9" style="1"/>
    <col min="11" max="12" width="13.83203125" style="1"/>
    <col min="13" max="13" width="10.5" style="1"/>
    <col min="14" max="14" width="15" style="1"/>
    <col min="15" max="15" width="12.75" style="1"/>
    <col min="16" max="16" width="15" style="1"/>
    <col min="17" max="17" width="12.75" style="1"/>
    <col min="18" max="18" width="15" style="1"/>
    <col min="19" max="19" width="12.75" style="1"/>
    <col min="20" max="32" width="9" style="1"/>
    <col min="33" max="16384" width="8.83203125" style="1"/>
  </cols>
  <sheetData>
    <row r="1" spans="1:19" x14ac:dyDescent="0.25">
      <c r="A1" s="14" t="s">
        <v>378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x14ac:dyDescent="0.25">
      <c r="A2" s="2" t="s">
        <v>92</v>
      </c>
      <c r="C2" s="1" t="s">
        <v>93</v>
      </c>
      <c r="D2" s="1" t="s">
        <v>151</v>
      </c>
      <c r="E2" s="1" t="s">
        <v>152</v>
      </c>
      <c r="F2" s="1" t="s">
        <v>168</v>
      </c>
      <c r="H2" s="1" t="s">
        <v>153</v>
      </c>
      <c r="I2" s="1" t="s">
        <v>98</v>
      </c>
      <c r="K2" s="1" t="s">
        <v>174</v>
      </c>
      <c r="L2" s="1" t="s">
        <v>175</v>
      </c>
      <c r="M2" s="1" t="s">
        <v>98</v>
      </c>
      <c r="N2" s="1" t="s">
        <v>99</v>
      </c>
      <c r="P2" s="1" t="s">
        <v>100</v>
      </c>
      <c r="R2" s="1" t="s">
        <v>101</v>
      </c>
    </row>
    <row r="3" spans="1:19" x14ac:dyDescent="0.25">
      <c r="A3" s="1" t="s">
        <v>176</v>
      </c>
      <c r="B3" s="1" t="s">
        <v>177</v>
      </c>
      <c r="C3" s="1" t="s">
        <v>178</v>
      </c>
      <c r="D3" s="1">
        <v>61047998</v>
      </c>
      <c r="E3" s="1">
        <v>61067511</v>
      </c>
      <c r="F3" s="1" t="s">
        <v>107</v>
      </c>
      <c r="G3" s="1" t="s">
        <v>179</v>
      </c>
      <c r="H3" s="1" t="s">
        <v>155</v>
      </c>
      <c r="I3" s="1">
        <f>865+1042</f>
        <v>1907</v>
      </c>
      <c r="P3" s="1">
        <f>467-315+1688-859</f>
        <v>981</v>
      </c>
      <c r="R3" s="1">
        <f>1813-1692</f>
        <v>121</v>
      </c>
    </row>
    <row r="4" spans="1:19" x14ac:dyDescent="0.25">
      <c r="A4" s="1" t="s">
        <v>180</v>
      </c>
      <c r="B4" s="1" t="s">
        <v>181</v>
      </c>
      <c r="C4" s="1" t="s">
        <v>182</v>
      </c>
      <c r="D4" s="1">
        <v>87575437</v>
      </c>
      <c r="E4" s="1">
        <v>87594946</v>
      </c>
      <c r="F4" s="1" t="s">
        <v>107</v>
      </c>
      <c r="G4" s="1" t="s">
        <v>179</v>
      </c>
      <c r="H4" s="1" t="s">
        <v>158</v>
      </c>
      <c r="I4" s="1">
        <v>2295</v>
      </c>
    </row>
    <row r="5" spans="1:19" x14ac:dyDescent="0.25">
      <c r="A5" s="1" t="s">
        <v>183</v>
      </c>
      <c r="B5" s="1" t="s">
        <v>184</v>
      </c>
      <c r="C5" s="1" t="s">
        <v>178</v>
      </c>
      <c r="D5" s="1">
        <v>65755651</v>
      </c>
      <c r="E5" s="1">
        <v>65775160</v>
      </c>
      <c r="F5" s="1" t="s">
        <v>107</v>
      </c>
      <c r="G5" s="1" t="s">
        <v>179</v>
      </c>
      <c r="H5" s="1" t="s">
        <v>155</v>
      </c>
      <c r="I5" s="1">
        <f>2260+74</f>
        <v>2334</v>
      </c>
    </row>
    <row r="6" spans="1:19" x14ac:dyDescent="0.25">
      <c r="A6" s="1" t="s">
        <v>185</v>
      </c>
      <c r="B6" s="1" t="s">
        <v>162</v>
      </c>
      <c r="C6" s="1" t="s">
        <v>186</v>
      </c>
      <c r="D6" s="1">
        <v>3636090</v>
      </c>
      <c r="E6" s="1">
        <v>3655599</v>
      </c>
      <c r="F6" s="1" t="s">
        <v>107</v>
      </c>
      <c r="G6" s="1" t="s">
        <v>179</v>
      </c>
      <c r="H6" s="1" t="s">
        <v>158</v>
      </c>
      <c r="I6" s="1">
        <f>2084+107</f>
        <v>2191</v>
      </c>
    </row>
    <row r="7" spans="1:19" x14ac:dyDescent="0.25">
      <c r="A7" s="1" t="s">
        <v>187</v>
      </c>
      <c r="C7" s="1" t="s">
        <v>188</v>
      </c>
      <c r="D7" s="1">
        <v>45290123</v>
      </c>
      <c r="E7" s="1">
        <v>45309632</v>
      </c>
      <c r="F7" s="1" t="s">
        <v>107</v>
      </c>
      <c r="G7" s="1" t="s">
        <v>179</v>
      </c>
      <c r="H7" s="1" t="s">
        <v>155</v>
      </c>
      <c r="I7" s="1">
        <f>1063+216</f>
        <v>1279</v>
      </c>
      <c r="N7" s="1">
        <f>432-99</f>
        <v>333</v>
      </c>
      <c r="O7" s="1">
        <f>(492-N7)/492</f>
        <v>0.32317073170731708</v>
      </c>
      <c r="P7" s="1">
        <f>1067-388</f>
        <v>679</v>
      </c>
      <c r="Q7" s="1">
        <f>(979-P7)/979</f>
        <v>0.30643513789581206</v>
      </c>
      <c r="R7" s="1">
        <f>1202-1064</f>
        <v>138</v>
      </c>
      <c r="S7" s="1">
        <f>(192-R7)/192</f>
        <v>0.28125</v>
      </c>
    </row>
    <row r="8" spans="1:19" x14ac:dyDescent="0.25">
      <c r="C8" s="1" t="s">
        <v>189</v>
      </c>
      <c r="D8" s="1">
        <v>9632731</v>
      </c>
      <c r="E8" s="1">
        <v>9652236</v>
      </c>
      <c r="F8" s="1" t="s">
        <v>107</v>
      </c>
      <c r="G8" s="1" t="s">
        <v>179</v>
      </c>
      <c r="H8" s="1" t="s">
        <v>158</v>
      </c>
      <c r="I8" s="1">
        <f>196+298+407+219</f>
        <v>1120</v>
      </c>
      <c r="N8" s="1">
        <f>505-197</f>
        <v>308</v>
      </c>
      <c r="P8" s="1">
        <f>905-509</f>
        <v>396</v>
      </c>
      <c r="Q8" s="1">
        <f>(979-396)/979</f>
        <v>0.5955056179775281</v>
      </c>
      <c r="R8" s="1">
        <f>1043-902</f>
        <v>141</v>
      </c>
    </row>
    <row r="9" spans="1:19" ht="15" customHeight="1" x14ac:dyDescent="0.25">
      <c r="C9" s="1" t="s">
        <v>190</v>
      </c>
      <c r="D9" s="1">
        <v>6928</v>
      </c>
      <c r="E9" s="1">
        <v>26433</v>
      </c>
      <c r="F9" s="1" t="s">
        <v>107</v>
      </c>
      <c r="G9" s="1" t="s">
        <v>179</v>
      </c>
      <c r="H9" s="1" t="s">
        <v>158</v>
      </c>
      <c r="I9" s="1">
        <v>1539</v>
      </c>
    </row>
    <row r="10" spans="1:19" x14ac:dyDescent="0.25">
      <c r="A10" s="1" t="s">
        <v>191</v>
      </c>
      <c r="B10" s="1" t="s">
        <v>192</v>
      </c>
      <c r="C10" s="1" t="s">
        <v>193</v>
      </c>
      <c r="D10" s="1">
        <v>76765</v>
      </c>
      <c r="E10" s="1">
        <v>96264</v>
      </c>
      <c r="F10" s="1" t="s">
        <v>130</v>
      </c>
      <c r="G10" s="1" t="s">
        <v>179</v>
      </c>
      <c r="H10" s="1" t="s">
        <v>158</v>
      </c>
      <c r="I10" s="1">
        <f>371+356+574</f>
        <v>1301</v>
      </c>
    </row>
    <row r="11" spans="1:19" x14ac:dyDescent="0.25">
      <c r="C11" s="1" t="s">
        <v>194</v>
      </c>
      <c r="D11" s="1">
        <v>1347</v>
      </c>
      <c r="E11" s="1">
        <v>20845</v>
      </c>
      <c r="F11" s="1" t="s">
        <v>107</v>
      </c>
      <c r="G11" s="1" t="s">
        <v>179</v>
      </c>
      <c r="H11" s="1" t="s">
        <v>158</v>
      </c>
      <c r="I11" s="1">
        <f>857+121</f>
        <v>978</v>
      </c>
    </row>
    <row r="12" spans="1:19" x14ac:dyDescent="0.25">
      <c r="C12" s="1" t="s">
        <v>195</v>
      </c>
      <c r="D12" s="1">
        <v>121781639</v>
      </c>
      <c r="E12" s="1">
        <v>121801136</v>
      </c>
      <c r="F12" s="1" t="s">
        <v>107</v>
      </c>
      <c r="G12" s="1" t="s">
        <v>179</v>
      </c>
      <c r="H12" s="1" t="s">
        <v>155</v>
      </c>
      <c r="I12" s="1">
        <v>727</v>
      </c>
    </row>
    <row r="13" spans="1:19" x14ac:dyDescent="0.25">
      <c r="C13" s="1" t="s">
        <v>196</v>
      </c>
      <c r="D13" s="1">
        <v>1</v>
      </c>
      <c r="E13" s="1">
        <v>13569</v>
      </c>
      <c r="F13" s="1" t="s">
        <v>107</v>
      </c>
      <c r="G13" s="1" t="s">
        <v>179</v>
      </c>
      <c r="H13" s="1" t="s">
        <v>155</v>
      </c>
      <c r="I13" s="1">
        <f>391+171</f>
        <v>562</v>
      </c>
    </row>
    <row r="14" spans="1:19" x14ac:dyDescent="0.25">
      <c r="A14" s="1" t="s">
        <v>197</v>
      </c>
      <c r="B14" s="1" t="s">
        <v>198</v>
      </c>
      <c r="C14" s="1" t="s">
        <v>199</v>
      </c>
      <c r="D14" s="1">
        <v>597385</v>
      </c>
      <c r="E14" s="1">
        <v>616880</v>
      </c>
      <c r="F14" s="1" t="s">
        <v>130</v>
      </c>
      <c r="G14" s="1" t="s">
        <v>179</v>
      </c>
      <c r="H14" s="1" t="s">
        <v>155</v>
      </c>
      <c r="I14" s="1">
        <f>1371+258</f>
        <v>1629</v>
      </c>
    </row>
    <row r="15" spans="1:19" x14ac:dyDescent="0.25">
      <c r="C15" s="1" t="s">
        <v>188</v>
      </c>
      <c r="D15" s="1">
        <v>28017381</v>
      </c>
      <c r="E15" s="1">
        <v>28036875</v>
      </c>
      <c r="F15" s="1" t="s">
        <v>107</v>
      </c>
      <c r="G15" s="1" t="s">
        <v>179</v>
      </c>
      <c r="H15" s="1" t="s">
        <v>155</v>
      </c>
      <c r="I15" s="1">
        <f>702+225</f>
        <v>927</v>
      </c>
    </row>
    <row r="16" spans="1:19" x14ac:dyDescent="0.25">
      <c r="C16" s="1" t="s">
        <v>200</v>
      </c>
      <c r="D16" s="1">
        <v>1</v>
      </c>
      <c r="E16" s="1">
        <v>13636</v>
      </c>
      <c r="F16" s="1" t="s">
        <v>107</v>
      </c>
      <c r="G16" s="1" t="s">
        <v>179</v>
      </c>
      <c r="H16" s="1" t="s">
        <v>155</v>
      </c>
      <c r="I16" s="1">
        <f>691+226</f>
        <v>917</v>
      </c>
    </row>
    <row r="17" spans="1:18" x14ac:dyDescent="0.25">
      <c r="C17" s="1" t="s">
        <v>201</v>
      </c>
      <c r="D17" s="1">
        <v>1</v>
      </c>
      <c r="E17" s="1">
        <v>14575</v>
      </c>
      <c r="F17" s="1" t="s">
        <v>107</v>
      </c>
      <c r="G17" s="1" t="s">
        <v>179</v>
      </c>
      <c r="H17" s="1" t="s">
        <v>155</v>
      </c>
      <c r="I17" s="1">
        <f>1186+78</f>
        <v>1264</v>
      </c>
      <c r="N17" s="1">
        <f>381-5</f>
        <v>376</v>
      </c>
      <c r="P17" s="1">
        <f>923-403</f>
        <v>520</v>
      </c>
      <c r="Q17" s="1">
        <f>(979-520)/979</f>
        <v>0.46884576098059244</v>
      </c>
      <c r="R17" s="1">
        <f>1110-958+968-919</f>
        <v>201</v>
      </c>
    </row>
    <row r="18" spans="1:18" x14ac:dyDescent="0.25">
      <c r="C18" s="1" t="s">
        <v>202</v>
      </c>
      <c r="D18" s="1">
        <v>1</v>
      </c>
      <c r="E18" s="1">
        <v>13557</v>
      </c>
      <c r="F18" s="1" t="s">
        <v>107</v>
      </c>
      <c r="G18" s="1" t="s">
        <v>179</v>
      </c>
      <c r="H18" s="1" t="s">
        <v>158</v>
      </c>
      <c r="I18" s="1">
        <v>1047</v>
      </c>
      <c r="R18" s="1" t="s">
        <v>163</v>
      </c>
    </row>
    <row r="19" spans="1:18" x14ac:dyDescent="0.25">
      <c r="C19" s="1" t="s">
        <v>203</v>
      </c>
      <c r="D19" s="1">
        <v>1</v>
      </c>
      <c r="E19" s="1">
        <v>19108</v>
      </c>
      <c r="F19" s="1" t="s">
        <v>107</v>
      </c>
      <c r="G19" s="1" t="s">
        <v>179</v>
      </c>
      <c r="H19" s="1" t="s">
        <v>158</v>
      </c>
      <c r="I19" s="1">
        <f>342+1185+167</f>
        <v>1694</v>
      </c>
    </row>
    <row r="20" spans="1:18" x14ac:dyDescent="0.25">
      <c r="A20" s="1" t="s">
        <v>204</v>
      </c>
      <c r="B20" s="1" t="s">
        <v>205</v>
      </c>
      <c r="C20" s="1" t="s">
        <v>206</v>
      </c>
      <c r="D20" s="1">
        <v>41741288</v>
      </c>
      <c r="E20" s="1">
        <v>41760771</v>
      </c>
      <c r="F20" s="1" t="s">
        <v>130</v>
      </c>
      <c r="G20" s="1" t="s">
        <v>179</v>
      </c>
      <c r="H20" s="1" t="s">
        <v>158</v>
      </c>
      <c r="I20" s="1">
        <v>1985</v>
      </c>
    </row>
    <row r="21" spans="1:18" x14ac:dyDescent="0.25">
      <c r="C21" s="1" t="s">
        <v>207</v>
      </c>
      <c r="D21" s="1">
        <v>1</v>
      </c>
      <c r="E21" s="1">
        <v>16495</v>
      </c>
      <c r="F21" s="1" t="s">
        <v>107</v>
      </c>
      <c r="G21" s="1" t="s">
        <v>179</v>
      </c>
      <c r="H21" s="1" t="s">
        <v>155</v>
      </c>
      <c r="I21" s="1">
        <f>208+52+1555</f>
        <v>1815</v>
      </c>
      <c r="N21" s="1" t="s">
        <v>163</v>
      </c>
    </row>
    <row r="22" spans="1:18" x14ac:dyDescent="0.25">
      <c r="C22" s="1" t="s">
        <v>208</v>
      </c>
      <c r="D22" s="1">
        <v>1</v>
      </c>
      <c r="E22" s="1">
        <v>16555</v>
      </c>
      <c r="F22" s="1" t="s">
        <v>107</v>
      </c>
      <c r="G22" s="1" t="s">
        <v>179</v>
      </c>
      <c r="H22" s="1" t="s">
        <v>158</v>
      </c>
      <c r="I22" s="1">
        <v>467</v>
      </c>
    </row>
    <row r="23" spans="1:18" x14ac:dyDescent="0.25">
      <c r="C23" s="1" t="s">
        <v>209</v>
      </c>
      <c r="D23" s="1">
        <v>1</v>
      </c>
      <c r="E23" s="1">
        <v>14637</v>
      </c>
      <c r="F23" s="1" t="s">
        <v>107</v>
      </c>
      <c r="G23" s="1" t="s">
        <v>179</v>
      </c>
      <c r="H23" s="1" t="s">
        <v>158</v>
      </c>
      <c r="I23" s="1">
        <f>271+516+191</f>
        <v>978</v>
      </c>
    </row>
    <row r="24" spans="1:18" x14ac:dyDescent="0.25">
      <c r="C24" s="1" t="s">
        <v>210</v>
      </c>
      <c r="D24" s="1">
        <v>2353</v>
      </c>
      <c r="E24" s="1">
        <v>21829</v>
      </c>
      <c r="F24" s="1" t="s">
        <v>130</v>
      </c>
      <c r="G24" s="1" t="s">
        <v>179</v>
      </c>
      <c r="H24" s="1" t="s">
        <v>155</v>
      </c>
      <c r="I24" s="1">
        <v>1089</v>
      </c>
      <c r="P24" s="1">
        <f>854-386</f>
        <v>468</v>
      </c>
      <c r="Q24" s="1">
        <f>(979-P24)/979</f>
        <v>0.52196118488253318</v>
      </c>
    </row>
    <row r="25" spans="1:18" x14ac:dyDescent="0.25">
      <c r="C25" s="1" t="s">
        <v>211</v>
      </c>
      <c r="D25" s="1">
        <v>1</v>
      </c>
      <c r="E25" s="1">
        <v>16793</v>
      </c>
      <c r="F25" s="1" t="s">
        <v>130</v>
      </c>
      <c r="G25" s="1" t="s">
        <v>179</v>
      </c>
      <c r="H25" s="1" t="s">
        <v>158</v>
      </c>
      <c r="I25" s="1">
        <v>1096</v>
      </c>
      <c r="R25" s="1" t="s">
        <v>163</v>
      </c>
    </row>
    <row r="26" spans="1:18" x14ac:dyDescent="0.25">
      <c r="C26" s="1" t="s">
        <v>212</v>
      </c>
      <c r="D26" s="1">
        <v>1107</v>
      </c>
      <c r="E26" s="1">
        <v>20583</v>
      </c>
      <c r="F26" s="1" t="s">
        <v>107</v>
      </c>
      <c r="G26" s="1" t="s">
        <v>179</v>
      </c>
      <c r="H26" s="1" t="s">
        <v>158</v>
      </c>
      <c r="I26" s="1">
        <v>645</v>
      </c>
    </row>
    <row r="27" spans="1:18" x14ac:dyDescent="0.25">
      <c r="C27" s="1" t="s">
        <v>213</v>
      </c>
      <c r="D27" s="1">
        <v>1</v>
      </c>
      <c r="E27" s="1">
        <v>13815</v>
      </c>
      <c r="F27" s="1" t="s">
        <v>107</v>
      </c>
      <c r="G27" s="1" t="s">
        <v>179</v>
      </c>
      <c r="H27" s="1" t="s">
        <v>155</v>
      </c>
      <c r="I27" s="1">
        <v>839</v>
      </c>
    </row>
    <row r="28" spans="1:18" x14ac:dyDescent="0.25">
      <c r="C28" s="1" t="s">
        <v>214</v>
      </c>
      <c r="D28" s="1">
        <v>1</v>
      </c>
      <c r="E28" s="1">
        <v>8867</v>
      </c>
      <c r="F28" s="1" t="s">
        <v>107</v>
      </c>
      <c r="G28" s="1" t="s">
        <v>179</v>
      </c>
      <c r="H28" s="1" t="s">
        <v>155</v>
      </c>
      <c r="I28" s="1">
        <v>799</v>
      </c>
    </row>
    <row r="29" spans="1:18" x14ac:dyDescent="0.25">
      <c r="C29" s="1" t="s">
        <v>215</v>
      </c>
      <c r="D29" s="1">
        <v>1</v>
      </c>
      <c r="E29" s="1">
        <v>15330</v>
      </c>
      <c r="F29" s="1" t="s">
        <v>107</v>
      </c>
      <c r="G29" s="1" t="s">
        <v>179</v>
      </c>
      <c r="H29" s="1" t="s">
        <v>155</v>
      </c>
      <c r="I29" s="1">
        <v>708</v>
      </c>
    </row>
    <row r="30" spans="1:18" x14ac:dyDescent="0.25">
      <c r="C30" s="1" t="s">
        <v>216</v>
      </c>
      <c r="D30" s="1">
        <v>70810</v>
      </c>
      <c r="E30" s="1">
        <v>90282</v>
      </c>
      <c r="F30" s="1" t="s">
        <v>107</v>
      </c>
      <c r="G30" s="1" t="s">
        <v>179</v>
      </c>
      <c r="H30" s="1" t="s">
        <v>158</v>
      </c>
      <c r="I30" s="1">
        <f>242+715+115</f>
        <v>1072</v>
      </c>
      <c r="R30" s="1" t="s">
        <v>163</v>
      </c>
    </row>
    <row r="31" spans="1:18" x14ac:dyDescent="0.25">
      <c r="C31" s="1" t="s">
        <v>217</v>
      </c>
      <c r="D31" s="1">
        <v>50620897</v>
      </c>
      <c r="E31" s="1">
        <v>50640367</v>
      </c>
      <c r="F31" s="1" t="s">
        <v>107</v>
      </c>
      <c r="G31" s="1" t="s">
        <v>179</v>
      </c>
      <c r="H31" s="1" t="s">
        <v>158</v>
      </c>
      <c r="I31" s="1">
        <f>207+524+580</f>
        <v>1311</v>
      </c>
    </row>
    <row r="32" spans="1:18" x14ac:dyDescent="0.25">
      <c r="C32" s="1" t="s">
        <v>218</v>
      </c>
      <c r="D32" s="1">
        <v>5121</v>
      </c>
      <c r="E32" s="1">
        <v>24587</v>
      </c>
      <c r="F32" s="1" t="s">
        <v>107</v>
      </c>
      <c r="G32" s="1" t="s">
        <v>179</v>
      </c>
      <c r="H32" s="1" t="s">
        <v>155</v>
      </c>
      <c r="I32" s="1">
        <v>1183</v>
      </c>
      <c r="N32" s="1">
        <f>507-174</f>
        <v>333</v>
      </c>
      <c r="P32" s="1">
        <f>957-423</f>
        <v>534</v>
      </c>
      <c r="Q32" s="1">
        <f>(979-534)/979</f>
        <v>0.45454545454545453</v>
      </c>
      <c r="R32" s="1">
        <f>1097-961</f>
        <v>136</v>
      </c>
    </row>
    <row r="33" spans="3:18" x14ac:dyDescent="0.25">
      <c r="C33" s="1" t="s">
        <v>219</v>
      </c>
      <c r="D33" s="1">
        <v>11271</v>
      </c>
      <c r="E33" s="1">
        <v>25191</v>
      </c>
      <c r="F33" s="1" t="s">
        <v>130</v>
      </c>
      <c r="G33" s="1" t="s">
        <v>179</v>
      </c>
      <c r="H33" s="1" t="s">
        <v>155</v>
      </c>
      <c r="I33" s="1">
        <v>599</v>
      </c>
    </row>
    <row r="34" spans="3:18" x14ac:dyDescent="0.25">
      <c r="C34" s="1" t="s">
        <v>206</v>
      </c>
      <c r="D34" s="1">
        <v>26706900</v>
      </c>
      <c r="E34" s="1">
        <v>26726365</v>
      </c>
      <c r="F34" s="1" t="s">
        <v>130</v>
      </c>
      <c r="G34" s="1" t="s">
        <v>179</v>
      </c>
      <c r="H34" s="1" t="s">
        <v>155</v>
      </c>
      <c r="I34" s="1">
        <v>754</v>
      </c>
    </row>
    <row r="35" spans="3:18" x14ac:dyDescent="0.25">
      <c r="C35" s="1" t="s">
        <v>220</v>
      </c>
      <c r="D35" s="1">
        <v>1</v>
      </c>
      <c r="E35" s="1">
        <v>17270</v>
      </c>
      <c r="F35" s="1" t="s">
        <v>130</v>
      </c>
      <c r="G35" s="1" t="s">
        <v>179</v>
      </c>
      <c r="H35" s="1" t="s">
        <v>158</v>
      </c>
      <c r="I35" s="1">
        <v>922</v>
      </c>
    </row>
    <row r="36" spans="3:18" x14ac:dyDescent="0.25">
      <c r="C36" s="1" t="s">
        <v>221</v>
      </c>
      <c r="D36" s="1">
        <v>1</v>
      </c>
      <c r="E36" s="1">
        <v>11846</v>
      </c>
      <c r="F36" s="1" t="s">
        <v>130</v>
      </c>
      <c r="G36" s="1" t="s">
        <v>179</v>
      </c>
      <c r="H36" s="1" t="s">
        <v>158</v>
      </c>
      <c r="I36" s="1">
        <v>1011</v>
      </c>
      <c r="N36" s="1" t="s">
        <v>163</v>
      </c>
      <c r="P36" s="1">
        <f>869-162</f>
        <v>707</v>
      </c>
    </row>
    <row r="37" spans="3:18" x14ac:dyDescent="0.25">
      <c r="C37" s="1" t="s">
        <v>222</v>
      </c>
      <c r="D37" s="1">
        <v>4915</v>
      </c>
      <c r="E37" s="1">
        <v>18404</v>
      </c>
      <c r="F37" s="1" t="s">
        <v>130</v>
      </c>
      <c r="G37" s="1" t="s">
        <v>179</v>
      </c>
      <c r="H37" s="1" t="s">
        <v>158</v>
      </c>
      <c r="I37" s="1">
        <v>429</v>
      </c>
    </row>
    <row r="38" spans="3:18" x14ac:dyDescent="0.25">
      <c r="C38" s="1" t="s">
        <v>223</v>
      </c>
      <c r="D38" s="1">
        <v>74292694</v>
      </c>
      <c r="E38" s="1">
        <v>74312146</v>
      </c>
      <c r="F38" s="1" t="s">
        <v>107</v>
      </c>
      <c r="G38" s="1" t="s">
        <v>179</v>
      </c>
      <c r="H38" s="1" t="s">
        <v>158</v>
      </c>
      <c r="I38" s="1">
        <f>1452+28</f>
        <v>1480</v>
      </c>
    </row>
    <row r="39" spans="3:18" x14ac:dyDescent="0.25">
      <c r="C39" s="1" t="s">
        <v>224</v>
      </c>
      <c r="D39" s="1">
        <v>7492</v>
      </c>
      <c r="E39" s="1">
        <v>21240</v>
      </c>
      <c r="F39" s="1" t="s">
        <v>107</v>
      </c>
      <c r="G39" s="1" t="s">
        <v>179</v>
      </c>
      <c r="H39" s="1" t="s">
        <v>155</v>
      </c>
      <c r="I39" s="1">
        <v>369</v>
      </c>
    </row>
    <row r="40" spans="3:18" x14ac:dyDescent="0.25">
      <c r="C40" s="1" t="s">
        <v>225</v>
      </c>
      <c r="D40" s="1">
        <v>1</v>
      </c>
      <c r="E40" s="1">
        <v>15515</v>
      </c>
      <c r="F40" s="1" t="s">
        <v>107</v>
      </c>
      <c r="G40" s="1" t="s">
        <v>179</v>
      </c>
      <c r="H40" s="1" t="s">
        <v>155</v>
      </c>
      <c r="I40" s="1">
        <v>576</v>
      </c>
    </row>
    <row r="41" spans="3:18" x14ac:dyDescent="0.25">
      <c r="C41" s="1" t="s">
        <v>226</v>
      </c>
      <c r="D41" s="1">
        <v>1</v>
      </c>
      <c r="E41" s="1">
        <v>13440</v>
      </c>
      <c r="F41" s="1" t="s">
        <v>107</v>
      </c>
      <c r="G41" s="1" t="s">
        <v>179</v>
      </c>
      <c r="H41" s="1" t="s">
        <v>155</v>
      </c>
      <c r="I41" s="1">
        <f>522+80</f>
        <v>602</v>
      </c>
    </row>
    <row r="42" spans="3:18" x14ac:dyDescent="0.25">
      <c r="C42" s="1" t="s">
        <v>227</v>
      </c>
      <c r="D42" s="1">
        <v>1</v>
      </c>
      <c r="E42" s="1">
        <v>13345</v>
      </c>
      <c r="F42" s="1" t="s">
        <v>130</v>
      </c>
      <c r="G42" s="1" t="s">
        <v>179</v>
      </c>
      <c r="H42" s="1" t="s">
        <v>155</v>
      </c>
      <c r="I42" s="1">
        <v>519</v>
      </c>
    </row>
    <row r="43" spans="3:18" x14ac:dyDescent="0.25">
      <c r="C43" s="1" t="s">
        <v>228</v>
      </c>
      <c r="D43" s="1">
        <v>1</v>
      </c>
      <c r="E43" s="1">
        <v>12065</v>
      </c>
      <c r="F43" s="1" t="s">
        <v>130</v>
      </c>
      <c r="G43" s="1" t="s">
        <v>179</v>
      </c>
      <c r="H43" s="1" t="s">
        <v>158</v>
      </c>
      <c r="I43" s="1">
        <v>463</v>
      </c>
    </row>
    <row r="44" spans="3:18" x14ac:dyDescent="0.25">
      <c r="C44" s="1" t="s">
        <v>229</v>
      </c>
      <c r="D44" s="1">
        <v>1</v>
      </c>
      <c r="E44" s="1">
        <v>11405</v>
      </c>
      <c r="F44" s="1" t="s">
        <v>130</v>
      </c>
      <c r="G44" s="1" t="s">
        <v>179</v>
      </c>
      <c r="H44" s="1" t="s">
        <v>158</v>
      </c>
      <c r="I44" s="1">
        <v>1130</v>
      </c>
      <c r="N44" s="1">
        <f>877-592</f>
        <v>285</v>
      </c>
      <c r="P44" s="1">
        <f>1019-875</f>
        <v>144</v>
      </c>
      <c r="Q44" s="1">
        <f>(979-P44)/979</f>
        <v>0.85291113381001027</v>
      </c>
    </row>
    <row r="45" spans="3:18" x14ac:dyDescent="0.25">
      <c r="C45" s="1" t="s">
        <v>186</v>
      </c>
      <c r="D45" s="1">
        <v>42158069</v>
      </c>
      <c r="E45" s="1">
        <v>42176903</v>
      </c>
      <c r="F45" s="1" t="s">
        <v>130</v>
      </c>
      <c r="G45" s="1" t="s">
        <v>179</v>
      </c>
      <c r="H45" s="1" t="s">
        <v>158</v>
      </c>
      <c r="I45" s="1">
        <v>1096</v>
      </c>
      <c r="N45" s="1">
        <f>318-104</f>
        <v>214</v>
      </c>
      <c r="P45" s="1">
        <f>687-271</f>
        <v>416</v>
      </c>
      <c r="Q45" s="1">
        <f>(979-P45)/979</f>
        <v>0.57507660878447397</v>
      </c>
      <c r="R45" s="1">
        <f>1005-721</f>
        <v>284</v>
      </c>
    </row>
    <row r="46" spans="3:18" x14ac:dyDescent="0.25">
      <c r="C46" s="1" t="s">
        <v>230</v>
      </c>
      <c r="D46" s="1">
        <v>4393</v>
      </c>
      <c r="E46" s="1">
        <v>17088</v>
      </c>
      <c r="F46" s="1" t="s">
        <v>130</v>
      </c>
      <c r="G46" s="1" t="s">
        <v>179</v>
      </c>
      <c r="H46" s="1" t="s">
        <v>158</v>
      </c>
      <c r="I46" s="1">
        <v>645</v>
      </c>
    </row>
    <row r="47" spans="3:18" x14ac:dyDescent="0.25">
      <c r="C47" s="1" t="s">
        <v>231</v>
      </c>
      <c r="D47" s="1">
        <v>1</v>
      </c>
      <c r="E47" s="1">
        <v>7267</v>
      </c>
      <c r="F47" s="1" t="s">
        <v>107</v>
      </c>
      <c r="G47" s="1" t="s">
        <v>179</v>
      </c>
      <c r="H47" s="1" t="s">
        <v>158</v>
      </c>
      <c r="I47" s="1">
        <f>832+221</f>
        <v>1053</v>
      </c>
    </row>
    <row r="48" spans="3:18" x14ac:dyDescent="0.25">
      <c r="C48" s="1" t="s">
        <v>232</v>
      </c>
      <c r="D48" s="1">
        <v>1</v>
      </c>
      <c r="E48" s="1">
        <v>6683</v>
      </c>
      <c r="F48" s="1" t="s">
        <v>107</v>
      </c>
      <c r="G48" s="1" t="s">
        <v>179</v>
      </c>
      <c r="H48" s="1" t="s">
        <v>155</v>
      </c>
      <c r="I48" s="1">
        <v>477</v>
      </c>
    </row>
    <row r="49" spans="1:19" x14ac:dyDescent="0.25">
      <c r="C49" s="1" t="s">
        <v>233</v>
      </c>
      <c r="D49" s="1">
        <v>71133129</v>
      </c>
      <c r="E49" s="1">
        <v>71151370</v>
      </c>
      <c r="F49" s="1" t="s">
        <v>107</v>
      </c>
      <c r="G49" s="1" t="s">
        <v>179</v>
      </c>
      <c r="H49" s="1" t="s">
        <v>158</v>
      </c>
      <c r="I49" s="1">
        <f>64+819+132</f>
        <v>1015</v>
      </c>
    </row>
    <row r="50" spans="1:19" x14ac:dyDescent="0.25">
      <c r="A50" s="1" t="s">
        <v>234</v>
      </c>
      <c r="C50" s="1" t="s">
        <v>235</v>
      </c>
      <c r="D50" s="1">
        <v>1</v>
      </c>
      <c r="E50" s="1">
        <v>16208</v>
      </c>
      <c r="F50" s="1" t="s">
        <v>107</v>
      </c>
      <c r="G50" s="1" t="s">
        <v>179</v>
      </c>
      <c r="H50" s="1" t="s">
        <v>155</v>
      </c>
      <c r="I50" s="1">
        <v>1451</v>
      </c>
      <c r="N50" s="1">
        <v>355</v>
      </c>
      <c r="P50" s="1">
        <f>1239-315</f>
        <v>924</v>
      </c>
      <c r="R50" s="1">
        <f>1407-1259+39</f>
        <v>187</v>
      </c>
    </row>
    <row r="51" spans="1:19" x14ac:dyDescent="0.25">
      <c r="C51" s="1" t="s">
        <v>236</v>
      </c>
      <c r="D51" s="1">
        <v>62214140</v>
      </c>
      <c r="E51" s="1">
        <v>62232074</v>
      </c>
      <c r="F51" s="1" t="s">
        <v>107</v>
      </c>
      <c r="G51" s="1" t="s">
        <v>179</v>
      </c>
      <c r="H51" s="1" t="s">
        <v>155</v>
      </c>
      <c r="I51" s="1">
        <v>621</v>
      </c>
    </row>
    <row r="52" spans="1:19" x14ac:dyDescent="0.25">
      <c r="C52" s="1" t="s">
        <v>237</v>
      </c>
      <c r="D52" s="1">
        <v>4868</v>
      </c>
      <c r="E52" s="1">
        <v>16764</v>
      </c>
      <c r="F52" s="1" t="s">
        <v>130</v>
      </c>
      <c r="G52" s="1" t="s">
        <v>179</v>
      </c>
      <c r="H52" s="1" t="s">
        <v>158</v>
      </c>
      <c r="I52" s="1">
        <v>619</v>
      </c>
    </row>
    <row r="53" spans="1:19" x14ac:dyDescent="0.25">
      <c r="C53" s="1" t="s">
        <v>238</v>
      </c>
      <c r="D53" s="1">
        <v>1</v>
      </c>
      <c r="E53" s="1">
        <v>8517</v>
      </c>
      <c r="F53" s="1" t="s">
        <v>107</v>
      </c>
      <c r="G53" s="1" t="s">
        <v>179</v>
      </c>
      <c r="H53" s="1" t="s">
        <v>158</v>
      </c>
      <c r="I53" s="1">
        <v>797</v>
      </c>
    </row>
    <row r="54" spans="1:19" x14ac:dyDescent="0.25">
      <c r="C54" s="1" t="s">
        <v>239</v>
      </c>
      <c r="D54" s="1">
        <v>15010</v>
      </c>
      <c r="E54" s="1">
        <v>27059</v>
      </c>
      <c r="F54" s="1" t="s">
        <v>107</v>
      </c>
      <c r="G54" s="1" t="s">
        <v>179</v>
      </c>
      <c r="H54" s="1" t="s">
        <v>155</v>
      </c>
      <c r="I54" s="1">
        <v>435</v>
      </c>
    </row>
    <row r="55" spans="1:19" x14ac:dyDescent="0.25">
      <c r="C55" s="1" t="s">
        <v>219</v>
      </c>
      <c r="D55" s="1">
        <v>1</v>
      </c>
      <c r="E55" s="1">
        <v>11757</v>
      </c>
      <c r="F55" s="1" t="s">
        <v>130</v>
      </c>
      <c r="G55" s="1" t="s">
        <v>179</v>
      </c>
      <c r="H55" s="1" t="s">
        <v>158</v>
      </c>
      <c r="I55" s="1">
        <v>930</v>
      </c>
    </row>
    <row r="56" spans="1:19" x14ac:dyDescent="0.25">
      <c r="C56" s="1" t="s">
        <v>240</v>
      </c>
      <c r="D56" s="1">
        <v>77238220</v>
      </c>
      <c r="E56" s="1">
        <v>77255890</v>
      </c>
      <c r="F56" s="1" t="s">
        <v>107</v>
      </c>
      <c r="G56" s="1" t="s">
        <v>179</v>
      </c>
      <c r="H56" s="1" t="s">
        <v>155</v>
      </c>
      <c r="I56" s="1">
        <f>253+187</f>
        <v>440</v>
      </c>
    </row>
    <row r="57" spans="1:19" x14ac:dyDescent="0.25">
      <c r="C57" s="1" t="s">
        <v>241</v>
      </c>
      <c r="D57" s="1">
        <v>10636</v>
      </c>
      <c r="E57" s="1">
        <v>22180</v>
      </c>
      <c r="F57" s="1" t="s">
        <v>107</v>
      </c>
      <c r="G57" s="1" t="s">
        <v>179</v>
      </c>
      <c r="H57" s="1" t="s">
        <v>155</v>
      </c>
      <c r="I57" s="1">
        <v>379</v>
      </c>
    </row>
    <row r="58" spans="1:19" x14ac:dyDescent="0.25">
      <c r="C58" s="1" t="s">
        <v>242</v>
      </c>
      <c r="D58" s="1">
        <v>1</v>
      </c>
      <c r="E58" s="1">
        <v>11528</v>
      </c>
      <c r="F58" s="1" t="s">
        <v>130</v>
      </c>
      <c r="G58" s="1" t="s">
        <v>179</v>
      </c>
      <c r="H58" s="1" t="s">
        <v>155</v>
      </c>
      <c r="I58" s="1">
        <v>556</v>
      </c>
    </row>
    <row r="59" spans="1:19" x14ac:dyDescent="0.25">
      <c r="C59" s="1" t="s">
        <v>243</v>
      </c>
      <c r="D59" s="1">
        <v>45808223</v>
      </c>
      <c r="E59" s="1">
        <v>45825649</v>
      </c>
      <c r="F59" s="1" t="s">
        <v>130</v>
      </c>
      <c r="G59" s="1" t="s">
        <v>179</v>
      </c>
      <c r="H59" s="1" t="s">
        <v>158</v>
      </c>
      <c r="I59" s="1">
        <v>720</v>
      </c>
    </row>
    <row r="60" spans="1:19" x14ac:dyDescent="0.25">
      <c r="A60" s="1" t="s">
        <v>244</v>
      </c>
      <c r="C60" s="1" t="s">
        <v>189</v>
      </c>
      <c r="D60" s="1">
        <v>16696077</v>
      </c>
      <c r="E60" s="1">
        <v>16713492</v>
      </c>
      <c r="F60" s="1" t="s">
        <v>130</v>
      </c>
      <c r="G60" s="1" t="s">
        <v>179</v>
      </c>
      <c r="H60" s="1" t="s">
        <v>155</v>
      </c>
      <c r="I60" s="1">
        <v>1693</v>
      </c>
      <c r="N60" s="1">
        <f>711-217</f>
        <v>494</v>
      </c>
      <c r="P60" s="1">
        <f>1526-705</f>
        <v>821</v>
      </c>
      <c r="R60" s="1">
        <v>80</v>
      </c>
      <c r="S60" s="1">
        <f>(192-80)/192</f>
        <v>0.58333333333333337</v>
      </c>
    </row>
    <row r="61" spans="1:19" x14ac:dyDescent="0.25">
      <c r="C61" s="1" t="s">
        <v>245</v>
      </c>
      <c r="D61" s="1">
        <v>1</v>
      </c>
      <c r="E61" s="1">
        <v>11400</v>
      </c>
      <c r="F61" s="1" t="s">
        <v>107</v>
      </c>
      <c r="G61" s="1" t="s">
        <v>179</v>
      </c>
      <c r="H61" s="1" t="s">
        <v>158</v>
      </c>
      <c r="I61" s="1">
        <v>842</v>
      </c>
    </row>
    <row r="62" spans="1:19" x14ac:dyDescent="0.25">
      <c r="C62" s="1" t="s">
        <v>246</v>
      </c>
      <c r="D62" s="1">
        <v>12110997</v>
      </c>
      <c r="E62" s="1">
        <v>12128233</v>
      </c>
      <c r="F62" s="1" t="s">
        <v>107</v>
      </c>
      <c r="G62" s="1" t="s">
        <v>179</v>
      </c>
      <c r="H62" s="1" t="s">
        <v>158</v>
      </c>
      <c r="I62" s="1">
        <f>157+232</f>
        <v>389</v>
      </c>
    </row>
    <row r="63" spans="1:19" x14ac:dyDescent="0.25">
      <c r="A63" s="1" t="s">
        <v>247</v>
      </c>
      <c r="C63" s="1" t="s">
        <v>248</v>
      </c>
      <c r="D63" s="1">
        <v>7131</v>
      </c>
      <c r="E63" s="1">
        <v>24163</v>
      </c>
      <c r="F63" s="1" t="s">
        <v>130</v>
      </c>
      <c r="G63" s="1" t="s">
        <v>179</v>
      </c>
      <c r="H63" s="1" t="s">
        <v>158</v>
      </c>
      <c r="I63" s="1">
        <v>1243</v>
      </c>
      <c r="N63" s="1">
        <f>141-16</f>
        <v>125</v>
      </c>
      <c r="O63" s="1">
        <f>(492-125)/492</f>
        <v>0.74593495934959353</v>
      </c>
      <c r="P63" s="1">
        <f>673-135</f>
        <v>538</v>
      </c>
      <c r="Q63" s="1">
        <f>(979-538)/979</f>
        <v>0.45045965270684374</v>
      </c>
      <c r="R63" s="1">
        <f>795-671</f>
        <v>124</v>
      </c>
    </row>
    <row r="64" spans="1:19" x14ac:dyDescent="0.25">
      <c r="C64" s="1" t="s">
        <v>249</v>
      </c>
      <c r="D64" s="1">
        <v>1</v>
      </c>
      <c r="E64" s="1">
        <v>15266</v>
      </c>
      <c r="F64" s="1" t="s">
        <v>130</v>
      </c>
      <c r="G64" s="1" t="s">
        <v>179</v>
      </c>
      <c r="H64" s="1" t="s">
        <v>158</v>
      </c>
      <c r="I64" s="1">
        <f>685+163+163</f>
        <v>1011</v>
      </c>
    </row>
    <row r="65" spans="3:9" x14ac:dyDescent="0.25">
      <c r="C65" s="1" t="s">
        <v>250</v>
      </c>
      <c r="D65" s="1">
        <v>1</v>
      </c>
      <c r="E65" s="1">
        <v>10881</v>
      </c>
      <c r="F65" s="1" t="s">
        <v>130</v>
      </c>
      <c r="G65" s="1" t="s">
        <v>179</v>
      </c>
      <c r="H65" s="1" t="s">
        <v>155</v>
      </c>
      <c r="I65" s="1">
        <v>347</v>
      </c>
    </row>
    <row r="66" spans="3:9" x14ac:dyDescent="0.25">
      <c r="C66" s="1" t="s">
        <v>251</v>
      </c>
      <c r="D66" s="1">
        <v>5285</v>
      </c>
      <c r="E66" s="1">
        <v>21575</v>
      </c>
      <c r="F66" s="1" t="s">
        <v>107</v>
      </c>
      <c r="G66" s="1" t="s">
        <v>179</v>
      </c>
      <c r="H66" s="1" t="s">
        <v>158</v>
      </c>
      <c r="I66" s="1">
        <v>814</v>
      </c>
    </row>
    <row r="67" spans="3:9" x14ac:dyDescent="0.25">
      <c r="C67" s="1" t="s">
        <v>252</v>
      </c>
      <c r="D67" s="1">
        <v>1</v>
      </c>
      <c r="E67" s="1">
        <v>10121</v>
      </c>
      <c r="F67" s="1" t="s">
        <v>130</v>
      </c>
      <c r="G67" s="1" t="s">
        <v>179</v>
      </c>
      <c r="H67" s="1" t="s">
        <v>155</v>
      </c>
      <c r="I67" s="1">
        <f>246+146</f>
        <v>392</v>
      </c>
    </row>
    <row r="68" spans="3:9" x14ac:dyDescent="0.25">
      <c r="C68" s="1" t="s">
        <v>253</v>
      </c>
      <c r="D68" s="1">
        <v>151376677</v>
      </c>
      <c r="E68" s="1">
        <v>151392635</v>
      </c>
      <c r="F68" s="1" t="s">
        <v>107</v>
      </c>
      <c r="G68" s="1" t="s">
        <v>179</v>
      </c>
      <c r="H68" s="1" t="s">
        <v>158</v>
      </c>
      <c r="I68" s="1">
        <v>982</v>
      </c>
    </row>
    <row r="69" spans="3:9" x14ac:dyDescent="0.25">
      <c r="C69" s="1" t="s">
        <v>254</v>
      </c>
      <c r="D69" s="1">
        <v>208927</v>
      </c>
      <c r="E69" s="1">
        <v>218852</v>
      </c>
      <c r="F69" s="1" t="s">
        <v>107</v>
      </c>
      <c r="G69" s="1" t="s">
        <v>179</v>
      </c>
      <c r="H69" s="1" t="s">
        <v>158</v>
      </c>
      <c r="I69" s="1">
        <v>397</v>
      </c>
    </row>
    <row r="70" spans="3:9" x14ac:dyDescent="0.25">
      <c r="C70" s="1" t="s">
        <v>255</v>
      </c>
      <c r="D70" s="1">
        <v>1</v>
      </c>
      <c r="E70" s="1">
        <v>9869</v>
      </c>
      <c r="F70" s="1" t="s">
        <v>107</v>
      </c>
      <c r="G70" s="1" t="s">
        <v>179</v>
      </c>
      <c r="H70" s="1" t="s">
        <v>155</v>
      </c>
      <c r="I70" s="1">
        <v>134</v>
      </c>
    </row>
  </sheetData>
  <mergeCells count="1">
    <mergeCell ref="A1:S1"/>
  </mergeCells>
  <phoneticPr fontId="5" type="noConversion"/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11"/>
  <sheetViews>
    <sheetView workbookViewId="0">
      <selection activeCell="D7" sqref="D7"/>
    </sheetView>
  </sheetViews>
  <sheetFormatPr defaultColWidth="8.83203125" defaultRowHeight="15" x14ac:dyDescent="0.25"/>
  <cols>
    <col min="1" max="1" width="16.08203125" style="1"/>
    <col min="2" max="3" width="6.5" style="1"/>
    <col min="4" max="4" width="13.83203125" style="1"/>
    <col min="5" max="5" width="7.5" style="1"/>
    <col min="6" max="6" width="10.5" style="1"/>
    <col min="7" max="8" width="11.58203125" style="1"/>
    <col min="9" max="9" width="10.5" style="1"/>
    <col min="10" max="10" width="15" style="1"/>
    <col min="11" max="11" width="12.75" style="1"/>
    <col min="12" max="12" width="15" style="1"/>
    <col min="13" max="13" width="9" style="1"/>
    <col min="14" max="14" width="15" style="1"/>
    <col min="15" max="15" width="8.5" style="1"/>
    <col min="16" max="32" width="9" style="1"/>
    <col min="33" max="16384" width="8.83203125" style="1"/>
  </cols>
  <sheetData>
    <row r="1" spans="1:15" x14ac:dyDescent="0.25">
      <c r="A1" s="14" t="s">
        <v>379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5" x14ac:dyDescent="0.25">
      <c r="A2" s="1" t="s">
        <v>93</v>
      </c>
      <c r="B2" s="1" t="s">
        <v>151</v>
      </c>
      <c r="C2" s="1" t="s">
        <v>152</v>
      </c>
      <c r="D2" s="1" t="s">
        <v>168</v>
      </c>
      <c r="E2" s="1" t="s">
        <v>153</v>
      </c>
      <c r="F2" s="1" t="s">
        <v>256</v>
      </c>
      <c r="G2" s="1" t="s">
        <v>257</v>
      </c>
      <c r="H2" s="1" t="s">
        <v>257</v>
      </c>
      <c r="I2" s="1" t="s">
        <v>98</v>
      </c>
      <c r="J2" s="1" t="s">
        <v>99</v>
      </c>
      <c r="L2" s="1" t="s">
        <v>100</v>
      </c>
      <c r="N2" s="1" t="s">
        <v>101</v>
      </c>
    </row>
    <row r="3" spans="1:15" x14ac:dyDescent="0.25">
      <c r="A3" s="1" t="s">
        <v>258</v>
      </c>
      <c r="B3" s="1">
        <v>81756</v>
      </c>
      <c r="C3" s="1">
        <v>93029</v>
      </c>
      <c r="D3" s="1" t="s">
        <v>107</v>
      </c>
      <c r="E3" s="1" t="s">
        <v>259</v>
      </c>
      <c r="F3" s="1">
        <v>7274</v>
      </c>
      <c r="I3" s="1">
        <v>1383</v>
      </c>
      <c r="J3" s="1">
        <f>320-5</f>
        <v>315</v>
      </c>
      <c r="L3" s="1">
        <f>1165-276</f>
        <v>889</v>
      </c>
      <c r="N3" s="1">
        <f>1368-1184+1194-1159</f>
        <v>219</v>
      </c>
    </row>
    <row r="4" spans="1:15" x14ac:dyDescent="0.25">
      <c r="A4" s="1" t="s">
        <v>260</v>
      </c>
      <c r="B4" s="1">
        <v>1</v>
      </c>
      <c r="C4" s="1">
        <v>9179</v>
      </c>
      <c r="D4" s="1" t="s">
        <v>130</v>
      </c>
      <c r="E4" s="1" t="s">
        <v>259</v>
      </c>
      <c r="F4" s="1">
        <v>7178</v>
      </c>
      <c r="I4" s="1">
        <v>1365</v>
      </c>
      <c r="J4" s="1">
        <v>345</v>
      </c>
      <c r="K4" s="1">
        <f>(492-J4)/492</f>
        <v>0.29878048780487804</v>
      </c>
      <c r="L4" s="1">
        <f>1279-303</f>
        <v>976</v>
      </c>
      <c r="N4" s="1">
        <f>1364-1190</f>
        <v>174</v>
      </c>
      <c r="O4" s="1">
        <f>(192-N4)/192</f>
        <v>9.375E-2</v>
      </c>
    </row>
    <row r="5" spans="1:15" x14ac:dyDescent="0.25">
      <c r="A5" s="1" t="s">
        <v>261</v>
      </c>
      <c r="B5" s="1">
        <v>31115</v>
      </c>
      <c r="C5" s="1">
        <v>41886</v>
      </c>
      <c r="D5" s="1" t="s">
        <v>262</v>
      </c>
      <c r="E5" s="1" t="s">
        <v>155</v>
      </c>
      <c r="F5" s="1">
        <v>6772</v>
      </c>
      <c r="I5" s="1">
        <v>2257</v>
      </c>
      <c r="J5" s="1" t="s">
        <v>263</v>
      </c>
      <c r="L5" s="1" t="s">
        <v>263</v>
      </c>
    </row>
    <row r="6" spans="1:15" x14ac:dyDescent="0.25">
      <c r="A6" s="1" t="s">
        <v>264</v>
      </c>
      <c r="B6" s="1">
        <v>46214</v>
      </c>
      <c r="C6" s="1">
        <v>56578</v>
      </c>
      <c r="D6" s="1" t="s">
        <v>107</v>
      </c>
      <c r="E6" s="1" t="s">
        <v>155</v>
      </c>
      <c r="F6" s="1">
        <v>6365</v>
      </c>
      <c r="I6" s="1">
        <f>524+542</f>
        <v>1066</v>
      </c>
    </row>
    <row r="7" spans="1:15" x14ac:dyDescent="0.25">
      <c r="A7" s="1" t="s">
        <v>265</v>
      </c>
      <c r="B7" s="1">
        <v>1991</v>
      </c>
      <c r="C7" s="1">
        <v>11340</v>
      </c>
      <c r="D7" s="1" t="s">
        <v>107</v>
      </c>
      <c r="E7" s="1" t="s">
        <v>259</v>
      </c>
      <c r="F7" s="1">
        <v>5350</v>
      </c>
      <c r="I7" s="1">
        <v>980</v>
      </c>
    </row>
    <row r="8" spans="1:15" x14ac:dyDescent="0.25">
      <c r="A8" s="1" t="s">
        <v>266</v>
      </c>
      <c r="B8" s="1">
        <v>2049</v>
      </c>
      <c r="C8" s="1">
        <v>10859</v>
      </c>
      <c r="D8" s="1" t="s">
        <v>107</v>
      </c>
      <c r="E8" s="1" t="s">
        <v>155</v>
      </c>
      <c r="F8" s="1">
        <v>4811</v>
      </c>
      <c r="I8" s="1">
        <v>970</v>
      </c>
    </row>
    <row r="9" spans="1:15" x14ac:dyDescent="0.25">
      <c r="A9" s="1" t="s">
        <v>267</v>
      </c>
      <c r="B9" s="1">
        <v>11690</v>
      </c>
      <c r="C9" s="1">
        <v>19890</v>
      </c>
      <c r="D9" s="1" t="s">
        <v>107</v>
      </c>
      <c r="E9" s="1" t="s">
        <v>155</v>
      </c>
      <c r="F9" s="1">
        <v>4201</v>
      </c>
      <c r="I9" s="1">
        <v>885</v>
      </c>
    </row>
    <row r="10" spans="1:15" x14ac:dyDescent="0.25">
      <c r="A10" s="1" t="s">
        <v>268</v>
      </c>
      <c r="B10" s="1">
        <v>29447</v>
      </c>
      <c r="C10" s="1">
        <v>37584</v>
      </c>
      <c r="D10" s="1" t="s">
        <v>107</v>
      </c>
      <c r="E10" s="1" t="s">
        <v>259</v>
      </c>
      <c r="F10" s="1">
        <v>4138</v>
      </c>
      <c r="I10" s="1">
        <v>1175</v>
      </c>
    </row>
    <row r="11" spans="1:15" x14ac:dyDescent="0.25">
      <c r="A11" s="1" t="s">
        <v>269</v>
      </c>
      <c r="B11" s="1">
        <v>1</v>
      </c>
      <c r="C11" s="1">
        <v>5838</v>
      </c>
      <c r="D11" s="1" t="s">
        <v>107</v>
      </c>
      <c r="E11" s="1" t="s">
        <v>155</v>
      </c>
      <c r="F11" s="1">
        <v>3838</v>
      </c>
      <c r="I11" s="1">
        <v>1033</v>
      </c>
    </row>
  </sheetData>
  <mergeCells count="1">
    <mergeCell ref="A1:O1"/>
  </mergeCells>
  <phoneticPr fontId="5" type="noConversion"/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5"/>
  <sheetViews>
    <sheetView workbookViewId="0">
      <selection activeCell="D6" sqref="D6"/>
    </sheetView>
  </sheetViews>
  <sheetFormatPr defaultColWidth="8.83203125" defaultRowHeight="15" x14ac:dyDescent="0.25"/>
  <cols>
    <col min="1" max="1" width="16.08203125"/>
    <col min="4" max="4" width="11.58203125"/>
    <col min="6" max="6" width="10.5"/>
    <col min="9" max="9" width="9" style="1"/>
  </cols>
  <sheetData>
    <row r="1" spans="1:9" x14ac:dyDescent="0.25">
      <c r="A1" s="14" t="s">
        <v>380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" t="s">
        <v>93</v>
      </c>
      <c r="B2" s="1" t="s">
        <v>151</v>
      </c>
      <c r="C2" s="1" t="s">
        <v>152</v>
      </c>
      <c r="D2" s="1" t="s">
        <v>168</v>
      </c>
      <c r="E2" s="1" t="s">
        <v>153</v>
      </c>
      <c r="F2" s="1" t="s">
        <v>98</v>
      </c>
      <c r="I2" s="1" t="s">
        <v>270</v>
      </c>
    </row>
    <row r="3" spans="1:9" x14ac:dyDescent="0.25">
      <c r="A3" s="1" t="s">
        <v>271</v>
      </c>
      <c r="B3" s="1">
        <v>3042984</v>
      </c>
      <c r="C3" s="1">
        <v>3050514</v>
      </c>
      <c r="D3" s="1" t="s">
        <v>130</v>
      </c>
      <c r="E3" s="1" t="s">
        <v>155</v>
      </c>
      <c r="F3" s="1">
        <v>796</v>
      </c>
    </row>
    <row r="4" spans="1:9" x14ac:dyDescent="0.25">
      <c r="A4" s="1" t="s">
        <v>271</v>
      </c>
      <c r="B4" s="1">
        <v>3038287</v>
      </c>
      <c r="C4" s="1">
        <v>3046975</v>
      </c>
      <c r="D4" s="1" t="s">
        <v>130</v>
      </c>
      <c r="E4" s="1" t="s">
        <v>155</v>
      </c>
      <c r="F4" s="1">
        <v>1176</v>
      </c>
      <c r="I4" s="1" t="s">
        <v>263</v>
      </c>
    </row>
    <row r="5" spans="1:9" x14ac:dyDescent="0.25">
      <c r="A5" s="1" t="s">
        <v>272</v>
      </c>
      <c r="B5" s="1">
        <v>1</v>
      </c>
      <c r="C5" s="1">
        <v>9805</v>
      </c>
      <c r="D5" s="1" t="s">
        <v>130</v>
      </c>
      <c r="E5" s="1" t="s">
        <v>259</v>
      </c>
      <c r="F5" s="1">
        <v>1101</v>
      </c>
    </row>
  </sheetData>
  <mergeCells count="1">
    <mergeCell ref="A1:I1"/>
  </mergeCells>
  <phoneticPr fontId="5" type="noConversion"/>
  <pageMargins left="0.7" right="0.7" top="0.75" bottom="0.75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8"/>
  <sheetViews>
    <sheetView workbookViewId="0">
      <selection activeCell="C6" sqref="C6"/>
    </sheetView>
  </sheetViews>
  <sheetFormatPr defaultColWidth="8.83203125" defaultRowHeight="15" x14ac:dyDescent="0.25"/>
  <cols>
    <col min="1" max="1" width="12.75" style="1"/>
    <col min="2" max="2" width="20.5" style="1"/>
    <col min="3" max="3" width="19.33203125" style="1"/>
    <col min="4" max="4" width="9.5" style="1"/>
    <col min="5" max="5" width="9" style="1"/>
    <col min="6" max="6" width="11.58203125" style="1"/>
    <col min="7" max="7" width="9" style="1"/>
    <col min="8" max="8" width="9.5" style="1"/>
    <col min="9" max="9" width="10.5" style="1"/>
    <col min="10" max="10" width="15" style="1" customWidth="1"/>
    <col min="11" max="11" width="13.83203125" style="1"/>
    <col min="12" max="12" width="13.58203125" style="1"/>
    <col min="13" max="13" width="13.83203125" style="1"/>
    <col min="14" max="14" width="13.58203125" style="1"/>
    <col min="15" max="15" width="13.83203125" style="1"/>
    <col min="16" max="32" width="9" style="1"/>
    <col min="33" max="16384" width="8.83203125" style="1"/>
  </cols>
  <sheetData>
    <row r="1" spans="1:15" x14ac:dyDescent="0.25">
      <c r="A1" s="14" t="s">
        <v>381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5" x14ac:dyDescent="0.25">
      <c r="A2" s="2" t="s">
        <v>92</v>
      </c>
      <c r="C2" s="1" t="s">
        <v>93</v>
      </c>
      <c r="D2" s="1" t="s">
        <v>151</v>
      </c>
      <c r="E2" s="1" t="s">
        <v>152</v>
      </c>
      <c r="F2" s="1" t="s">
        <v>168</v>
      </c>
      <c r="G2" s="1" t="s">
        <v>153</v>
      </c>
      <c r="H2" s="1" t="s">
        <v>256</v>
      </c>
      <c r="I2" s="1" t="s">
        <v>98</v>
      </c>
      <c r="J2" s="1" t="s">
        <v>99</v>
      </c>
      <c r="L2" s="1" t="s">
        <v>100</v>
      </c>
      <c r="N2" s="1" t="s">
        <v>101</v>
      </c>
    </row>
    <row r="3" spans="1:15" x14ac:dyDescent="0.25">
      <c r="C3" s="1" t="s">
        <v>273</v>
      </c>
      <c r="D3" s="1">
        <v>9737590</v>
      </c>
      <c r="E3" s="1">
        <v>9755084</v>
      </c>
      <c r="F3" s="1" t="s">
        <v>130</v>
      </c>
      <c r="G3" s="1" t="s">
        <v>155</v>
      </c>
      <c r="H3" s="1">
        <v>5495</v>
      </c>
      <c r="I3" s="1">
        <v>1711</v>
      </c>
      <c r="J3" s="1">
        <f>707-217</f>
        <v>490</v>
      </c>
      <c r="K3" s="1">
        <f t="shared" ref="K3:K8" si="0">(492-J3)/492</f>
        <v>4.0650406504065045E-3</v>
      </c>
      <c r="L3" s="1">
        <f>1544-701</f>
        <v>843</v>
      </c>
      <c r="M3" s="1">
        <f t="shared" ref="M3:M8" si="1">(979-L3)/979</f>
        <v>0.13891726251276812</v>
      </c>
      <c r="N3" s="1">
        <f>1614-1534</f>
        <v>80</v>
      </c>
      <c r="O3" s="1">
        <f t="shared" ref="O3:O8" si="2">(192-N3)/192</f>
        <v>0.58333333333333337</v>
      </c>
    </row>
    <row r="4" spans="1:15" x14ac:dyDescent="0.25">
      <c r="C4" s="1" t="s">
        <v>274</v>
      </c>
      <c r="D4" s="1">
        <v>65200744</v>
      </c>
      <c r="E4" s="1">
        <v>65218988</v>
      </c>
      <c r="F4" s="1" t="s">
        <v>107</v>
      </c>
      <c r="G4" s="1" t="s">
        <v>155</v>
      </c>
      <c r="H4" s="1">
        <v>6245</v>
      </c>
      <c r="I4" s="1">
        <f>129+806+132</f>
        <v>1067</v>
      </c>
      <c r="K4" s="1">
        <f t="shared" si="0"/>
        <v>1</v>
      </c>
      <c r="M4" s="1">
        <f t="shared" si="1"/>
        <v>1</v>
      </c>
      <c r="O4" s="1">
        <f t="shared" si="2"/>
        <v>1</v>
      </c>
    </row>
    <row r="5" spans="1:15" x14ac:dyDescent="0.25">
      <c r="A5" s="1" t="s">
        <v>275</v>
      </c>
      <c r="C5" s="1" t="s">
        <v>276</v>
      </c>
      <c r="D5" s="1">
        <v>25637788</v>
      </c>
      <c r="E5" s="1">
        <v>25656677</v>
      </c>
      <c r="F5" s="1" t="s">
        <v>130</v>
      </c>
      <c r="G5" s="1" t="s">
        <v>259</v>
      </c>
      <c r="H5" s="1">
        <v>6890</v>
      </c>
      <c r="I5" s="1">
        <f>1278+32</f>
        <v>1310</v>
      </c>
      <c r="J5" s="1">
        <f>404-120</f>
        <v>284</v>
      </c>
      <c r="K5" s="1">
        <f t="shared" si="0"/>
        <v>0.42276422764227645</v>
      </c>
      <c r="L5" s="1">
        <f>1081-405</f>
        <v>676</v>
      </c>
      <c r="M5" s="1">
        <f t="shared" si="1"/>
        <v>0.30949948927477017</v>
      </c>
      <c r="N5" s="1">
        <f>1251-1081</f>
        <v>170</v>
      </c>
      <c r="O5" s="1">
        <f t="shared" si="2"/>
        <v>0.11458333333333333</v>
      </c>
    </row>
    <row r="6" spans="1:15" x14ac:dyDescent="0.25">
      <c r="A6" s="1" t="s">
        <v>277</v>
      </c>
      <c r="B6" s="1" t="s">
        <v>192</v>
      </c>
      <c r="C6" s="1" t="s">
        <v>278</v>
      </c>
      <c r="D6" s="1">
        <v>545718</v>
      </c>
      <c r="E6" s="1">
        <v>565213</v>
      </c>
      <c r="F6" s="1" t="s">
        <v>130</v>
      </c>
      <c r="G6" s="1" t="s">
        <v>259</v>
      </c>
      <c r="H6" s="1">
        <v>7496</v>
      </c>
      <c r="I6" s="1">
        <v>1301</v>
      </c>
      <c r="J6" s="1">
        <f>1301-1014</f>
        <v>287</v>
      </c>
      <c r="K6" s="1">
        <f t="shared" si="0"/>
        <v>0.41666666666666669</v>
      </c>
      <c r="L6" s="1">
        <f>263+922-578</f>
        <v>607</v>
      </c>
      <c r="M6" s="1">
        <f t="shared" si="1"/>
        <v>0.37997957099080693</v>
      </c>
      <c r="N6" s="1">
        <f>541-257</f>
        <v>284</v>
      </c>
      <c r="O6" s="1">
        <f t="shared" si="2"/>
        <v>-0.47916666666666669</v>
      </c>
    </row>
    <row r="7" spans="1:15" x14ac:dyDescent="0.25">
      <c r="A7" s="1" t="s">
        <v>279</v>
      </c>
      <c r="B7" s="1" t="s">
        <v>280</v>
      </c>
      <c r="C7" s="1" t="s">
        <v>281</v>
      </c>
      <c r="D7" s="1">
        <v>8352033</v>
      </c>
      <c r="E7" s="1">
        <v>8371532</v>
      </c>
      <c r="F7" s="1" t="s">
        <v>130</v>
      </c>
      <c r="G7" s="1" t="s">
        <v>155</v>
      </c>
      <c r="H7" s="1">
        <v>7500</v>
      </c>
      <c r="I7" s="1">
        <v>1557</v>
      </c>
      <c r="J7" s="1">
        <f>457-31</f>
        <v>426</v>
      </c>
      <c r="K7" s="1">
        <f t="shared" si="0"/>
        <v>0.13414634146341464</v>
      </c>
      <c r="L7" s="1">
        <f>1344-458</f>
        <v>886</v>
      </c>
      <c r="M7" s="1">
        <f t="shared" si="1"/>
        <v>9.4994892747701731E-2</v>
      </c>
      <c r="N7" s="1">
        <f>1487-1352</f>
        <v>135</v>
      </c>
      <c r="O7" s="1">
        <f t="shared" si="2"/>
        <v>0.296875</v>
      </c>
    </row>
    <row r="8" spans="1:15" x14ac:dyDescent="0.25">
      <c r="A8" s="1" t="s">
        <v>282</v>
      </c>
      <c r="B8" s="1" t="s">
        <v>184</v>
      </c>
      <c r="C8" s="1" t="s">
        <v>283</v>
      </c>
      <c r="D8" s="1">
        <v>61232835</v>
      </c>
      <c r="E8" s="1">
        <v>61252346</v>
      </c>
      <c r="F8" s="1" t="s">
        <v>107</v>
      </c>
      <c r="G8" s="1" t="s">
        <v>259</v>
      </c>
      <c r="H8" s="1">
        <v>7512</v>
      </c>
      <c r="I8" s="1">
        <v>2488</v>
      </c>
      <c r="J8" s="1">
        <f>726-219</f>
        <v>507</v>
      </c>
      <c r="K8" s="1">
        <f t="shared" si="0"/>
        <v>-3.048780487804878E-2</v>
      </c>
      <c r="L8" s="1">
        <f>1897-724</f>
        <v>1173</v>
      </c>
      <c r="M8" s="1">
        <f t="shared" si="1"/>
        <v>-0.19816138917262513</v>
      </c>
      <c r="N8" s="1">
        <f>2474-1908</f>
        <v>566</v>
      </c>
      <c r="O8" s="1">
        <f t="shared" si="2"/>
        <v>-1.9479166666666667</v>
      </c>
    </row>
  </sheetData>
  <mergeCells count="1">
    <mergeCell ref="A1:O1"/>
  </mergeCells>
  <phoneticPr fontId="5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statistics</vt:lpstr>
      <vt:lpstr>Duroc</vt:lpstr>
      <vt:lpstr>Bama</vt:lpstr>
      <vt:lpstr>Bamei</vt:lpstr>
      <vt:lpstr>Berkshire</vt:lpstr>
      <vt:lpstr>cross-bred</vt:lpstr>
      <vt:lpstr>EGMP</vt:lpstr>
      <vt:lpstr>Jinhua</vt:lpstr>
      <vt:lpstr>Kenya</vt:lpstr>
      <vt:lpstr>Landrace</vt:lpstr>
      <vt:lpstr>largeWhite</vt:lpstr>
      <vt:lpstr>MSBJ</vt:lpstr>
      <vt:lpstr>MS_old</vt:lpstr>
      <vt:lpstr>ninghe</vt:lpstr>
      <vt:lpstr>Ningxiang</vt:lpstr>
      <vt:lpstr>NS</vt:lpstr>
      <vt:lpstr>Pitrain</vt:lpstr>
      <vt:lpstr>Rongchang</vt:lpstr>
      <vt:lpstr>Tibeten</vt:lpstr>
      <vt:lpstr>wuzhishan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Du Zhanyu</cp:lastModifiedBy>
  <dcterms:created xsi:type="dcterms:W3CDTF">2016-12-02T08:54:00Z</dcterms:created>
  <dcterms:modified xsi:type="dcterms:W3CDTF">2024-01-24T04:49:44Z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2D9BADFEC175451A881D829DF6FAE98C_13</vt:lpwstr>
  </property>
</Properties>
</file>