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C:\Users\simon\OneDrive\Desktop\ANDRENACCI ET AL - REVIEW 10 GIUGNO 23\Andrenacci_et_al_Geosciences_Supplemental\"/>
    </mc:Choice>
  </mc:AlternateContent>
  <xr:revisionPtr revIDLastSave="0" documentId="13_ncr:1_{0677EB1E-1C7B-464A-91AE-9EAD101DCE18}" xr6:coauthVersionLast="47" xr6:coauthVersionMax="47" xr10:uidLastSave="{00000000-0000-0000-0000-000000000000}"/>
  <bookViews>
    <workbookView xWindow="-120" yWindow="-120" windowWidth="29040" windowHeight="15720" tabRatio="743" xr2:uid="{00000000-000D-0000-FFFF-FFFF00000000}"/>
  </bookViews>
  <sheets>
    <sheet name="MAIN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0" i="4" l="1"/>
  <c r="F20" i="4"/>
  <c r="H20" i="4"/>
  <c r="F19" i="4"/>
  <c r="F18" i="4"/>
  <c r="E17" i="4"/>
  <c r="E16" i="4"/>
  <c r="H15" i="4"/>
  <c r="F9" i="4"/>
  <c r="E9" i="4"/>
  <c r="F21" i="4" l="1"/>
  <c r="H18" i="4"/>
  <c r="E18" i="4"/>
  <c r="H19" i="4"/>
  <c r="G19" i="4"/>
  <c r="G18" i="4"/>
  <c r="H17" i="4"/>
  <c r="F17" i="4"/>
  <c r="E14" i="4"/>
  <c r="E13" i="4"/>
  <c r="H12" i="4"/>
  <c r="E10" i="4"/>
  <c r="H9" i="4"/>
  <c r="G9" i="4"/>
  <c r="G6" i="4"/>
  <c r="H11" i="4" s="1"/>
  <c r="E25" i="4" l="1"/>
  <c r="H25" i="4"/>
  <c r="E24" i="4"/>
  <c r="E26" i="4"/>
  <c r="F11" i="4"/>
  <c r="F25" i="4" s="1"/>
  <c r="E27" i="4"/>
  <c r="E28" i="4" s="1"/>
  <c r="G11" i="4"/>
  <c r="G26" i="4" s="1"/>
  <c r="H24" i="4"/>
  <c r="G27" i="4" l="1"/>
  <c r="G28" i="4" s="1"/>
  <c r="G25" i="4"/>
  <c r="G24" i="4"/>
  <c r="H26" i="4"/>
  <c r="F26" i="4"/>
  <c r="F24" i="4"/>
  <c r="F27" i="4"/>
  <c r="F28" i="4" s="1"/>
  <c r="H27" i="4"/>
  <c r="H28" i="4" s="1"/>
</calcChain>
</file>

<file path=xl/sharedStrings.xml><?xml version="1.0" encoding="utf-8"?>
<sst xmlns="http://schemas.openxmlformats.org/spreadsheetml/2006/main" count="58" uniqueCount="48">
  <si>
    <t xml:space="preserve">W&amp;C94 </t>
  </si>
  <si>
    <t xml:space="preserve">Ma96 </t>
  </si>
  <si>
    <t xml:space="preserve">Vi01 </t>
  </si>
  <si>
    <t xml:space="preserve">P&amp;C04 </t>
  </si>
  <si>
    <t xml:space="preserve">Ga08 </t>
  </si>
  <si>
    <t>Ha&amp;Ba08</t>
  </si>
  <si>
    <t xml:space="preserve">We08 </t>
  </si>
  <si>
    <t>Le10</t>
  </si>
  <si>
    <t xml:space="preserve">Le14 </t>
  </si>
  <si>
    <t>Th17</t>
  </si>
  <si>
    <t>Al&amp;Ha18</t>
  </si>
  <si>
    <t>Surface rupture length (Km)</t>
  </si>
  <si>
    <t>Sub-Surface rupture length (Km)</t>
  </si>
  <si>
    <t>Rupture Width (Km)</t>
  </si>
  <si>
    <r>
      <t>Rupture Area (Km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)</t>
    </r>
  </si>
  <si>
    <t>SS21</t>
  </si>
  <si>
    <t>Average</t>
  </si>
  <si>
    <t xml:space="preserve">Standard deviation </t>
  </si>
  <si>
    <t>standard error</t>
  </si>
  <si>
    <t>Recerence</t>
  </si>
  <si>
    <t>Wells and Coppersmith, 1994</t>
  </si>
  <si>
    <t>Mason,1996</t>
  </si>
  <si>
    <t>Villamor et al., 2001</t>
  </si>
  <si>
    <t>Pavlides and Caputo, 2004</t>
  </si>
  <si>
    <t>Galli et al., 2008</t>
  </si>
  <si>
    <t>Hanks and Bakun, 2008</t>
  </si>
  <si>
    <t xml:space="preserve"> Wesnousky, 2008</t>
  </si>
  <si>
    <t>Leonard, 2010</t>
  </si>
  <si>
    <t>Leonard, 2014</t>
  </si>
  <si>
    <t>Thingbajim et al., 2017</t>
  </si>
  <si>
    <t>Allen and Hayes, 2018</t>
  </si>
  <si>
    <t>Schirripa Spagnolo et al., 2021</t>
  </si>
  <si>
    <t>Insert value</t>
  </si>
  <si>
    <r>
      <t>Moment Magnitude (M</t>
    </r>
    <r>
      <rPr>
        <b/>
        <vertAlign val="subscript"/>
        <sz val="11"/>
        <color theme="1"/>
        <rFont val="Times New Roman"/>
        <family val="1"/>
      </rPr>
      <t>w</t>
    </r>
    <r>
      <rPr>
        <b/>
        <sz val="11"/>
        <color theme="1"/>
        <rFont val="Times New Roman"/>
        <family val="1"/>
      </rPr>
      <t>)</t>
    </r>
  </si>
  <si>
    <r>
      <t>Seismic Moment (M</t>
    </r>
    <r>
      <rPr>
        <b/>
        <vertAlign val="subscript"/>
        <sz val="11"/>
        <color theme="1"/>
        <rFont val="Times New Roman"/>
        <family val="1"/>
      </rPr>
      <t>0</t>
    </r>
    <r>
      <rPr>
        <b/>
        <sz val="11"/>
        <color theme="1"/>
        <rFont val="Times New Roman"/>
        <family val="1"/>
      </rPr>
      <t>)[Nm]</t>
    </r>
  </si>
  <si>
    <t xml:space="preserve">Scale-law regression for earthquakes source sizing </t>
  </si>
  <si>
    <t>Normal</t>
  </si>
  <si>
    <t>Minimum</t>
  </si>
  <si>
    <t>Maximum</t>
  </si>
  <si>
    <t>Statistical Analysis</t>
  </si>
  <si>
    <t>Tectonic Style</t>
  </si>
  <si>
    <t>MM&amp;Be00</t>
  </si>
  <si>
    <t>Key(**)</t>
  </si>
  <si>
    <t>Dip slip</t>
  </si>
  <si>
    <t>All</t>
  </si>
  <si>
    <t>Martin Mai and Bendoza, 2000</t>
  </si>
  <si>
    <t>**) See Table 2 of the main text for references</t>
  </si>
  <si>
    <r>
      <t xml:space="preserve">Supplementary Data 4 for:
Reappraisal and analysis of macroseismic data for seismotectonic purposes: the Southern Calabria strong earthquakes (Italy)
Carlo Andrenacci </t>
    </r>
    <r>
      <rPr>
        <b/>
        <vertAlign val="superscript"/>
        <sz val="14"/>
        <color theme="1"/>
        <rFont val="Times New Roman"/>
        <family val="1"/>
      </rPr>
      <t>1,2</t>
    </r>
    <r>
      <rPr>
        <b/>
        <sz val="14"/>
        <color theme="1"/>
        <rFont val="Times New Roman"/>
        <family val="1"/>
      </rPr>
      <t xml:space="preserve">, Simone Bello </t>
    </r>
    <r>
      <rPr>
        <b/>
        <vertAlign val="superscript"/>
        <sz val="14"/>
        <color theme="1"/>
        <rFont val="Times New Roman"/>
        <family val="1"/>
      </rPr>
      <t>1,2*</t>
    </r>
    <r>
      <rPr>
        <b/>
        <sz val="14"/>
        <color theme="1"/>
        <rFont val="Times New Roman"/>
        <family val="1"/>
      </rPr>
      <t>, Maria Serafina Barbano</t>
    </r>
    <r>
      <rPr>
        <b/>
        <vertAlign val="superscript"/>
        <sz val="14"/>
        <color theme="1"/>
        <rFont val="Times New Roman"/>
        <family val="1"/>
      </rPr>
      <t xml:space="preserve"> 2,3,4</t>
    </r>
    <r>
      <rPr>
        <b/>
        <sz val="14"/>
        <color theme="1"/>
        <rFont val="Times New Roman"/>
        <family val="1"/>
      </rPr>
      <t xml:space="preserve">, Rita de Nardis </t>
    </r>
    <r>
      <rPr>
        <b/>
        <vertAlign val="superscript"/>
        <sz val="14"/>
        <color theme="1"/>
        <rFont val="Times New Roman"/>
        <family val="1"/>
      </rPr>
      <t>1,2</t>
    </r>
    <r>
      <rPr>
        <b/>
        <sz val="14"/>
        <color theme="1"/>
        <rFont val="Times New Roman"/>
        <family val="1"/>
      </rPr>
      <t xml:space="preserve">, Claudia Pirrotta </t>
    </r>
    <r>
      <rPr>
        <b/>
        <vertAlign val="superscript"/>
        <sz val="14"/>
        <color theme="1"/>
        <rFont val="Times New Roman"/>
        <family val="1"/>
      </rPr>
      <t>2,3</t>
    </r>
    <r>
      <rPr>
        <b/>
        <sz val="14"/>
        <color theme="1"/>
        <rFont val="Times New Roman"/>
        <family val="1"/>
      </rPr>
      <t xml:space="preserve">, Federico Pietrolungo </t>
    </r>
    <r>
      <rPr>
        <b/>
        <vertAlign val="superscript"/>
        <sz val="14"/>
        <color theme="1"/>
        <rFont val="Times New Roman"/>
        <family val="1"/>
      </rPr>
      <t>1,2</t>
    </r>
    <r>
      <rPr>
        <b/>
        <sz val="14"/>
        <color theme="1"/>
        <rFont val="Times New Roman"/>
        <family val="1"/>
      </rPr>
      <t xml:space="preserve"> and Giusy Lavecchia </t>
    </r>
    <r>
      <rPr>
        <b/>
        <vertAlign val="superscript"/>
        <sz val="14"/>
        <color theme="1"/>
        <rFont val="Times New Roman"/>
        <family val="1"/>
      </rPr>
      <t>1,2
1 DiSPuTer, University G. d’Annunzio, via dei Vestini 31, Chieti 66100, Italy;
2 CRUST - Interuniversity Center for 3D Seismotectonics with Territorial Applications 66100, Chieti, Italy;
3 Dipartimento di Scienze Biologiche, Geologiche e Ambientali, Università di Catania, 95129 Catania, Italy;
4 Istituto Nazionale di Geofisica e Vulcanologia, (INGV) Catania, Italy
*Correspondence: simone.bello@unich.it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</si>
</sst>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rgb="FFFF0000"/>
      <name val="Times New Roman"/>
      <family val="1"/>
    </font>
    <font>
      <b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vertAlign val="superscript"/>
      <sz val="14"/>
      <color theme="1"/>
      <name val="Times New Roman"/>
      <family val="1"/>
    </font>
    <font>
      <sz val="10"/>
      <color theme="1"/>
      <name val="Consolas"/>
      <family val="3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0" fillId="0" borderId="0" xfId="0" applyAlignment="1">
      <alignment vertical="center"/>
    </xf>
    <xf numFmtId="164" fontId="3" fillId="2" borderId="0" xfId="0" applyNumberFormat="1" applyFont="1" applyFill="1" applyAlignment="1">
      <alignment vertical="center"/>
    </xf>
    <xf numFmtId="164" fontId="3" fillId="2" borderId="9" xfId="0" applyNumberFormat="1" applyFont="1" applyFill="1" applyBorder="1" applyAlignment="1">
      <alignment vertical="center"/>
    </xf>
    <xf numFmtId="164" fontId="3" fillId="2" borderId="6" xfId="0" applyNumberFormat="1" applyFont="1" applyFill="1" applyBorder="1" applyAlignment="1">
      <alignment vertical="center"/>
    </xf>
    <xf numFmtId="164" fontId="3" fillId="2" borderId="7" xfId="0" applyNumberFormat="1" applyFont="1" applyFill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4" fillId="3" borderId="14" xfId="0" applyFont="1" applyFill="1" applyBorder="1" applyAlignment="1">
      <alignment vertical="center"/>
    </xf>
    <xf numFmtId="164" fontId="3" fillId="2" borderId="3" xfId="0" applyNumberFormat="1" applyFont="1" applyFill="1" applyBorder="1" applyAlignment="1">
      <alignment vertical="center"/>
    </xf>
    <xf numFmtId="164" fontId="3" fillId="2" borderId="4" xfId="0" applyNumberFormat="1" applyFont="1" applyFill="1" applyBorder="1" applyAlignment="1">
      <alignment vertical="center"/>
    </xf>
    <xf numFmtId="164" fontId="3" fillId="2" borderId="15" xfId="0" applyNumberFormat="1" applyFont="1" applyFill="1" applyBorder="1" applyAlignment="1">
      <alignment vertical="center"/>
    </xf>
    <xf numFmtId="164" fontId="3" fillId="2" borderId="13" xfId="0" applyNumberFormat="1" applyFont="1" applyFill="1" applyBorder="1" applyAlignment="1">
      <alignment vertical="center"/>
    </xf>
    <xf numFmtId="164" fontId="3" fillId="2" borderId="14" xfId="0" applyNumberFormat="1" applyFont="1" applyFill="1" applyBorder="1" applyAlignment="1">
      <alignment vertical="center"/>
    </xf>
    <xf numFmtId="0" fontId="4" fillId="3" borderId="15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164" fontId="7" fillId="2" borderId="13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11" fillId="4" borderId="10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vertical="center"/>
    </xf>
    <xf numFmtId="0" fontId="11" fillId="4" borderId="8" xfId="0" applyFont="1" applyFill="1" applyBorder="1" applyAlignment="1">
      <alignment vertical="center"/>
    </xf>
    <xf numFmtId="0" fontId="11" fillId="4" borderId="8" xfId="0" applyFont="1" applyFill="1" applyBorder="1" applyAlignment="1">
      <alignment vertical="center" wrapText="1"/>
    </xf>
    <xf numFmtId="0" fontId="11" fillId="4" borderId="5" xfId="0" applyFont="1" applyFill="1" applyBorder="1" applyAlignment="1">
      <alignment vertical="center"/>
    </xf>
    <xf numFmtId="164" fontId="0" fillId="0" borderId="0" xfId="0" applyNumberFormat="1" applyAlignment="1">
      <alignment vertical="center"/>
    </xf>
    <xf numFmtId="164" fontId="6" fillId="0" borderId="2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vertical="center"/>
    </xf>
    <xf numFmtId="164" fontId="6" fillId="0" borderId="4" xfId="0" applyNumberFormat="1" applyFont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164" fontId="6" fillId="0" borderId="6" xfId="0" applyNumberFormat="1" applyFont="1" applyBorder="1" applyAlignment="1">
      <alignment vertical="center"/>
    </xf>
    <xf numFmtId="164" fontId="6" fillId="0" borderId="7" xfId="0" applyNumberFormat="1" applyFont="1" applyBorder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0" borderId="9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 indent="2"/>
    </xf>
    <xf numFmtId="0" fontId="0" fillId="6" borderId="10" xfId="0" applyFill="1" applyBorder="1" applyAlignment="1">
      <alignment horizontal="left" vertical="center"/>
    </xf>
    <xf numFmtId="0" fontId="0" fillId="6" borderId="11" xfId="0" applyFill="1" applyBorder="1" applyAlignment="1">
      <alignment horizontal="left" vertical="center"/>
    </xf>
    <xf numFmtId="0" fontId="0" fillId="6" borderId="12" xfId="0" applyFill="1" applyBorder="1" applyAlignment="1">
      <alignment horizontal="left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</cellXfs>
  <cellStyles count="2">
    <cellStyle name="Normale" xfId="0" builtinId="0"/>
    <cellStyle name="Normale 2" xfId="1" xr:uid="{E6873026-5D40-450E-9277-BDEE9A872DA0}"/>
  </cellStyles>
  <dxfs count="0"/>
  <tableStyles count="0" defaultTableStyle="TableStyleMedium2" defaultPivotStyle="PivotStyleLight16"/>
  <colors>
    <mruColors>
      <color rgb="FFFFFF99"/>
      <color rgb="FFFF6600"/>
      <color rgb="FF7DFC64"/>
      <color rgb="FFFFCCFF"/>
      <color rgb="FF97571D"/>
      <color rgb="FF00CC99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63F57-68C7-4BB3-9CC2-5FAA9911E61F}">
  <dimension ref="B1:H33"/>
  <sheetViews>
    <sheetView tabSelected="1" zoomScale="83" zoomScaleNormal="83" workbookViewId="0">
      <selection activeCell="B3" sqref="B3:H4"/>
    </sheetView>
  </sheetViews>
  <sheetFormatPr defaultColWidth="9.140625" defaultRowHeight="15" x14ac:dyDescent="0.25"/>
  <cols>
    <col min="1" max="1" width="9.140625" style="1"/>
    <col min="2" max="2" width="35.85546875" style="1" customWidth="1"/>
    <col min="3" max="3" width="21.5703125" style="1" bestFit="1" customWidth="1"/>
    <col min="4" max="4" width="14.28515625" style="1" customWidth="1"/>
    <col min="5" max="8" width="37.42578125" style="1" customWidth="1"/>
    <col min="9" max="9" width="17" style="1" customWidth="1"/>
    <col min="10" max="10" width="20.28515625" style="1" customWidth="1"/>
    <col min="11" max="11" width="11.42578125" style="1" customWidth="1"/>
    <col min="12" max="12" width="21" style="1" bestFit="1" customWidth="1"/>
    <col min="13" max="13" width="20.140625" style="1" bestFit="1" customWidth="1"/>
    <col min="14" max="14" width="26.85546875" style="1" bestFit="1" customWidth="1"/>
    <col min="15" max="15" width="29.140625" style="1" bestFit="1" customWidth="1"/>
    <col min="16" max="16" width="30.28515625" style="1" bestFit="1" customWidth="1"/>
    <col min="17" max="17" width="22.5703125" style="1" bestFit="1" customWidth="1"/>
    <col min="18" max="18" width="17.85546875" style="1" bestFit="1" customWidth="1"/>
    <col min="19" max="19" width="12.140625" style="1" customWidth="1"/>
    <col min="20" max="16384" width="9.140625" style="1"/>
  </cols>
  <sheetData>
    <row r="1" spans="2:8" ht="15.75" thickBot="1" x14ac:dyDescent="0.3"/>
    <row r="2" spans="2:8" s="18" customFormat="1" ht="47.25" customHeight="1" thickBot="1" x14ac:dyDescent="0.3">
      <c r="B2" s="38" t="s">
        <v>35</v>
      </c>
      <c r="C2" s="39"/>
      <c r="D2" s="39"/>
      <c r="E2" s="39"/>
      <c r="F2" s="39"/>
      <c r="G2" s="39"/>
      <c r="H2" s="40"/>
    </row>
    <row r="3" spans="2:8" s="18" customFormat="1" ht="47.25" customHeight="1" x14ac:dyDescent="0.25">
      <c r="B3" s="59" t="s">
        <v>47</v>
      </c>
      <c r="C3" s="60"/>
      <c r="D3" s="60"/>
      <c r="E3" s="60"/>
      <c r="F3" s="60"/>
      <c r="G3" s="60"/>
      <c r="H3" s="61"/>
    </row>
    <row r="4" spans="2:8" s="18" customFormat="1" ht="181.5" customHeight="1" thickBot="1" x14ac:dyDescent="0.3">
      <c r="B4" s="62"/>
      <c r="C4" s="63"/>
      <c r="D4" s="63"/>
      <c r="E4" s="63"/>
      <c r="F4" s="63"/>
      <c r="G4" s="63"/>
      <c r="H4" s="64"/>
    </row>
    <row r="5" spans="2:8" ht="27" customHeight="1" thickBot="1" x14ac:dyDescent="0.3">
      <c r="B5" s="41" t="s">
        <v>32</v>
      </c>
      <c r="C5" s="42"/>
      <c r="D5" s="49"/>
      <c r="E5" s="43" t="s">
        <v>33</v>
      </c>
      <c r="F5" s="45"/>
      <c r="G5" s="44" t="s">
        <v>34</v>
      </c>
      <c r="H5" s="45"/>
    </row>
    <row r="6" spans="2:8" ht="27" customHeight="1" thickBot="1" x14ac:dyDescent="0.3">
      <c r="B6" s="46"/>
      <c r="C6" s="47"/>
      <c r="D6" s="48"/>
      <c r="E6" s="53">
        <v>6</v>
      </c>
      <c r="F6" s="54"/>
      <c r="G6" s="55">
        <f>(10^(1.5*E6+16.1))*10^(-7)</f>
        <v>1.2589254117941783E+18</v>
      </c>
      <c r="H6" s="56"/>
    </row>
    <row r="7" spans="2:8" ht="27" customHeight="1" thickBot="1" x14ac:dyDescent="0.3">
      <c r="B7" s="50"/>
      <c r="C7" s="51"/>
      <c r="D7" s="51"/>
      <c r="E7" s="51"/>
      <c r="F7" s="51"/>
      <c r="G7" s="51"/>
      <c r="H7" s="52"/>
    </row>
    <row r="8" spans="2:8" ht="27" customHeight="1" thickBot="1" x14ac:dyDescent="0.3">
      <c r="B8" s="19" t="s">
        <v>19</v>
      </c>
      <c r="C8" s="19" t="s">
        <v>40</v>
      </c>
      <c r="D8" s="14" t="s">
        <v>42</v>
      </c>
      <c r="E8" s="14" t="s">
        <v>11</v>
      </c>
      <c r="F8" s="15" t="s">
        <v>12</v>
      </c>
      <c r="G8" s="14" t="s">
        <v>13</v>
      </c>
      <c r="H8" s="16" t="s">
        <v>14</v>
      </c>
    </row>
    <row r="9" spans="2:8" ht="27" customHeight="1" x14ac:dyDescent="0.25">
      <c r="B9" s="20" t="s">
        <v>20</v>
      </c>
      <c r="C9" s="20" t="s">
        <v>36</v>
      </c>
      <c r="D9" s="13" t="s">
        <v>0</v>
      </c>
      <c r="E9" s="10">
        <f>IF(AND(E6&gt;=5.2,E6&lt;=7.3),10^(-2.01+0.5*E6),"NaN")</f>
        <v>9.7723722095581138</v>
      </c>
      <c r="F9" s="8">
        <f>IF(AND(E6&gt;=5.2,E6&lt;=7.3),10^(-1.88+0.5*E6),"NaN")</f>
        <v>13.182567385564075</v>
      </c>
      <c r="G9" s="10">
        <f>IF(AND(E6&gt;=5.2,E6&lt;=7.3),10^(-1.14+0.35*E6),"NaN")</f>
        <v>9.1201083935590948</v>
      </c>
      <c r="H9" s="9">
        <f>IF(AND(E6&gt;=5.2,E6&lt;=7.3),10^(-2.87+0.82*E6),"NaN")</f>
        <v>112.20184543019634</v>
      </c>
    </row>
    <row r="10" spans="2:8" ht="27" customHeight="1" x14ac:dyDescent="0.25">
      <c r="B10" s="21" t="s">
        <v>21</v>
      </c>
      <c r="C10" s="21" t="s">
        <v>36</v>
      </c>
      <c r="D10" s="6" t="s">
        <v>1</v>
      </c>
      <c r="E10" s="11" t="str">
        <f>IF(AND(E6&gt;=6.5,E6&lt;=7.2),10^((E6-4.86)/1.32),"NaN")</f>
        <v>NaN</v>
      </c>
      <c r="F10" s="2"/>
      <c r="G10" s="11"/>
      <c r="H10" s="3"/>
    </row>
    <row r="11" spans="2:8" ht="27" customHeight="1" x14ac:dyDescent="0.25">
      <c r="B11" s="22" t="s">
        <v>45</v>
      </c>
      <c r="C11" s="22" t="s">
        <v>43</v>
      </c>
      <c r="D11" s="6" t="s">
        <v>41</v>
      </c>
      <c r="E11" s="11"/>
      <c r="F11" s="2">
        <f>IF(AND(E6&gt;=5.2,E6&lt;=7.3),10^(-5.71+0.38*LOG(G6)),"NaN")</f>
        <v>14.723125024327258</v>
      </c>
      <c r="G11" s="11">
        <f>IF(AND(E6&gt;=5.2,E6&lt;=7.3),10^(-4.93+0.33*LOG10(G6)),"NaN")</f>
        <v>11.040786199020783</v>
      </c>
      <c r="H11" s="3">
        <f>IF(AND(E6&gt;=5.2,E6&lt;=7.3),10^(-10.64+0.71*LOG10(G6)),"NaN")</f>
        <v>162.55487557504927</v>
      </c>
    </row>
    <row r="12" spans="2:8" ht="27" customHeight="1" x14ac:dyDescent="0.25">
      <c r="B12" s="21" t="s">
        <v>22</v>
      </c>
      <c r="C12" s="21" t="s">
        <v>36</v>
      </c>
      <c r="D12" s="6" t="s">
        <v>2</v>
      </c>
      <c r="E12" s="11"/>
      <c r="F12" s="2"/>
      <c r="G12" s="17"/>
      <c r="H12" s="3">
        <f>IF(AND(E6&gt;=5.9,E6&lt;=7.1),10^((E6-3.39)/1.33),"NaN")</f>
        <v>91.7077450674293</v>
      </c>
    </row>
    <row r="13" spans="2:8" ht="27" customHeight="1" x14ac:dyDescent="0.25">
      <c r="B13" s="21" t="s">
        <v>23</v>
      </c>
      <c r="C13" s="21" t="s">
        <v>36</v>
      </c>
      <c r="D13" s="6" t="s">
        <v>3</v>
      </c>
      <c r="E13" s="11">
        <f>IF(AND(E6&gt;=5.2,E6&lt;=7.3),10^((E6-5.48)/0.9),"NaN")</f>
        <v>3.7824899063893804</v>
      </c>
      <c r="F13" s="2"/>
      <c r="G13" s="11"/>
      <c r="H13" s="3"/>
    </row>
    <row r="14" spans="2:8" ht="27" customHeight="1" x14ac:dyDescent="0.25">
      <c r="B14" s="21" t="s">
        <v>24</v>
      </c>
      <c r="C14" s="21" t="s">
        <v>36</v>
      </c>
      <c r="D14" s="6" t="s">
        <v>4</v>
      </c>
      <c r="E14" s="11">
        <f>IF(AND(E6&gt;=5.4,E6&lt;=7),(E6/4.7248)^(1/0.1046),"NaN")</f>
        <v>9.8184780950224226</v>
      </c>
      <c r="F14" s="2"/>
      <c r="G14" s="11"/>
      <c r="H14" s="3"/>
    </row>
    <row r="15" spans="2:8" ht="27" customHeight="1" x14ac:dyDescent="0.25">
      <c r="B15" s="21" t="s">
        <v>25</v>
      </c>
      <c r="C15" s="21" t="s">
        <v>44</v>
      </c>
      <c r="D15" s="6" t="s">
        <v>5</v>
      </c>
      <c r="E15" s="11"/>
      <c r="F15" s="2"/>
      <c r="G15" s="11"/>
      <c r="H15" s="3">
        <f>IF(AND(E6&gt;=5,E6&lt;=7.3),10^(E6-3.98),"NaN")</f>
        <v>104.71285480508998</v>
      </c>
    </row>
    <row r="16" spans="2:8" ht="27" customHeight="1" x14ac:dyDescent="0.25">
      <c r="B16" s="21" t="s">
        <v>26</v>
      </c>
      <c r="C16" s="21" t="s">
        <v>36</v>
      </c>
      <c r="D16" s="6" t="s">
        <v>6</v>
      </c>
      <c r="E16" s="11" t="str">
        <f>IF(AND(E6&gt;=6.5,E6&lt;=7),10^((E6-6.12)/0.47),"NaN")</f>
        <v>NaN</v>
      </c>
      <c r="F16" s="2"/>
      <c r="G16" s="11"/>
      <c r="H16" s="3"/>
    </row>
    <row r="17" spans="2:8" ht="27" customHeight="1" x14ac:dyDescent="0.25">
      <c r="B17" s="21" t="s">
        <v>27</v>
      </c>
      <c r="C17" s="21" t="s">
        <v>43</v>
      </c>
      <c r="D17" s="6" t="s">
        <v>7</v>
      </c>
      <c r="E17" s="11">
        <f>IF(AND(E6&gt;=5.3,E6&lt;=7.6),10^((E6-4.4)/1.52),"NaN")</f>
        <v>11.288378916846886</v>
      </c>
      <c r="F17" s="2">
        <f>IF(AND(E6&gt;=5.2,E6&lt;=7.8),10^((E6-4.24)/1.67),"NaN")</f>
        <v>11.321193557871174</v>
      </c>
      <c r="G17" s="11"/>
      <c r="H17" s="3">
        <f>IF(AND(E6&gt;=5.2,E6&lt;=7.3),10^(E6-4),"NaN")</f>
        <v>100</v>
      </c>
    </row>
    <row r="18" spans="2:8" ht="27" customHeight="1" x14ac:dyDescent="0.25">
      <c r="B18" s="21" t="s">
        <v>28</v>
      </c>
      <c r="C18" s="21" t="s">
        <v>43</v>
      </c>
      <c r="D18" s="6" t="s">
        <v>8</v>
      </c>
      <c r="E18" s="11">
        <f>IF(AND(E6&gt;=5,E6&lt;=7.3),10^((E6-4.24)/1.667),"NaN")</f>
        <v>11.370742959508432</v>
      </c>
      <c r="F18" s="2">
        <f>IF(AND(E6&gt;=5,E6&lt;=7.3),10^((E6-4.24)/1.667),"NaN")</f>
        <v>11.370742959508432</v>
      </c>
      <c r="G18" s="11">
        <f>IF(AND(E6&gt;=5.2,E6&lt;=7.3),10^((E6-3.63)/2.5),"NaN")</f>
        <v>8.8715601203796108</v>
      </c>
      <c r="H18" s="3">
        <f>IF(AND(E6&gt;=4,E6&lt;=6.6),10^(E6-4.19),"NaN")</f>
        <v>64.565422903465532</v>
      </c>
    </row>
    <row r="19" spans="2:8" ht="27" customHeight="1" x14ac:dyDescent="0.25">
      <c r="B19" s="21" t="s">
        <v>29</v>
      </c>
      <c r="C19" s="21" t="s">
        <v>36</v>
      </c>
      <c r="D19" s="6" t="s">
        <v>9</v>
      </c>
      <c r="E19" s="11"/>
      <c r="F19" s="2">
        <f>IF(AND(E6&gt;=5.5,E6&lt;=7.8),10^(-1.722+0.485*E6),"NaN")</f>
        <v>15.417004529495602</v>
      </c>
      <c r="G19" s="11">
        <f>IF(AND(E6&gt;=5,E6&lt;=7.3),10^( -0.829 +0.323*E6),"NaN")</f>
        <v>12.852866599436163</v>
      </c>
      <c r="H19" s="3">
        <f>IF(AND(E6&gt;=5.8,E6&lt;=7.3),10^(-2.551+0.808*E6),"NaN")</f>
        <v>198.15270258051015</v>
      </c>
    </row>
    <row r="20" spans="2:8" ht="27" customHeight="1" x14ac:dyDescent="0.25">
      <c r="B20" s="21" t="s">
        <v>30</v>
      </c>
      <c r="C20" s="21" t="s">
        <v>44</v>
      </c>
      <c r="D20" s="6" t="s">
        <v>10</v>
      </c>
      <c r="E20" s="11"/>
      <c r="F20" s="2">
        <f>10^(-2.9+0.63*E6)</f>
        <v>7.5857757502918446</v>
      </c>
      <c r="G20" s="11">
        <f>10^(-1.91+0.48*E6)</f>
        <v>9.3325430079699103</v>
      </c>
      <c r="H20" s="3" t="str">
        <f>IF(AND(E6&gt;=7,E6&lt;=7.2),10^(-5.62+(1.22*E6)),"NaN")</f>
        <v>NaN</v>
      </c>
    </row>
    <row r="21" spans="2:8" ht="27" customHeight="1" thickBot="1" x14ac:dyDescent="0.3">
      <c r="B21" s="23" t="s">
        <v>31</v>
      </c>
      <c r="C21" s="23" t="s">
        <v>36</v>
      </c>
      <c r="D21" s="7" t="s">
        <v>15</v>
      </c>
      <c r="E21" s="12"/>
      <c r="F21" s="4">
        <f>IF(AND(E6&gt;=5.2,E6&lt;=6.3),10^((E6-4.53)/1.44),"NaN")</f>
        <v>10.4913972913631</v>
      </c>
      <c r="G21" s="12"/>
      <c r="H21" s="5"/>
    </row>
    <row r="22" spans="2:8" ht="27" customHeight="1" thickBot="1" x14ac:dyDescent="0.3">
      <c r="B22" s="50"/>
      <c r="C22" s="51"/>
      <c r="D22" s="51"/>
      <c r="E22" s="51"/>
      <c r="F22" s="51"/>
      <c r="G22" s="51"/>
      <c r="H22" s="52"/>
    </row>
    <row r="23" spans="2:8" ht="27" customHeight="1" thickBot="1" x14ac:dyDescent="0.3">
      <c r="B23" s="43" t="s">
        <v>39</v>
      </c>
      <c r="C23" s="44"/>
      <c r="D23" s="44"/>
      <c r="E23" s="42"/>
      <c r="F23" s="42"/>
      <c r="G23" s="42"/>
      <c r="H23" s="49"/>
    </row>
    <row r="24" spans="2:8" ht="27" customHeight="1" x14ac:dyDescent="0.25">
      <c r="B24" s="41" t="s">
        <v>37</v>
      </c>
      <c r="C24" s="42"/>
      <c r="D24" s="42"/>
      <c r="E24" s="25">
        <f>MIN(E9:E21)</f>
        <v>3.7824899063893804</v>
      </c>
      <c r="F24" s="26">
        <f>MIN(F9:F21)</f>
        <v>7.5857757502918446</v>
      </c>
      <c r="G24" s="26">
        <f>MIN(G9:G21)</f>
        <v>8.8715601203796108</v>
      </c>
      <c r="H24" s="27">
        <f>MIN(H9:H21)</f>
        <v>64.565422903465532</v>
      </c>
    </row>
    <row r="25" spans="2:8" ht="27" customHeight="1" x14ac:dyDescent="0.25">
      <c r="B25" s="57" t="s">
        <v>16</v>
      </c>
      <c r="C25" s="58"/>
      <c r="D25" s="58"/>
      <c r="E25" s="28">
        <f>AVERAGE(E9:E21)</f>
        <v>9.2064924174650464</v>
      </c>
      <c r="F25" s="32">
        <f>AVERAGE(F9:F21)</f>
        <v>12.013115214060212</v>
      </c>
      <c r="G25" s="32">
        <f t="shared" ref="G25:H25" si="0">AVERAGE(G9:G21)</f>
        <v>10.243572864073112</v>
      </c>
      <c r="H25" s="33">
        <f t="shared" si="0"/>
        <v>119.12792090882009</v>
      </c>
    </row>
    <row r="26" spans="2:8" ht="27" customHeight="1" thickBot="1" x14ac:dyDescent="0.3">
      <c r="B26" s="46" t="s">
        <v>38</v>
      </c>
      <c r="C26" s="47"/>
      <c r="D26" s="47"/>
      <c r="E26" s="29">
        <f>MAX(E9:E21)</f>
        <v>11.370742959508432</v>
      </c>
      <c r="F26" s="30">
        <f t="shared" ref="F26:H26" si="1">MAX(F9:F21)</f>
        <v>15.417004529495602</v>
      </c>
      <c r="G26" s="30">
        <f t="shared" si="1"/>
        <v>12.852866599436163</v>
      </c>
      <c r="H26" s="31">
        <f t="shared" si="1"/>
        <v>198.15270258051015</v>
      </c>
    </row>
    <row r="27" spans="2:8" ht="27" customHeight="1" thickBot="1" x14ac:dyDescent="0.3">
      <c r="B27" s="43" t="s">
        <v>17</v>
      </c>
      <c r="C27" s="44"/>
      <c r="D27" s="45"/>
      <c r="E27" s="29">
        <f>_xlfn.STDEV.S(E9:E21)</f>
        <v>3.1278099947820208</v>
      </c>
      <c r="F27" s="30">
        <f>_xlfn.STDEV.S(F9:F21)</f>
        <v>2.680379073947488</v>
      </c>
      <c r="G27" s="30">
        <f>_xlfn.STDEV.S(G9:G21)</f>
        <v>1.6895657491571225</v>
      </c>
      <c r="H27" s="31">
        <f>_xlfn.STDEV.S(H9:H21)</f>
        <v>45.609558121448416</v>
      </c>
    </row>
    <row r="28" spans="2:8" ht="27" customHeight="1" thickBot="1" x14ac:dyDescent="0.3">
      <c r="B28" s="46" t="s">
        <v>18</v>
      </c>
      <c r="C28" s="47"/>
      <c r="D28" s="48"/>
      <c r="E28" s="29">
        <f>E27/SQRT(COUNT(E9:E21))</f>
        <v>1.3987991538071722</v>
      </c>
      <c r="F28" s="30">
        <f>F27/SQRT(COUNT(F9:F21))</f>
        <v>1.0130880641495228</v>
      </c>
      <c r="G28" s="30">
        <f>G27/SQRT(COUNT(G9:G21))</f>
        <v>0.75559677351413679</v>
      </c>
      <c r="H28" s="31">
        <f>H27/SQRT(COUNT(H9:H21))</f>
        <v>17.23879259955697</v>
      </c>
    </row>
    <row r="29" spans="2:8" ht="15.75" thickBot="1" x14ac:dyDescent="0.3">
      <c r="B29" s="35" t="s">
        <v>46</v>
      </c>
      <c r="C29" s="36"/>
      <c r="D29" s="36"/>
      <c r="E29" s="36"/>
      <c r="F29" s="36"/>
      <c r="G29" s="36"/>
      <c r="H29" s="37"/>
    </row>
    <row r="30" spans="2:8" x14ac:dyDescent="0.25">
      <c r="E30" s="24"/>
      <c r="F30" s="34"/>
      <c r="G30" s="34"/>
    </row>
    <row r="31" spans="2:8" x14ac:dyDescent="0.25">
      <c r="F31" s="34"/>
      <c r="G31" s="34"/>
    </row>
    <row r="32" spans="2:8" x14ac:dyDescent="0.25">
      <c r="F32" s="34"/>
      <c r="G32" s="34"/>
    </row>
    <row r="33" spans="6:7" x14ac:dyDescent="0.25">
      <c r="F33" s="34"/>
      <c r="G33" s="34"/>
    </row>
  </sheetData>
  <mergeCells count="16">
    <mergeCell ref="B29:H29"/>
    <mergeCell ref="B2:H2"/>
    <mergeCell ref="B24:D24"/>
    <mergeCell ref="B27:D27"/>
    <mergeCell ref="B28:D28"/>
    <mergeCell ref="B23:H23"/>
    <mergeCell ref="B5:D6"/>
    <mergeCell ref="B7:H7"/>
    <mergeCell ref="B22:H22"/>
    <mergeCell ref="E6:F6"/>
    <mergeCell ref="G6:H6"/>
    <mergeCell ref="E5:F5"/>
    <mergeCell ref="G5:H5"/>
    <mergeCell ref="B25:D25"/>
    <mergeCell ref="B26:D26"/>
    <mergeCell ref="B3:H4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simone bello</cp:lastModifiedBy>
  <dcterms:created xsi:type="dcterms:W3CDTF">2015-06-05T18:17:20Z</dcterms:created>
  <dcterms:modified xsi:type="dcterms:W3CDTF">2023-06-10T12:55:11Z</dcterms:modified>
</cp:coreProperties>
</file>